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5EE0C12-EEDB-4114-AD3E-AD298F56DF05}" xr6:coauthVersionLast="36" xr6:coauthVersionMax="36" xr10:uidLastSave="{00000000-0000-0000-0000-000000000000}"/>
  <bookViews>
    <workbookView xWindow="-12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SEFA'!$B$1:$M$41</definedName>
    <definedName name="_xlnm.Print_Area" localSheetId="6">'Acct Summary 7-8'!$A$1:$K$81</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4" i="171" l="1"/>
  <c r="L22" i="179" l="1"/>
  <c r="L18" i="179"/>
  <c r="L14" i="179"/>
  <c r="L23" i="179"/>
  <c r="M25" i="179"/>
  <c r="K25" i="179"/>
  <c r="J25" i="179"/>
  <c r="I25" i="179"/>
  <c r="H25" i="179"/>
  <c r="F25" i="179"/>
  <c r="E25" i="179"/>
  <c r="G22" i="179"/>
  <c r="G20" i="179"/>
  <c r="L20" i="179" s="1"/>
  <c r="G18" i="179"/>
  <c r="G16" i="179"/>
  <c r="L16" i="179" s="1"/>
  <c r="G14" i="179"/>
  <c r="G12" i="179"/>
  <c r="L12" i="179" s="1"/>
  <c r="I30" i="179"/>
  <c r="I28" i="179"/>
  <c r="G30" i="179"/>
  <c r="G28" i="179"/>
  <c r="L28" i="179" s="1"/>
  <c r="I38" i="179"/>
  <c r="I39" i="179" s="1"/>
  <c r="I34" i="179"/>
  <c r="L34" i="179" s="1"/>
  <c r="I33" i="179"/>
  <c r="L33" i="179" s="1"/>
  <c r="I32" i="179"/>
  <c r="I31" i="179"/>
  <c r="L31" i="179" s="1"/>
  <c r="I29" i="179"/>
  <c r="M39" i="179"/>
  <c r="K39" i="179"/>
  <c r="J39" i="179"/>
  <c r="H39" i="179"/>
  <c r="G39" i="179"/>
  <c r="F39" i="179"/>
  <c r="E39" i="179"/>
  <c r="L29" i="179"/>
  <c r="M35" i="179"/>
  <c r="K35" i="179"/>
  <c r="J35" i="179"/>
  <c r="H35" i="179"/>
  <c r="F35" i="179"/>
  <c r="E35" i="179"/>
  <c r="E41" i="179" l="1"/>
  <c r="G25" i="179"/>
  <c r="K41" i="179"/>
  <c r="H41" i="179"/>
  <c r="J41" i="179"/>
  <c r="M41" i="179"/>
  <c r="L38" i="179"/>
  <c r="L39" i="179" s="1"/>
  <c r="F41" i="179"/>
  <c r="L32" i="179"/>
  <c r="L35" i="179" s="1"/>
  <c r="L30" i="179"/>
  <c r="G35" i="179"/>
  <c r="I35" i="179"/>
  <c r="I41" i="179" s="1"/>
  <c r="G41" i="17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48" i="183" l="1"/>
  <c r="F47" i="183"/>
  <c r="E48" i="183"/>
  <c r="E47" i="183"/>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B7882" i="106"/>
  <c r="D7882" i="106" s="1"/>
  <c r="D7883" i="106"/>
  <c r="B11" i="7" l="1"/>
  <c r="D7836" i="106" l="1"/>
  <c r="J85" i="28" l="1"/>
  <c r="J90" i="28" l="1"/>
  <c r="B7819" i="106"/>
  <c r="D7819" i="106" s="1"/>
  <c r="B7818" i="106"/>
  <c r="D7818" i="106" s="1"/>
  <c r="D49" i="183" l="1"/>
  <c r="A15" i="183"/>
  <c r="D82" i="36" l="1"/>
  <c r="F49" i="183"/>
  <c r="E49"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37" i="179" l="1"/>
  <c r="L36" i="179"/>
  <c r="L25" i="179"/>
  <c r="L41" i="179"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F50" i="34" l="1"/>
  <c r="H342" i="29"/>
  <c r="D69" i="36"/>
  <c r="F71" i="34"/>
  <c r="I210" i="29"/>
  <c r="B7071" i="106" s="1"/>
  <c r="D7071" i="106" s="1"/>
  <c r="G30" i="108"/>
  <c r="B7696" i="106"/>
  <c r="D7696" i="106" s="1"/>
  <c r="E66" i="184"/>
  <c r="N66" i="184" s="1"/>
  <c r="B7171" i="106"/>
  <c r="D7171" i="106" s="1"/>
  <c r="E62" i="184"/>
  <c r="N62" i="184" s="1"/>
  <c r="B7135" i="106"/>
  <c r="D7135" i="106" s="1"/>
  <c r="E58" i="184"/>
  <c r="N58" i="184" s="1"/>
  <c r="H15" i="184"/>
  <c r="B7198" i="106"/>
  <c r="D7198" i="106" s="1"/>
  <c r="E65" i="184"/>
  <c r="N65" i="184" s="1"/>
  <c r="F34" i="34"/>
  <c r="B7826" i="106" s="1"/>
  <c r="D7826" i="106" s="1"/>
  <c r="B7189" i="106"/>
  <c r="D7189" i="106" s="1"/>
  <c r="E64" i="184"/>
  <c r="N64" i="184" s="1"/>
  <c r="B7153" i="106"/>
  <c r="D7153" i="106" s="1"/>
  <c r="E60" i="184"/>
  <c r="N60" i="184" s="1"/>
  <c r="C352" i="29"/>
  <c r="B3621" i="106" s="1"/>
  <c r="D3621" i="106" s="1"/>
  <c r="H76" i="4"/>
  <c r="B3298" i="106" s="1"/>
  <c r="D3298" i="106" s="1"/>
  <c r="D31" i="108"/>
  <c r="E16" i="184"/>
  <c r="H16" i="184" s="1"/>
  <c r="B7162" i="106"/>
  <c r="D7162" i="106" s="1"/>
  <c r="E61" i="184"/>
  <c r="N61" i="184" s="1"/>
  <c r="B7126" i="106"/>
  <c r="D7126" i="106" s="1"/>
  <c r="E57" i="184"/>
  <c r="H33" i="118"/>
  <c r="H12" i="184"/>
  <c r="C342" i="29"/>
  <c r="B7216" i="106" s="1"/>
  <c r="D7216" i="106" s="1"/>
  <c r="B7705" i="106"/>
  <c r="D7705" i="106" s="1"/>
  <c r="E67" i="184"/>
  <c r="N67" i="184" s="1"/>
  <c r="B7180" i="106"/>
  <c r="D7180" i="106" s="1"/>
  <c r="E63" i="184"/>
  <c r="N63"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F41" i="108"/>
  <c r="G43" i="108" s="1"/>
  <c r="B6216" i="106"/>
  <c r="D6216" i="106" s="1"/>
  <c r="N57" i="184"/>
  <c r="N68" i="184" s="1"/>
  <c r="E68" i="184"/>
  <c r="K342" i="29"/>
  <c r="F13" i="34" s="1"/>
  <c r="G170" i="5"/>
  <c r="B5778" i="106" s="1"/>
  <c r="D5778" i="106" s="1"/>
  <c r="E367" i="29"/>
  <c r="B3635" i="106"/>
  <c r="B5527" i="106"/>
  <c r="D5527" i="106" s="1"/>
  <c r="D44" i="36"/>
  <c r="C367" i="29"/>
  <c r="B3622" i="106" s="1"/>
  <c r="D3622" i="106" s="1"/>
  <c r="E19" i="184"/>
  <c r="B1328" i="106"/>
  <c r="D1328" i="106" s="1"/>
  <c r="B7215" i="106"/>
  <c r="D7215" i="106" s="1"/>
  <c r="B7220" i="106"/>
  <c r="D7220" i="106" s="1"/>
  <c r="F75" i="34"/>
  <c r="B7886" i="106" s="1"/>
  <c r="D7886" i="106" s="1"/>
  <c r="B7222" i="106"/>
  <c r="D7222" i="106" s="1"/>
  <c r="F76" i="34"/>
  <c r="B7887" i="106" s="1"/>
  <c r="D7887" i="106" s="1"/>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B6223" i="106"/>
  <c r="D6223" i="106" s="1"/>
  <c r="B2567" i="106"/>
  <c r="D2567" i="106" s="1"/>
  <c r="D8" i="146" l="1"/>
  <c r="J10" i="4"/>
  <c r="B6225" i="106" s="1"/>
  <c r="D622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<sst xmlns="http://schemas.openxmlformats.org/spreadsheetml/2006/main" count="5314" uniqueCount="2158">
  <si>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</si>
  <si>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</si>
  <si>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</si>
  <si>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</si>
  <si>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</si>
  <si>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</si>
  <si>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</si>
  <si>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</si>
  <si>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</si>
  <si>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</si>
  <si>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</si>
  <si>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</si>
  <si>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</si>
  <si>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</si>
  <si>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</si>
  <si>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</si>
  <si>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</si>
  <si>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</si>
  <si>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</si>
  <si>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</si>
  <si>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</si>
  <si>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</si>
  <si>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</si>
  <si>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</si>
  <si>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</si>
  <si>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</si>
  <si>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</si>
  <si>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</si>
  <si>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</si>
  <si>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</si>
  <si>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</si>
  <si>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</si>
  <si>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</si>
  <si>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</si>
  <si>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</si>
  <si>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</si>
  <si>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</si>
  <si>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</si>
  <si>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</si>
  <si>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</si>
  <si>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</si>
  <si>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</si>
  <si>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</si>
  <si>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</si>
  <si>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</si>
  <si>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</si>
  <si>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</si>
  <si>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</si>
  <si>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</si>
  <si>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</si>
  <si>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</si>
  <si>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</si>
  <si>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</si>
  <si>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</si>
  <si>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</si>
  <si>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</si>
  <si>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</si>
  <si>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</si>
  <si>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</si>
  <si>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</si>
  <si>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</si>
  <si>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</si>
  <si>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</si>
  <si>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</si>
  <si>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</si>
  <si>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</si>
  <si>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</si>
  <si>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</si>
  <si>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</si>
  <si>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</si>
  <si>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</si>
  <si>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</si>
  <si>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</si>
  <si>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</si>
  <si>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</si>
  <si>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</si>
  <si>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</si>
  <si>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</si>
  <si>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</si>
  <si>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</si>
  <si>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</si>
  <si>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</si>
  <si>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</si>
  <si>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</si>
  <si>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</si>
  <si>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</si>
  <si>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</si>
  <si>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</si>
  <si>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</si>
  <si>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</si>
  <si>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</si>
  <si>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</si>
  <si>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</si>
  <si>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</si>
  <si>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</si>
  <si>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</si>
  <si>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</si>
  <si>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</si>
  <si>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</si>
  <si>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</si>
  <si>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</si>
  <si>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</si>
  <si>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</si>
  <si>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</si>
  <si>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</si>
  <si>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</si>
  <si>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</si>
  <si>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</si>
  <si>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</si>
  <si>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</si>
  <si>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</si>
  <si>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</si>
  <si>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</si>
  <si>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</si>
  <si>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</si>
  <si>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</si>
  <si>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</si>
  <si>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</si>
  <si>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</si>
  <si>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</si>
  <si>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</si>
  <si>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</si>
  <si>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</si>
  <si>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</si>
  <si>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</si>
  <si>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</si>
  <si>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</si>
  <si>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</si>
  <si>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</si>
  <si>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</si>
  <si>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</si>
  <si>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</si>
  <si>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</si>
  <si>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</si>
  <si>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</si>
  <si>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</si>
  <si>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</si>
  <si>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</si>
  <si>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</si>
  <si>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</si>
  <si>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</si>
  <si>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</si>
  <si>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</si>
  <si>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</si>
  <si>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</si>
  <si>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</si>
  <si>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</si>
  <si>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</si>
  <si>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</si>
  <si>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</si>
  <si>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</si>
  <si>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</si>
  <si>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</si>
  <si>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</si>
  <si>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</si>
  <si>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</si>
  <si>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</si>
  <si>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</si>
  <si>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</si>
  <si>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</si>
  <si>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</si>
  <si>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</si>
  <si>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</si>
  <si>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</si>
  <si>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</si>
  <si>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</si>
  <si>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</si>
  <si>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</si>
  <si>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</si>
  <si>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</si>
  <si>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</si>
  <si>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</si>
  <si>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</si>
  <si>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</si>
  <si>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</si>
  <si>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</si>
  <si>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</si>
  <si>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</si>
  <si>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</si>
  <si>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</si>
  <si>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</si>
  <si>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</si>
  <si>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</si>
  <si>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</si>
  <si>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</si>
  <si>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</si>
  <si>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</si>
  <si>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</si>
  <si>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</si>
  <si>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</si>
  <si>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</si>
  <si>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</si>
  <si>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</si>
  <si>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</si>
  <si>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</si>
  <si>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</si>
  <si>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</si>
  <si>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</si>
  <si>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</si>
  <si>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</si>
  <si>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</si>
  <si>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</si>
  <si>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</si>
  <si>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</si>
  <si>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</si>
  <si>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</si>
  <si>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</si>
  <si>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</si>
  <si>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</si>
  <si>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</si>
  <si>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</si>
  <si>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</si>
  <si>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</si>
  <si>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</si>
  <si>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</si>
  <si>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</si>
  <si>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</si>
  <si>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</si>
  <si>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</si>
  <si>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</si>
  <si>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</si>
  <si>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</si>
  <si>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</si>
  <si>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</si>
  <si>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</si>
  <si>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</si>
  <si>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</si>
  <si>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</si>
  <si>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</si>
  <si>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</si>
  <si>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</si>
  <si>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</si>
  <si>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</si>
  <si>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</si>
  <si>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</si>
  <si>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</si>
  <si>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</si>
  <si>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</si>
  <si>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</si>
  <si>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</si>
  <si>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</si>
  <si>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</si>
  <si>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</si>
  <si>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</si>
  <si>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</si>
  <si>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</si>
  <si>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</si>
  <si>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</si>
  <si>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</si>
  <si>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</si>
  <si>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</si>
  <si>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</si>
  <si>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</si>
  <si>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</si>
  <si>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</si>
  <si>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</si>
  <si>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</si>
  <si>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</si>
  <si>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</si>
  <si>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</si>
  <si>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</si>
  <si>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</si>
  <si>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</si>
  <si>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</si>
  <si>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</si>
  <si>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</si>
  <si>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</si>
  <si>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</si>
  <si>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</si>
  <si>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</si>
  <si>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</si>
  <si>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</si>
  <si>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</si>
  <si>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</si>
  <si>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</si>
  <si>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</si>
  <si>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</si>
  <si>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</si>
  <si>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</si>
  <si>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</si>
  <si>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</si>
  <si>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</si>
  <si>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</si>
  <si>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</si>
  <si>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</si>
  <si>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</si>
  <si>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</si>
  <si>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</si>
  <si>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</si>
  <si>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</si>
  <si>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</si>
  <si>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</si>
  <si>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</si>
  <si>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</si>
  <si>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</si>
  <si>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</si>
  <si>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</si>
  <si>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</si>
  <si>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</si>
  <si>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</si>
  <si>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</si>
  <si>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</si>
  <si>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</si>
  <si>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</si>
  <si>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</si>
  <si>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</si>
  <si>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</si>
  <si>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</si>
  <si>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</si>
  <si>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</si>
  <si>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</si>
  <si>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</si>
  <si>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</si>
  <si>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</si>
  <si>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</si>
  <si>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</si>
  <si>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</si>
  <si>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</si>
  <si>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</si>
  <si>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</si>
  <si>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</si>
  <si>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</si>
  <si>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</si>
  <si>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</si>
  <si>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</si>
  <si>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</si>
  <si>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</si>
  <si>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</si>
  <si>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</si>
  <si>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</si>
  <si>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</si>
  <si>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</si>
  <si>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</si>
  <si>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</si>
  <si>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</si>
  <si>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</si>
  <si>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</si>
  <si>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</si>
  <si>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</si>
  <si>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</si>
  <si>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</si>
  <si>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</si>
  <si>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</si>
  <si>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</si>
  <si>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</si>
  <si>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</si>
  <si>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</si>
  <si>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</si>
  <si>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</si>
  <si>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</si>
  <si>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</si>
  <si>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</si>
  <si>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</si>
  <si>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</si>
  <si>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</si>
  <si>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</si>
  <si>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</si>
  <si>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</si>
  <si>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</si>
  <si>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</si>
  <si>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</si>
  <si>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</si>
  <si>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</si>
  <si>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</si>
  <si>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</si>
  <si>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</si>
  <si>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</si>
  <si>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</si>
  <si>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</si>
  <si>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</si>
  <si>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</si>
  <si>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</si>
  <si>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</si>
  <si>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</si>
  <si>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</si>
  <si>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</si>
  <si>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</si>
  <si>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</si>
  <si>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</si>
  <si>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</si>
  <si>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</si>
  <si>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</si>
  <si>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</si>
  <si>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</si>
  <si>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</si>
  <si>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</si>
  <si>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</si>
  <si>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</si>
  <si>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</si>
  <si>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</si>
  <si>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</si>
  <si>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</si>
  <si>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</si>
  <si>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</si>
  <si>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</si>
  <si>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</si>
  <si>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</si>
  <si>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</si>
  <si>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</si>
  <si>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</si>
  <si>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</si>
  <si>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</si>
  <si>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</si>
  <si>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</si>
  <si>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</si>
  <si>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</si>
  <si>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</si>
  <si>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</si>
  <si>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</si>
  <si>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</si>
  <si>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</si>
  <si>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</si>
  <si>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</si>
  <si>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</si>
  <si>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</si>
  <si>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</si>
  <si>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</si>
  <si>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</si>
  <si>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</si>
  <si>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</si>
  <si>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</si>
  <si>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</si>
  <si>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</si>
  <si>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</si>
  <si>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</si>
  <si>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</si>
  <si>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</si>
  <si>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</si>
  <si>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</si>
  <si>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</si>
  <si>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</si>
  <si>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</si>
  <si>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</si>
  <si>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</si>
  <si>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</si>
  <si>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</si>
  <si>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</si>
  <si>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</si>
  <si>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</si>
  <si>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</si>
  <si>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</si>
  <si>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</si>
  <si>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</si>
  <si>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</si>
  <si>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</si>
  <si>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</si>
  <si>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</si>
  <si>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</si>
  <si>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</si>
  <si>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</si>
  <si>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</si>
  <si>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</si>
  <si>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</si>
  <si>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</si>
  <si>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</si>
  <si>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</si>
  <si>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</si>
  <si>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</si>
  <si>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</si>
  <si>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</si>
  <si>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</si>
  <si>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</si>
  <si>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</si>
  <si>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</si>
  <si>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</si>
  <si>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</si>
  <si>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</si>
  <si>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</si>
  <si>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</si>
  <si>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</si>
  <si>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</si>
  <si>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</si>
  <si>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</si>
  <si>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</si>
  <si>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</si>
  <si>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</si>
  <si>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</si>
  <si>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</si>
  <si>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</si>
  <si>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</si>
  <si>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</si>
  <si>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</si>
  <si>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</si>
  <si>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</si>
  <si>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</si>
  <si>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</si>
  <si>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</si>
  <si>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</si>
  <si>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</si>
  <si>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</si>
  <si>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</si>
  <si>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</si>
  <si>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</si>
  <si>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</si>
  <si>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</si>
  <si>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</si>
  <si>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</si>
  <si>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</si>
  <si>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</si>
  <si>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</si>
  <si>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</si>
  <si>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</si>
  <si>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</si>
  <si>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</si>
  <si>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</si>
  <si>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</si>
  <si>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</si>
  <si>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</si>
  <si>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</si>
  <si>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</si>
  <si>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</si>
  <si>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</si>
  <si>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</si>
  <si>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</si>
  <si>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</si>
  <si>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</si>
  <si>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</si>
  <si>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</si>
  <si>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</si>
  <si>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</si>
  <si>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</si>
  <si>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</si>
  <si>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</si>
  <si>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</si>
  <si>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</si>
  <si>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</si>
  <si>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</si>
  <si>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</si>
  <si>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</si>
  <si>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</si>
  <si>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</si>
  <si>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</si>
  <si>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</si>
  <si>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</si>
  <si>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</si>
  <si>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</si>
  <si>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</si>
  <si>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</si>
  <si>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</si>
  <si>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</si>
  <si>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</si>
  <si>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</si>
  <si>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</si>
  <si>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</si>
  <si>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</si>
  <si>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</si>
  <si>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</si>
  <si>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</si>
  <si>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</si>
  <si>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</si>
  <si>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</si>
  <si>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</si>
  <si>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</si>
  <si>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</si>
  <si>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</si>
  <si>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</si>
  <si>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</si>
  <si>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</si>
  <si>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</si>
  <si>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</si>
  <si>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</si>
  <si>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</si>
  <si>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</si>
  <si>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</si>
  <si>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</si>
  <si>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</si>
  <si>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</si>
  <si>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</si>
  <si>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</si>
  <si>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</si>
  <si>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</si>
  <si>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</si>
  <si>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</si>
  <si>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</si>
  <si>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</si>
  <si>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</si>
  <si>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</si>
  <si>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</si>
  <si>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</si>
  <si>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</si>
  <si>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</si>
  <si>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</si>
  <si>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</si>
  <si>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</si>
  <si>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</si>
  <si>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</si>
  <si>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</si>
  <si>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</si>
  <si>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</si>
  <si>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</si>
  <si>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</si>
  <si>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</si>
  <si>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</si>
  <si>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</si>
  <si>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</si>
  <si>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</si>
  <si>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</si>
  <si>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</si>
  <si>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</si>
  <si>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</si>
  <si>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</si>
  <si>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</si>
  <si>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</si>
  <si>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</si>
  <si>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</si>
  <si>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</si>
  <si>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</si>
  <si>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</si>
  <si>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</si>
  <si>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</si>
  <si>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</si>
  <si>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</si>
  <si>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</si>
  <si>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</si>
  <si>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</si>
  <si>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</si>
  <si>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</si>
  <si>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</si>
  <si>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</si>
  <si>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</si>
  <si>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</si>
  <si>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</si>
  <si>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</si>
  <si>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</si>
  <si>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</si>
  <si>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</si>
  <si>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</si>
  <si>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</si>
  <si>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</si>
  <si>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</si>
  <si>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</si>
  <si>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</si>
  <si>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</si>
  <si>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</si>
  <si>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</si>
  <si>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</si>
  <si>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</si>
  <si>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</si>
  <si>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</si>
  <si>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</si>
  <si>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</si>
  <si>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</si>
  <si>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</si>
  <si>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</si>
  <si>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</si>
  <si>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</si>
  <si>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</si>
  <si>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</si>
  <si>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</si>
  <si>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</si>
  <si>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</si>
  <si>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</si>
  <si>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</si>
  <si>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</si>
  <si>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</si>
  <si>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</si>
  <si>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</si>
  <si>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</si>
  <si>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</si>
  <si>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</si>
  <si>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</si>
  <si>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</si>
  <si>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</si>
  <si>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</si>
  <si>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</si>
  <si>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</si>
  <si>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</si>
  <si>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</si>
  <si>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</si>
  <si>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</si>
  <si>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</si>
  <si>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</si>
  <si>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</si>
  <si>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</si>
  <si>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</si>
  <si>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</si>
  <si>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</si>
  <si>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</si>
  <si>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</si>
  <si>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</si>
  <si>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</si>
  <si>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</si>
  <si>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</si>
  <si>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</si>
  <si>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</si>
  <si>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</si>
  <si>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</si>
  <si>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</si>
  <si>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</si>
  <si>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</si>
  <si>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</si>
  <si>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</si>
  <si>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</si>
  <si>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</si>
  <si>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</si>
  <si>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</si>
  <si>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</si>
  <si>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</si>
  <si>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</si>
  <si>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</si>
  <si>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</si>
  <si>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</si>
  <si>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</si>
  <si>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</si>
  <si>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</si>
  <si>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</si>
  <si>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</si>
  <si>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</si>
  <si>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</si>
  <si>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</si>
  <si>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</si>
  <si>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</si>
  <si>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</si>
  <si>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</si>
  <si>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</si>
  <si>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</si>
  <si>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</si>
  <si>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</si>
  <si>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</si>
  <si>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</si>
  <si>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</si>
  <si>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</si>
  <si>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</si>
  <si>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</si>
  <si>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</si>
  <si>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</si>
  <si>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</si>
  <si>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</si>
  <si>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</si>
  <si>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</si>
  <si>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</si>
  <si>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</si>
  <si>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</si>
  <si>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</si>
  <si>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</si>
  <si>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</si>
  <si>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</si>
  <si>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</si>
  <si>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</si>
  <si>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</si>
  <si>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</si>
  <si>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</si>
  <si>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</si>
  <si>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</si>
  <si>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</si>
  <si>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</si>
  <si>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</si>
  <si>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</si>
  <si>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</si>
  <si>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</si>
  <si>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</si>
  <si>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</si>
  <si>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</si>
  <si>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</si>
  <si>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</si>
  <si>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</si>
  <si>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</si>
  <si>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</si>
  <si>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</si>
  <si>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</si>
  <si>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</si>
  <si>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</si>
  <si>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</si>
  <si>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</si>
  <si>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</si>
  <si>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</si>
  <si>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</si>
  <si>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</si>
  <si>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</si>
  <si>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</si>
  <si>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</si>
  <si>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</si>
  <si>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</si>
  <si>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</si>
  <si>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</si>
  <si>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</si>
  <si>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</si>
  <si>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</si>
  <si>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</si>
  <si>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</si>
  <si>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</si>
  <si>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</si>
  <si>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</si>
  <si>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</si>
  <si>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</si>
  <si>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</si>
  <si>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</si>
  <si>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</si>
  <si>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</si>
  <si>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</si>
  <si>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</si>
  <si>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</si>
  <si>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</si>
  <si>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</si>
  <si>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</si>
  <si>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</si>
  <si>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</si>
  <si>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</si>
  <si>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</si>
  <si>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</si>
  <si>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</si>
  <si>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</si>
  <si>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</si>
  <si>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</si>
  <si>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</si>
  <si>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</si>
  <si>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</si>
  <si>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</si>
  <si>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</si>
  <si>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</si>
  <si>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</si>
  <si>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</si>
  <si>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</si>
  <si>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</si>
  <si>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</si>
  <si>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</si>
  <si>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</si>
  <si>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</si>
  <si>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</si>
  <si>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</si>
  <si>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</si>
  <si>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</si>
  <si>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</si>
  <si>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</si>
  <si>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</si>
  <si>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</si>
  <si>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</si>
  <si>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</si>
  <si>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</si>
  <si>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</si>
  <si>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</si>
  <si>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</si>
  <si>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</si>
  <si>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</si>
  <si>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</si>
  <si>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</si>
  <si>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</si>
  <si>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</si>
  <si>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</si>
  <si>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</si>
  <si>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</si>
  <si>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</si>
  <si>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</si>
  <si>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</si>
  <si>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</si>
  <si>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</si>
  <si>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</si>
  <si>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</si>
  <si>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</si>
  <si>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</si>
  <si>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</si>
  <si>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</si>
  <si>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</si>
  <si>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</si>
  <si>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</si>
  <si>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</si>
  <si>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</si>
  <si>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</si>
  <si>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</si>
  <si>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</si>
  <si>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</si>
  <si>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</si>
  <si>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</si>
  <si>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</si>
  <si>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</si>
  <si>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</si>
  <si>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</si>
  <si>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</si>
  <si>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</si>
  <si>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</si>
  <si>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</si>
  <si>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</si>
  <si>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</si>
  <si>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</si>
  <si>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</si>
  <si>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</si>
  <si>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</si>
  <si>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</si>
  <si>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</si>
  <si>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</si>
  <si>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</si>
  <si>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</si>
  <si>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</si>
  <si>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</si>
  <si>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</si>
  <si>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</si>
  <si>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</si>
  <si>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</si>
  <si>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</si>
  <si>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</si>
  <si>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</si>
  <si>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</si>
  <si>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</si>
  <si>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</si>
  <si>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</si>
  <si>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</si>
  <si>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</si>
  <si>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</si>
  <si>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</si>
  <si>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</si>
  <si>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</si>
  <si>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</si>
  <si>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</si>
  <si>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</si>
  <si>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</si>
  <si>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</si>
  <si>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</si>
  <si>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</si>
  <si>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</si>
  <si>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</si>
  <si>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</si>
  <si>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</si>
  <si>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</si>
  <si>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</si>
  <si>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</si>
  <si>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</si>
  <si>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</si>
  <si>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</si>
  <si>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</si>
  <si>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</si>
  <si>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</si>
  <si>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</si>
  <si>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</si>
  <si>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</si>
  <si>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</si>
  <si>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</si>
  <si>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</si>
  <si>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</si>
  <si>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</si>
  <si>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</si>
  <si>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</si>
  <si>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</si>
  <si>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</si>
  <si>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</si>
  <si>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</si>
  <si>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</si>
  <si>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</si>
  <si>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</si>
  <si>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</si>
  <si>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</si>
  <si>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</si>
  <si>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</si>
  <si>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</si>
  <si>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</si>
  <si>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</si>
  <si>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</si>
  <si>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</si>
  <si>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</si>
  <si>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</si>
  <si>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</si>
  <si>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</si>
  <si>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</si>
  <si>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</si>
  <si>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</si>
  <si>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</si>
  <si>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</si>
  <si>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</si>
  <si>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</si>
  <si>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</si>
  <si>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</si>
  <si>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</si>
  <si>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</si>
  <si>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</si>
  <si>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</si>
  <si>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</si>
  <si>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</si>
  <si>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</si>
  <si>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</si>
  <si>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</si>
  <si>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</si>
  <si>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</si>
  <si>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</si>
  <si>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</si>
  <si>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</si>
  <si>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</si>
  <si>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</si>
  <si>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</si>
  <si>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</si>
  <si>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</si>
  <si>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</si>
  <si>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</si>
  <si>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</si>
  <si>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</si>
  <si>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</si>
  <si>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</si>
  <si>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</si>
  <si>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</si>
  <si>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</si>
  <si>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</si>
  <si>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</si>
  <si>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</si>
  <si>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</si>
  <si>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</si>
  <si>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</si>
  <si>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</si>
  <si>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</si>
  <si>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</si>
  <si>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</si>
  <si>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</si>
  <si>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</si>
  <si>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</si>
  <si>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</si>
  <si>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</si>
  <si>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</si>
  <si>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</si>
  <si>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</si>
  <si>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</si>
  <si>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</si>
  <si>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</si>
  <si>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</si>
  <si>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</si>
  <si>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</si>
  <si>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</si>
  <si>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</si>
  <si>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</si>
  <si>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</si>
  <si>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</si>
  <si>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</si>
  <si>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</si>
  <si>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</si>
  <si>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</si>
  <si>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</si>
  <si>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</si>
  <si>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</si>
  <si>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</si>
  <si>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</si>
  <si>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</si>
  <si>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</si>
  <si>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</si>
  <si>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</si>
  <si>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</si>
  <si>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</si>
  <si>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</si>
  <si>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</si>
  <si>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</si>
  <si>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</si>
  <si>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</si>
  <si>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</si>
  <si>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</si>
  <si>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</si>
  <si>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</si>
  <si>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</si>
  <si>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</si>
  <si>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</si>
  <si>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</si>
  <si>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</si>
  <si>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</si>
  <si>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</si>
  <si>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</si>
  <si>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</si>
  <si>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</si>
  <si>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</si>
  <si>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</si>
  <si>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</si>
  <si>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</si>
  <si>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</si>
  <si>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</si>
  <si>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</si>
  <si>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</si>
  <si>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</si>
  <si>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</si>
  <si>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</si>
  <si>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</si>
  <si>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</si>
  <si>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</si>
  <si>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</si>
  <si>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</si>
  <si>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</si>
  <si>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</si>
  <si>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</si>
  <si>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</si>
  <si>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</si>
  <si>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</si>
  <si>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</si>
  <si>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</si>
  <si>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</si>
  <si>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</si>
  <si>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</si>
  <si>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</si>
  <si>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</si>
  <si>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</si>
  <si>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</si>
  <si>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</si>
  <si>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</si>
  <si>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</si>
  <si>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</si>
  <si>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</si>
  <si>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</si>
  <si>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</si>
  <si>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</si>
  <si>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</si>
  <si>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</si>
  <si>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</si>
  <si>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</si>
  <si>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</si>
  <si>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</si>
  <si>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</si>
  <si>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</si>
  <si>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</si>
  <si>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</si>
  <si>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</si>
  <si>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</si>
  <si>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</si>
  <si>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</si>
  <si>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</si>
  <si>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</si>
  <si>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</si>
  <si>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</si>
  <si>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</si>
  <si>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</si>
  <si>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</si>
  <si>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</si>
  <si>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</si>
  <si>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</si>
  <si>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</si>
  <si>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</si>
  <si>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</si>
  <si>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</si>
  <si>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</si>
  <si>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</si>
  <si>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</si>
  <si>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</si>
  <si>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</si>
  <si>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</si>
  <si>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</si>
  <si>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</si>
  <si>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</si>
  <si>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</si>
  <si>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</si>
  <si>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</si>
  <si>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</si>
  <si>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</si>
  <si>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</si>
  <si>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</si>
  <si>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</si>
  <si>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</si>
  <si>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</si>
  <si>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</si>
  <si>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</si>
  <si>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</si>
  <si>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</si>
  <si>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</si>
  <si>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</si>
  <si>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</si>
  <si>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</si>
  <si>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</si>
  <si>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</si>
  <si>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</si>
  <si>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</si>
  <si>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</si>
  <si>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</si>
  <si>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</si>
  <si>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</si>
  <si>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</si>
  <si>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</si>
  <si>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</si>
  <si>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</si>
  <si>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</si>
  <si>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</si>
  <si>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</si>
  <si>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</si>
  <si>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</si>
  <si>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</si>
  <si>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</si>
  <si>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</si>
  <si>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</si>
  <si>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</si>
  <si>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</si>
  <si>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</si>
  <si>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</si>
  <si>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</si>
  <si>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</si>
  <si>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</si>
  <si>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</si>
  <si>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</si>
  <si>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</si>
  <si>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</si>
  <si>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</si>
  <si>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</si>
  <si>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</si>
  <si>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</si>
  <si>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</si>
  <si>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</si>
  <si>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</si>
  <si>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</si>
  <si>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</si>
  <si>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</si>
  <si>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</si>
  <si>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</si>
  <si>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</si>
  <si>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</si>
  <si>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</si>
  <si>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</si>
  <si>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</si>
  <si>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</si>
  <si>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</si>
  <si>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</si>
  <si>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</si>
  <si>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</si>
  <si>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</si>
  <si>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</si>
  <si>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</si>
  <si>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</si>
  <si>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</si>
  <si>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</si>
  <si>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</si>
  <si>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</si>
  <si>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</si>
  <si>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</si>
  <si>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</si>
  <si>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</si>
  <si>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</si>
  <si>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</si>
  <si>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</si>
  <si>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</si>
  <si>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</si>
  <si>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</si>
  <si>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</si>
  <si>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</si>
  <si>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</si>
  <si>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</si>
  <si>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</si>
  <si>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</si>
  <si>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</si>
  <si>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</si>
  <si>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</si>
  <si>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</si>
  <si>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</si>
  <si>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</si>
  <si>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</si>
  <si>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</si>
  <si>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</si>
  <si>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</si>
  <si>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</si>
  <si>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</si>
  <si>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</si>
  <si>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</si>
  <si>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</si>
  <si>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</si>
  <si>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</si>
  <si>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</si>
  <si>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</si>
  <si>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</si>
  <si>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</si>
  <si>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</si>
  <si>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</si>
  <si>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</si>
  <si>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</si>
  <si>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</si>
  <si>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</si>
  <si>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</si>
  <si>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</si>
  <si>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</si>
  <si>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</si>
  <si>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</si>
  <si>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</si>
  <si>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</si>
  <si>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</si>
  <si>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</si>
  <si>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</si>
  <si>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</si>
  <si>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</si>
  <si>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</si>
  <si>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</si>
  <si>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</si>
  <si>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</si>
  <si>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</si>
  <si>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</si>
  <si>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</si>
  <si>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</si>
  <si>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</si>
  <si>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</si>
  <si>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</si>
  <si>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</si>
  <si>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</si>
  <si>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</si>
  <si>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</si>
  <si>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</si>
  <si>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</si>
  <si>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</si>
  <si>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</si>
  <si>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</si>
  <si>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</si>
  <si>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</si>
  <si>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</si>
  <si>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</si>
  <si>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</si>
  <si>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</si>
  <si>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</si>
  <si>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</si>
  <si>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</si>
  <si>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</si>
  <si>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</si>
  <si>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</si>
  <si>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</si>
  <si>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</si>
  <si>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</si>
  <si>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</si>
  <si>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</si>
  <si>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</si>
  <si>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</si>
  <si>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</si>
  <si>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</si>
  <si>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</si>
  <si>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</si>
  <si>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</si>
  <si>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</si>
  <si>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</si>
  <si>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</si>
  <si>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</si>
  <si>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</si>
  <si>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</si>
  <si>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</si>
  <si>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</si>
  <si>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</si>
  <si>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</si>
  <si>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</si>
  <si>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</si>
  <si>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</si>
  <si>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</si>
  <si>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</si>
  <si>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</si>
  <si>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</si>
  <si>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</si>
  <si>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</si>
  <si>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</si>
  <si>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</si>
  <si>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</si>
  <si>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</si>
  <si>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</si>
  <si>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</si>
  <si>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</si>
  <si>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</si>
  <si>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</si>
  <si>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</si>
  <si>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</si>
  <si>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</si>
  <si>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</si>
  <si>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</si>
  <si>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</si>
  <si>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</si>
  <si>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</si>
  <si>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</si>
  <si>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</si>
  <si>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</si>
  <si>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</si>
  <si>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</si>
  <si>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</si>
  <si>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</si>
  <si>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</si>
  <si>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</si>
  <si>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</si>
  <si>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</si>
  <si>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</si>
  <si>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</si>
  <si>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</si>
  <si>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</si>
  <si>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</si>
  <si>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</si>
  <si>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</si>
  <si>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</si>
  <si>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</si>
  <si>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</si>
  <si>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</si>
  <si>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</si>
  <si>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</si>
  <si>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</si>
  <si>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</si>
  <si>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</si>
  <si>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</si>
  <si>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</si>
  <si>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</si>
  <si>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</si>
  <si>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</si>
  <si>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</si>
  <si>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</si>
  <si>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</si>
  <si>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</si>
  <si>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</si>
  <si>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</si>
  <si>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</si>
  <si>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</si>
  <si>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</si>
  <si>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</si>
  <si>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</si>
  <si>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</si>
  <si>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</si>
  <si>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</si>
  <si>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</si>
  <si>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</si>
  <si>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</si>
  <si>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</si>
  <si>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</si>
  <si>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</si>
  <si>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</si>
  <si>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</si>
  <si>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</si>
  <si>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</si>
  <si>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</si>
  <si>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</si>
  <si>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</si>
  <si>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</si>
  <si>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</si>
  <si>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</si>
  <si>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</si>
  <si>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</si>
  <si>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</si>
  <si>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</si>
  <si>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</si>
  <si>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</si>
  <si>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</si>
  <si>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</si>
  <si>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</si>
  <si>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</si>
  <si>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</si>
  <si>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</si>
  <si>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</si>
  <si>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</si>
  <si>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</si>
  <si>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</si>
  <si>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</si>
  <si>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</si>
  <si>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</si>
  <si>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</si>
  <si>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</si>
  <si>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</si>
  <si>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</si>
  <si>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</si>
  <si>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</si>
  <si>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</si>
  <si>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</si>
  <si>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</si>
  <si>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</si>
  <si>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</si>
  <si>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</si>
  <si>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</si>
  <si>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</si>
  <si>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</si>
  <si>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</si>
  <si>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</si>
  <si>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</si>
  <si>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</si>
  <si>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</si>
  <si>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</si>
  <si>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</si>
  <si>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</si>
  <si>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</si>
  <si>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</si>
  <si>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</si>
  <si>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</si>
  <si>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</si>
  <si>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</si>
  <si>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</si>
  <si>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</si>
  <si>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</si>
  <si>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</si>
  <si>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</si>
  <si>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</si>
  <si>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</si>
  <si>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</si>
  <si>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</si>
  <si>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</si>
  <si>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</si>
  <si>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</si>
  <si>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</si>
  <si>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</si>
  <si>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</si>
  <si>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</si>
  <si>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</si>
  <si>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</si>
  <si>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</si>
  <si>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</si>
  <si>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</si>
  <si>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</si>
  <si>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</si>
  <si>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</si>
  <si>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</si>
  <si>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</si>
  <si>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</si>
  <si>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</si>
  <si>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</si>
  <si>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</si>
  <si>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</si>
  <si>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</si>
  <si>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</si>
  <si>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</si>
  <si>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</si>
  <si>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</si>
  <si>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</si>
  <si>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</si>
  <si>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</si>
  <si>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</si>
  <si>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</si>
  <si>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</si>
  <si>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</si>
  <si>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</si>
  <si>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</si>
  <si>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</si>
  <si>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</si>
  <si>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</si>
  <si>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</si>
  <si>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</si>
  <si>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</si>
  <si>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</si>
  <si>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</si>
  <si>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</si>
  <si>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</si>
  <si>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</si>
  <si>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</si>
  <si>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</si>
  <si>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</si>
  <si>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</si>
  <si>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</si>
  <si>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</si>
  <si>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</si>
  <si>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</si>
  <si>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</si>
  <si>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</si>
  <si>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</si>
  <si>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</si>
  <si>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</si>
  <si>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</si>
  <si>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</si>
  <si>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</si>
  <si>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</si>
  <si>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</si>
  <si>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</si>
  <si>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</si>
  <si>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</si>
  <si>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</si>
  <si>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</si>
  <si>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</si>
  <si>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</si>
  <si>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</si>
  <si>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</si>
  <si>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</si>
  <si>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</si>
  <si>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</si>
  <si>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</si>
  <si>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</si>
  <si>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</si>
  <si>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</si>
  <si>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</si>
  <si>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</si>
  <si>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</si>
  <si>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</si>
  <si>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</si>
  <si>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</si>
  <si>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</si>
  <si>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</si>
  <si>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</si>
  <si>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</si>
  <si>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</si>
  <si>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</si>
  <si>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</si>
  <si>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</si>
  <si>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</si>
  <si>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</si>
  <si>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</si>
  <si>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</si>
  <si>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</si>
  <si>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</si>
  <si>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</si>
  <si>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</si>
  <si>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</si>
  <si>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</si>
  <si>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</si>
  <si>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</si>
  <si>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</si>
  <si>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</si>
  <si>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</si>
  <si>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</si>
  <si>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</si>
  <si>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</si>
  <si>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</si>
  <si>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</si>
  <si>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</si>
  <si>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</si>
  <si>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</si>
  <si>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</si>
  <si>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</si>
  <si>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</si>
  <si>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</si>
  <si>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</si>
  <si>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</si>
  <si>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</si>
  <si>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</si>
  <si>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</si>
  <si>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</si>
  <si>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</si>
  <si>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</si>
  <si>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</si>
  <si>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</si>
  <si>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</si>
  <si>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</si>
  <si>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</si>
  <si>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</si>
  <si>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</si>
  <si>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</si>
  <si>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</si>
  <si>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</si>
  <si>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</si>
  <si>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</si>
  <si>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</si>
  <si>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</si>
  <si>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</si>
  <si>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</si>
  <si>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</si>
  <si>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</si>
  <si>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</si>
  <si>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</si>
  <si>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</si>
  <si>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</si>
  <si>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</si>
  <si>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</si>
  <si>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</si>
  <si>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</si>
  <si>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</si>
  <si>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</si>
  <si>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</si>
  <si>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</si>
  <si>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</si>
  <si>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</si>
  <si>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</si>
  <si>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</si>
  <si>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</si>
  <si>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</si>
  <si>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</si>
  <si>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</si>
  <si>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</si>
  <si>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</si>
  <si>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</si>
  <si>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</si>
  <si>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</si>
  <si>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</si>
  <si>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</si>
  <si>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</si>
  <si>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</si>
  <si>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</si>
  <si>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</si>
  <si>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</si>
  <si>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</si>
  <si>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</si>
  <si>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</si>
  <si>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</si>
  <si>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</si>
  <si>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</si>
  <si>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</si>
  <si>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</si>
  <si>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</si>
  <si>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</si>
  <si>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</si>
  <si>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</si>
  <si>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</si>
  <si>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</si>
  <si>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</si>
  <si>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</si>
  <si>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</si>
  <si>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</si>
  <si>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</si>
  <si>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</si>
  <si>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</si>
  <si>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</si>
  <si>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</si>
  <si>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</si>
  <si>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</si>
  <si>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</si>
  <si>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</si>
  <si>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</si>
  <si>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</si>
  <si>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</si>
  <si>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</si>
  <si>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</si>
  <si>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</si>
  <si>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</si>
  <si>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</si>
  <si>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</si>
  <si>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</si>
  <si>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</si>
  <si>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</si>
  <si>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</si>
  <si>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</si>
  <si>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</si>
  <si>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</si>
  <si>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</si>
  <si>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</si>
  <si>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</si>
  <si>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</si>
  <si>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</si>
  <si>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</si>
  <si>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</si>
  <si>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</si>
  <si>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</si>
  <si>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</si>
  <si>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</si>
  <si>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</si>
  <si>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</si>
  <si>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</si>
  <si>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</si>
  <si>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</si>
  <si>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</si>
  <si>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</si>
  <si>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</si>
  <si>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</si>
  <si>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</si>
  <si>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</si>
  <si>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</si>
  <si>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</si>
  <si>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</si>
  <si>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</si>
  <si>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</si>
  <si>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</si>
  <si>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</si>
  <si>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</si>
  <si>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</si>
  <si>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</si>
  <si>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</si>
  <si>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</si>
  <si>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</si>
  <si>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</si>
  <si>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</si>
  <si>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</si>
  <si>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</si>
  <si>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</si>
  <si>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</si>
  <si>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</si>
  <si>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</si>
  <si>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</si>
  <si>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</si>
  <si>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</si>
  <si>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</si>
  <si>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</si>
  <si>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</si>
  <si>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</si>
  <si>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</si>
  <si>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</si>
  <si>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</si>
  <si>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</si>
  <si>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</si>
  <si>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</si>
  <si>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</si>
  <si>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</si>
  <si>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</si>
  <si>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</si>
  <si>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</si>
  <si>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</si>
  <si>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</si>
  <si>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</si>
  <si>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</si>
  <si>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</si>
  <si>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</si>
  <si>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</si>
  <si>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</si>
  <si>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</si>
  <si>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</si>
  <si>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</si>
  <si>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</si>
  <si>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</si>
  <si>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</si>
  <si>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</si>
  <si>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</si>
  <si>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</si>
  <si>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</si>
  <si>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</si>
  <si>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</si>
  <si>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</si>
  <si>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</si>
  <si>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</si>
  <si>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</si>
  <si>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</si>
  <si>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</si>
  <si>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</si>
  <si>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</si>
  <si>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</si>
  <si>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</si>
  <si>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</si>
  <si>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</si>
  <si>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</si>
  <si>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</si>
  <si>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</si>
  <si>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</si>
  <si>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</si>
  <si>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</si>
  <si>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</si>
  <si>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</si>
  <si>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</si>
  <si>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</si>
  <si>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</si>
  <si>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</si>
  <si>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</si>
  <si>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</si>
  <si>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</si>
  <si>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</si>
  <si>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</si>
  <si>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</si>
  <si>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</si>
  <si>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</si>
  <si>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</si>
  <si>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</si>
  <si>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</si>
  <si>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</si>
  <si>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</si>
  <si>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</si>
  <si>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</si>
  <si>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</si>
  <si>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</si>
  <si>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</si>
  <si>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</si>
  <si>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</si>
  <si>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</si>
  <si>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</si>
  <si>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</si>
  <si>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</si>
  <si>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</si>
  <si>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</si>
  <si>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</si>
  <si>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</si>
  <si>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</si>
  <si>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</si>
  <si>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</si>
  <si>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</si>
  <si>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</si>
  <si>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</si>
  <si>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</si>
  <si>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</si>
  <si>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</si>
  <si>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</si>
  <si>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</si>
  <si>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</si>
  <si>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</si>
  <si>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</si>
  <si>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</si>
  <si>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</si>
  <si>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</si>
  <si>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</si>
  <si>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</si>
  <si>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</si>
  <si>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</si>
  <si>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</si>
  <si>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</si>
  <si>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</si>
  <si>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</si>
  <si>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</si>
  <si>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</si>
  <si>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</si>
  <si>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</si>
  <si>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</si>
  <si>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</si>
  <si>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</si>
  <si>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</si>
  <si>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</si>
  <si>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</si>
  <si>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</si>
  <si>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</si>
  <si>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</si>
  <si>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</si>
  <si>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</si>
  <si>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</si>
  <si>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</si>
  <si>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</si>
  <si>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</si>
  <si>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</si>
  <si>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</si>
  <si>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</si>
  <si>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</si>
  <si>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</si>
  <si>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</si>
  <si>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</si>
  <si>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</si>
  <si>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</si>
  <si>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</si>
  <si>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</si>
  <si>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</si>
  <si>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</si>
  <si>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</si>
  <si>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</si>
  <si>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</si>
  <si>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</si>
  <si>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</si>
  <si>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</si>
  <si>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</si>
  <si>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</si>
  <si>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</si>
  <si>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</si>
  <si>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</si>
  <si>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</si>
  <si>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</si>
  <si>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</si>
  <si>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</si>
  <si>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</si>
  <si>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</si>
  <si>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</si>
  <si>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</si>
  <si>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</si>
  <si>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</si>
  <si>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</si>
  <si>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</si>
  <si>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</si>
  <si>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</si>
  <si>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</si>
  <si>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</si>
  <si>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</si>
  <si>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</si>
  <si>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</si>
  <si>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</si>
  <si>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</si>
  <si>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</si>
  <si>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</si>
  <si>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</si>
  <si>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</si>
  <si>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</si>
  <si>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</si>
  <si>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</si>
  <si>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</si>
  <si>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</si>
  <si>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</si>
  <si>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</si>
  <si>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</si>
  <si>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</si>
  <si>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</si>
  <si>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</si>
  <si>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</si>
  <si>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</si>
  <si>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</si>
  <si>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</si>
  <si>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</si>
  <si>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</si>
  <si>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</si>
  <si>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</si>
  <si>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</si>
  <si>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</si>
  <si>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</si>
  <si>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</si>
  <si>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</si>
  <si>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</si>
  <si>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</si>
  <si>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</si>
  <si>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</si>
  <si>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</si>
  <si>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</si>
  <si>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</si>
  <si>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</si>
  <si>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</si>
  <si>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</si>
  <si>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</si>
  <si>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</si>
  <si>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</si>
  <si>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</si>
  <si>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</si>
  <si>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</si>
  <si>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</si>
  <si>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</si>
  <si>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</si>
  <si>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</si>
  <si>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</si>
  <si>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</si>
  <si>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</si>
  <si>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</si>
  <si>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</si>
  <si>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</si>
  <si>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</si>
  <si>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</si>
  <si>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</si>
  <si>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</si>
  <si>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</si>
  <si>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</si>
  <si>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</si>
  <si>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</si>
  <si>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</si>
  <si>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</si>
  <si>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</si>
  <si>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</si>
  <si>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</si>
  <si>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</si>
  <si>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</si>
  <si>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</si>
  <si>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</si>
  <si>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</si>
  <si>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</si>
  <si>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</si>
  <si>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</si>
  <si>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</si>
  <si>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</si>
  <si>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</si>
  <si>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</si>
  <si>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</si>
  <si>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</si>
  <si>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</si>
  <si>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</si>
  <si>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</si>
  <si>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</si>
  <si>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</si>
  <si>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</si>
  <si>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</si>
  <si>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</si>
  <si>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</si>
  <si>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</si>
  <si>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</si>
  <si>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</si>
  <si>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</si>
  <si>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</si>
  <si>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</si>
  <si>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</si>
  <si>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</si>
  <si>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</si>
  <si>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</si>
  <si>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</si>
  <si>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</si>
  <si>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</si>
  <si>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</si>
  <si>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</si>
  <si>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</si>
  <si>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</si>
  <si>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</si>
  <si>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</si>
  <si>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</si>
  <si>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</si>
  <si>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</si>
  <si>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</si>
  <si>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</si>
  <si>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</si>
  <si>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</si>
  <si>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</si>
  <si>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</si>
  <si>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</si>
  <si>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</si>
  <si>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</si>
  <si>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</si>
  <si>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</si>
  <si>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</si>
  <si>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</si>
  <si>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</si>
  <si>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</si>
  <si>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</si>
  <si>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</si>
  <si>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</si>
  <si>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</si>
  <si>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</si>
  <si>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</si>
  <si>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</si>
  <si>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</si>
  <si>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</si>
  <si>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</si>
  <si>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</si>
  <si>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</si>
  <si>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</si>
  <si>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</si>
  <si>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</si>
  <si>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</si>
  <si>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Kankakee</t>
  </si>
  <si>
    <t>33 N. Main Street, Ste. #2</t>
  </si>
  <si>
    <t>Jodi K. Gill, CPA</t>
  </si>
  <si>
    <t>Jodi K. Gill</t>
  </si>
  <si>
    <t>281 John Casey Road</t>
  </si>
  <si>
    <t>Manteno</t>
  </si>
  <si>
    <t>Il</t>
  </si>
  <si>
    <t xml:space="preserve">Bourbonnais </t>
  </si>
  <si>
    <t>815-468-8802</t>
  </si>
  <si>
    <t>815-468-8805</t>
  </si>
  <si>
    <t>crawfordd@besd53.org</t>
  </si>
  <si>
    <t>jodi@jodigillcpa.com</t>
  </si>
  <si>
    <t>Dr. Adam Ehrman</t>
  </si>
  <si>
    <t>815-929-5100</t>
  </si>
  <si>
    <t>815-939-0481</t>
  </si>
  <si>
    <t>Jodi K. Gill,CPA</t>
  </si>
  <si>
    <t>School Bonds</t>
  </si>
  <si>
    <t>Working Cash Bonds</t>
  </si>
  <si>
    <t>na</t>
  </si>
  <si>
    <t>U.S. DEPARTMENT OF EDUCATION THRU ISBE:</t>
  </si>
  <si>
    <t>84.010A</t>
  </si>
  <si>
    <t>FY 2019-4300</t>
  </si>
  <si>
    <t>FY 2020-4300</t>
  </si>
  <si>
    <t xml:space="preserve">     Title I - School Imp. &amp; Accountability</t>
  </si>
  <si>
    <t xml:space="preserve">     Title I - Low income</t>
  </si>
  <si>
    <t>FY 2019-4331</t>
  </si>
  <si>
    <t>FY 2020-4331</t>
  </si>
  <si>
    <t>FY 2019-4932</t>
  </si>
  <si>
    <t>FY 2020-4932</t>
  </si>
  <si>
    <t xml:space="preserve">     Title IVA - Student Support &amp; Academic Enrich.</t>
  </si>
  <si>
    <t>84.367A</t>
  </si>
  <si>
    <t>FY 2019-4400</t>
  </si>
  <si>
    <t>FY 2020-4400</t>
  </si>
  <si>
    <t>84.173A</t>
  </si>
  <si>
    <t>84.027A</t>
  </si>
  <si>
    <t>FY 2019-4620</t>
  </si>
  <si>
    <t>FY 2020-4620</t>
  </si>
  <si>
    <t xml:space="preserve">     TOTAL U.S. DEPARTMENT OF EDUCATION</t>
  </si>
  <si>
    <t xml:space="preserve">     National School Luch</t>
  </si>
  <si>
    <t>FY 2019-4210</t>
  </si>
  <si>
    <t>FY 2020-4210</t>
  </si>
  <si>
    <t xml:space="preserve">     School Breakfast</t>
  </si>
  <si>
    <t>FY 2019-4220</t>
  </si>
  <si>
    <t>FY 2020-4220</t>
  </si>
  <si>
    <t xml:space="preserve">     Summer Food Service Program</t>
  </si>
  <si>
    <t>FY 2020-4225</t>
  </si>
  <si>
    <t xml:space="preserve">     Fresh Fruits &amp; Vegetables</t>
  </si>
  <si>
    <t xml:space="preserve">     Food Commodities Program</t>
  </si>
  <si>
    <t xml:space="preserve">     TOTAL U.S. DEPARTMENT OF AGRICULTURE</t>
  </si>
  <si>
    <t>DEPARTMENT OF AGRICULTURE:</t>
  </si>
  <si>
    <t>U.S. DEPARTMENT OF HEALTH &amp; HUMAN SERVICES:</t>
  </si>
  <si>
    <t xml:space="preserve">     Medicaid</t>
  </si>
  <si>
    <t xml:space="preserve">     TOTAL U.S. DEPARTMENT OF HHS</t>
  </si>
  <si>
    <t>TOTALS</t>
  </si>
  <si>
    <t xml:space="preserve">     Education Stabilization Fund</t>
  </si>
  <si>
    <t>84.425D</t>
  </si>
  <si>
    <t>FY 2020-4998ER</t>
  </si>
  <si>
    <t>FY 2019-4600</t>
  </si>
  <si>
    <t>FY 2020-4600</t>
  </si>
  <si>
    <t>FY 2020-4991</t>
  </si>
  <si>
    <t>Unmodified</t>
  </si>
  <si>
    <t>Teacher Quality</t>
  </si>
  <si>
    <t>Fed. Spec. Ed. - PreSchool Flow Thru</t>
  </si>
  <si>
    <t>Fed. Spec. Ed. - IDEA Flow Thru</t>
  </si>
  <si>
    <t xml:space="preserve">     Title II - Teacher Quality (M)</t>
  </si>
  <si>
    <t xml:space="preserve">     Fed. Spec. Ed. - Pre-School Flow Thru (M)</t>
  </si>
  <si>
    <t xml:space="preserve">     Fed. Spec. Ed. - IDEA Flow Thru (M)</t>
  </si>
  <si>
    <t>The accompanying Schedule of Expenditures of Federal Awards includes the federal grant activity of Bourbonnais Elementary SD 53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</si>
  <si>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</si>
  <si>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N/A</t>
  </si>
  <si>
    <t>Of the federal expenditures presented in the schedule, Bourbonnais Elementary SD 53 provided federal awards to subrecipients as follows:</t>
  </si>
  <si>
    <r>
      <t xml:space="preserve">The following amounts were expended in the form of non-cash assistance by Bourbonnais Elementary SD and </t>
    </r>
    <r>
      <rPr>
        <b/>
        <sz val="9"/>
        <rFont val="Calibri"/>
        <family val="2"/>
        <scheme val="minor"/>
      </rPr>
      <t>should be</t>
    </r>
    <r>
      <rPr>
        <sz val="9"/>
        <rFont val="Calibri"/>
        <family val="2"/>
        <scheme val="minor"/>
      </rPr>
      <t xml:space="preserve"> included in the Schedule of Expenditures of Federal Awards:</t>
    </r>
  </si>
  <si>
    <t>NONE</t>
  </si>
  <si>
    <t>Acme Complete Parking Lot Serv</t>
  </si>
  <si>
    <t>Aqua Illinois</t>
  </si>
  <si>
    <t>Aramark Corporation</t>
  </si>
  <si>
    <t>Camelot Schools</t>
  </si>
  <si>
    <t>Chicago Autism Academy</t>
  </si>
  <si>
    <t>Cintas Corp. #319</t>
  </si>
  <si>
    <t>Cogent Communications</t>
  </si>
  <si>
    <t>Constellation New Energy</t>
  </si>
  <si>
    <t>Country Club Hills Tech &amp; Trad</t>
  </si>
  <si>
    <t>Creative Learning Systems</t>
  </si>
  <si>
    <t>Eisenhower Cooperative</t>
  </si>
  <si>
    <t>Franczek Radelet</t>
  </si>
  <si>
    <t>Glade Plumbing &amp; Piping Co.</t>
  </si>
  <si>
    <t>Heritage FS, Inc.</t>
  </si>
  <si>
    <t>Houghton Mifflin Harcourt</t>
  </si>
  <si>
    <t>Kankakee Disposal</t>
  </si>
  <si>
    <t>Manteno CUSD No. 5</t>
  </si>
  <si>
    <t>McGraw-Hill School Education</t>
  </si>
  <si>
    <t>NextEra Energy Services</t>
  </si>
  <si>
    <t>Northwest Evaluation Assoc</t>
  </si>
  <si>
    <t>Over the Moon Therapy</t>
  </si>
  <si>
    <t>Renaissance</t>
  </si>
  <si>
    <t>Sage Publications</t>
  </si>
  <si>
    <t>Technology Resource Advisors</t>
  </si>
  <si>
    <t>United Provate Neworks, LLC</t>
  </si>
  <si>
    <t>United Heartland</t>
  </si>
  <si>
    <t>USI Insurance Services</t>
  </si>
  <si>
    <t>Village of Bourbonnais</t>
  </si>
  <si>
    <t>ED-Instruction-Purchased Services</t>
  </si>
  <si>
    <t>ED-Instruction-Supplies &amp; Materials</t>
  </si>
  <si>
    <t>ED-Instruction-Other</t>
  </si>
  <si>
    <t>ED-Support Services-Purchased Services</t>
  </si>
  <si>
    <t>OBM-Support Services-Purchased Services</t>
  </si>
  <si>
    <t>OBM-Support Services-Supplies &amp; Materials</t>
  </si>
  <si>
    <t>84.424A</t>
  </si>
  <si>
    <t xml:space="preserve"> Bourbonnais SD 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</si>
</sst>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0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55"/>
      </top>
      <bottom style="medium">
        <color indexed="64"/>
      </bottom>
      <diagonal/>
    </border>
    <border>
      <left style="thin">
        <color indexed="55"/>
      </left>
      <right style="thin">
        <color indexed="55"/>
      </right>
      <top style="medium">
        <color indexed="64"/>
      </top>
      <bottom style="medium">
        <color indexed="64"/>
      </bottom>
      <diagonal/>
    </border>
    <border>
      <left style="thin">
        <color indexed="55"/>
      </left>
      <right style="thin">
        <color indexed="55"/>
      </right>
      <top/>
      <bottom style="medium">
        <color indexed="64"/>
      </bottom>
      <diagonal/>
    </border>
    <border>
      <left style="thin">
        <color indexed="55"/>
      </left>
      <right style="thin">
        <color indexed="55"/>
      </right>
      <top style="thin">
        <color indexed="55"/>
      </top>
      <bottom style="double">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3" fontId="63" fillId="0" borderId="196" xfId="3" applyNumberFormat="1" applyFont="1" applyBorder="1" applyAlignment="1" applyProtection="1">
      <alignment horizontal="center" shrinkToFit="1"/>
      <protection locked="0"/>
    </xf>
    <xf numFmtId="3" fontId="63" fillId="0" borderId="197" xfId="3" applyNumberFormat="1" applyFont="1" applyBorder="1" applyAlignment="1" applyProtection="1">
      <alignment horizontal="center" shrinkToFit="1"/>
      <protection locked="0"/>
    </xf>
    <xf numFmtId="3" fontId="63" fillId="0" borderId="198"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indent="1"/>
      <protection locked="0"/>
    </xf>
    <xf numFmtId="3" fontId="65" fillId="0" borderId="22" xfId="3" applyNumberFormat="1" applyFont="1" applyBorder="1" applyAlignment="1" applyProtection="1">
      <alignment horizontal="left" vertical="center" wrapText="1" indent="6"/>
      <protection locked="0"/>
    </xf>
    <xf numFmtId="3" fontId="63" fillId="0" borderId="199" xfId="3" applyNumberFormat="1" applyFont="1" applyBorder="1" applyAlignment="1" applyProtection="1">
      <alignment horizontal="center" shrinkToFit="1"/>
      <protection locked="0"/>
    </xf>
    <xf numFmtId="3" fontId="63" fillId="0" borderId="200" xfId="3" applyNumberFormat="1" applyFont="1" applyBorder="1" applyAlignment="1" applyProtection="1">
      <alignment horizontal="center" shrinkToFit="1"/>
      <protection locked="0"/>
    </xf>
    <xf numFmtId="3" fontId="63" fillId="0" borderId="201" xfId="3" applyNumberFormat="1" applyFont="1" applyBorder="1" applyAlignment="1" applyProtection="1">
      <alignment horizontal="center" shrinkToFit="1"/>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895350</xdr:colOff>
          <xdr:row>0</xdr:row>
          <xdr:rowOff>38100</xdr:rowOff>
        </xdr:from>
        <xdr:to>
          <xdr:col>1</xdr:col>
          <xdr:colOff>1809750</xdr:colOff>
          <xdr:row>4</xdr:row>
          <xdr:rowOff>76200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38100</xdr:rowOff>
        </xdr:from>
        <xdr:to>
          <xdr:col>1</xdr:col>
          <xdr:colOff>838200</xdr:colOff>
          <xdr:row>4</xdr:row>
          <xdr:rowOff>76200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1866900</xdr:colOff>
          <xdr:row>0</xdr:row>
          <xdr:rowOff>38100</xdr:rowOff>
        </xdr:from>
        <xdr:to>
          <xdr:col>1</xdr:col>
          <xdr:colOff>2781300</xdr:colOff>
          <xdr:row>4</xdr:row>
          <xdr:rowOff>76200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5">
        <f>+'AFR20'!E4</f>
        <v>44119</v>
      </c>
      <c r="C1" s="2045"/>
      <c r="D1" s="2046"/>
      <c r="I1" s="2124" t="s">
        <v>402</v>
      </c>
      <c r="J1" s="2125"/>
      <c r="K1" s="2125"/>
      <c r="L1" s="2125"/>
      <c r="M1" s="2125"/>
      <c r="N1" s="2125"/>
      <c r="O1" s="2125"/>
      <c r="P1" s="2125"/>
      <c r="Q1" s="2125"/>
      <c r="R1" s="2125"/>
      <c r="S1" s="2125"/>
    </row>
    <row r="2" spans="1:32" ht="12" customHeight="1" x14ac:dyDescent="0.2">
      <c r="A2" s="1831" t="str">
        <f>"Due to ISBE on "</f>
        <v xml:space="preserve">Due to ISBE on </v>
      </c>
      <c r="B2" s="2047">
        <f>+'AFR20'!F4</f>
        <v>44151</v>
      </c>
      <c r="C2" s="2047"/>
      <c r="D2" s="2048"/>
      <c r="I2" s="2126" t="s">
        <v>2000</v>
      </c>
      <c r="J2" s="2125"/>
      <c r="K2" s="2125"/>
      <c r="L2" s="2125"/>
      <c r="M2" s="2125"/>
      <c r="N2" s="2125"/>
      <c r="O2" s="2125"/>
      <c r="P2" s="2125"/>
      <c r="Q2" s="2125"/>
      <c r="R2" s="2125"/>
      <c r="S2" s="2125"/>
    </row>
    <row r="3" spans="1:32" ht="12" customHeight="1" x14ac:dyDescent="0.2">
      <c r="A3" s="1834" t="str">
        <f>"SD/JA"&amp;MID('AFR20'!E2,3,2)</f>
        <v>SD/JA20</v>
      </c>
      <c r="B3" s="151"/>
      <c r="C3" s="151"/>
      <c r="D3" s="152"/>
      <c r="I3" s="2126" t="s">
        <v>52</v>
      </c>
      <c r="J3" s="2125"/>
      <c r="K3" s="2125"/>
      <c r="L3" s="2125"/>
      <c r="M3" s="2125"/>
      <c r="N3" s="2125"/>
      <c r="O3" s="2125"/>
      <c r="P3" s="2125"/>
      <c r="Q3" s="2125"/>
      <c r="R3" s="2125"/>
      <c r="S3" s="2125"/>
    </row>
    <row r="4" spans="1:32" ht="12" customHeight="1" x14ac:dyDescent="0.2">
      <c r="A4" s="37"/>
      <c r="I4" s="2126" t="s">
        <v>521</v>
      </c>
      <c r="J4" s="2125"/>
      <c r="K4" s="2125"/>
      <c r="L4" s="2125"/>
      <c r="M4" s="2125"/>
      <c r="N4" s="2125"/>
      <c r="O4" s="2125"/>
      <c r="P4" s="2125"/>
      <c r="Q4" s="2125"/>
      <c r="R4" s="2125"/>
      <c r="S4" s="2125"/>
    </row>
    <row r="5" spans="1:32" ht="14.1" customHeight="1" x14ac:dyDescent="0.2">
      <c r="B5" s="101" t="s">
        <v>2048</v>
      </c>
      <c r="C5" s="26" t="s">
        <v>904</v>
      </c>
      <c r="D5" s="81"/>
      <c r="E5" s="81"/>
      <c r="H5" s="38"/>
      <c r="I5" s="2133" t="s">
        <v>675</v>
      </c>
      <c r="J5" s="2078"/>
      <c r="K5" s="2078"/>
      <c r="L5" s="2078"/>
      <c r="M5" s="2078"/>
      <c r="N5" s="2078"/>
      <c r="O5" s="2078"/>
      <c r="P5" s="2078"/>
      <c r="Q5" s="2078"/>
      <c r="R5" s="2078"/>
      <c r="S5" s="2078"/>
      <c r="AF5" s="1827"/>
    </row>
    <row r="6" spans="1:32" ht="14.1" customHeight="1" x14ac:dyDescent="0.2">
      <c r="B6" s="101"/>
      <c r="C6" s="26" t="s">
        <v>905</v>
      </c>
      <c r="D6" s="81"/>
      <c r="E6" s="81"/>
      <c r="I6" s="2132" t="s">
        <v>877</v>
      </c>
      <c r="J6" s="2078"/>
      <c r="K6" s="2078"/>
      <c r="L6" s="2078"/>
      <c r="M6" s="2078"/>
      <c r="N6" s="2078"/>
      <c r="O6" s="2078"/>
      <c r="P6" s="2078"/>
      <c r="Q6" s="2078"/>
      <c r="R6" s="2078"/>
      <c r="S6" s="2078"/>
    </row>
    <row r="7" spans="1:32" ht="12.2" customHeight="1" x14ac:dyDescent="0.2">
      <c r="I7" s="2127" t="str">
        <f>"June 30, "&amp;'AFR20'!E2</f>
        <v>June 30, 2020</v>
      </c>
      <c r="J7" s="2128"/>
      <c r="K7" s="2128"/>
      <c r="L7" s="2128"/>
      <c r="M7" s="2128"/>
      <c r="N7" s="2128"/>
      <c r="O7" s="2128"/>
      <c r="P7" s="2128"/>
      <c r="Q7" s="2128"/>
      <c r="R7" s="2128"/>
      <c r="S7" s="212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9" t="s">
        <v>669</v>
      </c>
      <c r="J9" s="2130"/>
      <c r="K9" s="2130"/>
      <c r="L9" s="2130"/>
      <c r="M9" s="2130"/>
      <c r="N9" s="2130"/>
      <c r="O9" s="2130"/>
      <c r="P9" s="2130"/>
      <c r="Q9" s="2130"/>
      <c r="R9" s="2130"/>
      <c r="S9" s="2131"/>
      <c r="T9" s="2074" t="s">
        <v>530</v>
      </c>
      <c r="U9" s="2075"/>
      <c r="V9" s="2075"/>
      <c r="W9" s="2075"/>
      <c r="X9" s="2075"/>
      <c r="Y9" s="2075"/>
      <c r="Z9" s="2075"/>
      <c r="AA9" s="2076"/>
    </row>
    <row r="10" spans="1:32" ht="13.5" customHeight="1" x14ac:dyDescent="0.2">
      <c r="A10" s="2083" t="s">
        <v>670</v>
      </c>
      <c r="B10" s="2084"/>
      <c r="C10" s="2084"/>
      <c r="D10" s="2084"/>
      <c r="E10" s="2084"/>
      <c r="F10" s="2084"/>
      <c r="G10" s="2084"/>
      <c r="H10" s="2085"/>
      <c r="I10" s="29"/>
      <c r="J10" s="30"/>
      <c r="K10" s="28"/>
      <c r="R10" s="30"/>
      <c r="S10" s="30"/>
      <c r="T10" s="2077"/>
      <c r="U10" s="2078"/>
      <c r="V10" s="2078"/>
      <c r="W10" s="2078"/>
      <c r="X10" s="2078"/>
      <c r="Y10" s="2078"/>
      <c r="Z10" s="2078"/>
      <c r="AA10" s="2079"/>
    </row>
    <row r="11" spans="1:32" ht="14.25" customHeight="1" x14ac:dyDescent="0.2">
      <c r="A11" s="2086" t="s">
        <v>949</v>
      </c>
      <c r="B11" s="2087"/>
      <c r="C11" s="2087"/>
      <c r="D11" s="2087"/>
      <c r="E11" s="2087"/>
      <c r="F11" s="2087"/>
      <c r="G11" s="2087"/>
      <c r="H11" s="2088"/>
      <c r="I11" s="27"/>
      <c r="J11" s="71"/>
      <c r="K11" s="27"/>
      <c r="O11" s="144"/>
      <c r="P11" s="97" t="s">
        <v>199</v>
      </c>
      <c r="Q11" s="30"/>
      <c r="R11" s="28"/>
      <c r="S11" s="27"/>
      <c r="T11" s="2080"/>
      <c r="U11" s="2081"/>
      <c r="V11" s="2081"/>
      <c r="W11" s="2081"/>
      <c r="X11" s="2081"/>
      <c r="Y11" s="2081"/>
      <c r="Z11" s="2081"/>
      <c r="AA11" s="2082"/>
    </row>
    <row r="12" spans="1:32" ht="13.5" customHeight="1" x14ac:dyDescent="0.2">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
      <c r="A13" s="2094">
        <v>32046053002</v>
      </c>
      <c r="B13" s="2095"/>
      <c r="C13" s="2095"/>
      <c r="D13" s="2095"/>
      <c r="E13" s="2095"/>
      <c r="F13" s="2095"/>
      <c r="G13" s="2095"/>
      <c r="H13" s="2096"/>
      <c r="I13" s="31"/>
      <c r="J13" s="30"/>
      <c r="K13" s="28"/>
      <c r="L13" s="30"/>
      <c r="M13" s="30"/>
      <c r="N13" s="30"/>
      <c r="O13" s="30"/>
      <c r="P13" s="30"/>
      <c r="Q13" s="30"/>
      <c r="R13" s="30"/>
      <c r="S13" s="30"/>
      <c r="T13" s="2099" t="s">
        <v>2051</v>
      </c>
      <c r="U13" s="2100"/>
      <c r="V13" s="2100"/>
      <c r="W13" s="2100"/>
      <c r="X13" s="2100"/>
      <c r="Y13" s="2101"/>
      <c r="Z13" s="2101"/>
      <c r="AA13" s="210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2" t="s">
        <v>2049</v>
      </c>
      <c r="B15" s="2097"/>
      <c r="C15" s="2097"/>
      <c r="D15" s="2097"/>
      <c r="E15" s="2097"/>
      <c r="F15" s="2097"/>
      <c r="G15" s="2097"/>
      <c r="H15" s="2098"/>
      <c r="T15" s="2060" t="s">
        <v>2052</v>
      </c>
      <c r="U15" s="2061"/>
      <c r="V15" s="2061"/>
      <c r="W15" s="2061"/>
      <c r="X15" s="2061"/>
      <c r="Y15" s="2103"/>
      <c r="Z15" s="2103"/>
      <c r="AA15" s="210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2" t="s">
        <v>2157</v>
      </c>
      <c r="B17" s="2122"/>
      <c r="C17" s="2122"/>
      <c r="D17" s="2122"/>
      <c r="E17" s="2122"/>
      <c r="F17" s="2122"/>
      <c r="G17" s="2122"/>
      <c r="H17" s="2123"/>
      <c r="T17" s="2109" t="s">
        <v>2050</v>
      </c>
      <c r="U17" s="2110"/>
      <c r="V17" s="2110"/>
      <c r="W17" s="2110"/>
      <c r="X17" s="2110"/>
      <c r="Y17" s="2110"/>
      <c r="Z17" s="2110"/>
      <c r="AA17" s="2111"/>
    </row>
    <row r="18" spans="1:27" ht="13.5" customHeight="1" x14ac:dyDescent="0.2">
      <c r="A18" s="82" t="s">
        <v>527</v>
      </c>
      <c r="B18" s="73"/>
      <c r="C18" s="69"/>
      <c r="D18" s="73"/>
      <c r="E18" s="73"/>
      <c r="F18" s="73"/>
      <c r="G18" s="73"/>
      <c r="H18" s="53"/>
      <c r="I18" s="2119" t="s">
        <v>671</v>
      </c>
      <c r="J18" s="2120"/>
      <c r="K18" s="2120"/>
      <c r="L18" s="2120"/>
      <c r="M18" s="2120"/>
      <c r="N18" s="2120"/>
      <c r="O18" s="2120"/>
      <c r="P18" s="2120"/>
      <c r="Q18" s="2120"/>
      <c r="R18" s="2120"/>
      <c r="S18" s="2121"/>
      <c r="T18" s="82" t="s">
        <v>706</v>
      </c>
      <c r="U18" s="48"/>
      <c r="V18" s="69"/>
      <c r="W18" s="47"/>
      <c r="X18" s="82" t="s">
        <v>264</v>
      </c>
      <c r="Y18" s="78"/>
      <c r="Z18" s="154" t="s">
        <v>672</v>
      </c>
      <c r="AA18" s="44"/>
    </row>
    <row r="19" spans="1:27" ht="13.5" customHeight="1" x14ac:dyDescent="0.2">
      <c r="A19" s="2092" t="s">
        <v>2053</v>
      </c>
      <c r="B19" s="2093"/>
      <c r="C19" s="2093"/>
      <c r="D19" s="2093"/>
      <c r="E19" s="2093"/>
      <c r="F19" s="2093"/>
      <c r="G19" s="2093"/>
      <c r="H19" s="2091"/>
      <c r="I19" s="30"/>
      <c r="J19" s="96"/>
      <c r="K19" s="40"/>
      <c r="L19" s="38"/>
      <c r="M19" s="109" t="s">
        <v>312</v>
      </c>
      <c r="P19" s="27"/>
      <c r="Q19" s="27"/>
      <c r="R19" s="27"/>
      <c r="S19" s="31"/>
      <c r="T19" s="2092" t="s">
        <v>2054</v>
      </c>
      <c r="U19" s="2090"/>
      <c r="V19" s="2090"/>
      <c r="W19" s="2091"/>
      <c r="X19" s="2107" t="s">
        <v>2055</v>
      </c>
      <c r="Y19" s="2108"/>
      <c r="Z19" s="2105">
        <v>60950</v>
      </c>
      <c r="AA19" s="210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9" t="s">
        <v>2056</v>
      </c>
      <c r="B21" s="2090"/>
      <c r="C21" s="2090"/>
      <c r="D21" s="2090"/>
      <c r="E21" s="2090"/>
      <c r="F21" s="2090"/>
      <c r="G21" s="2090"/>
      <c r="H21" s="2091"/>
      <c r="I21" s="2115" t="s">
        <v>673</v>
      </c>
      <c r="J21" s="2078"/>
      <c r="K21" s="2078"/>
      <c r="L21" s="2078"/>
      <c r="M21" s="2078"/>
      <c r="N21" s="2078"/>
      <c r="O21" s="2078"/>
      <c r="P21" s="2078"/>
      <c r="Q21" s="2078"/>
      <c r="R21" s="2078"/>
      <c r="S21" s="2079"/>
      <c r="T21" s="2057" t="s">
        <v>2057</v>
      </c>
      <c r="U21" s="2058"/>
      <c r="V21" s="2058"/>
      <c r="W21" s="2058"/>
      <c r="X21" s="2071" t="s">
        <v>2058</v>
      </c>
      <c r="Y21" s="2072"/>
      <c r="Z21" s="2072"/>
      <c r="AA21" s="2073"/>
    </row>
    <row r="22" spans="1:27" ht="13.5" customHeight="1" x14ac:dyDescent="0.2">
      <c r="A22" s="84" t="s">
        <v>528</v>
      </c>
      <c r="B22" s="56"/>
      <c r="C22" s="56"/>
      <c r="D22" s="56"/>
      <c r="E22" s="56"/>
      <c r="F22" s="56"/>
      <c r="G22" s="56"/>
      <c r="H22" s="57"/>
      <c r="I22" s="2116" t="s">
        <v>1412</v>
      </c>
      <c r="J22" s="2117"/>
      <c r="K22" s="2117"/>
      <c r="L22" s="2117"/>
      <c r="M22" s="2117"/>
      <c r="N22" s="2117"/>
      <c r="O22" s="2117"/>
      <c r="P22" s="2117"/>
      <c r="Q22" s="2117"/>
      <c r="R22" s="2117"/>
      <c r="S22" s="2118"/>
      <c r="T22" s="82" t="s">
        <v>1499</v>
      </c>
      <c r="U22" s="48"/>
      <c r="V22" s="69"/>
      <c r="W22" s="48"/>
      <c r="X22" s="155" t="s">
        <v>1307</v>
      </c>
      <c r="Z22" s="43"/>
      <c r="AA22" s="44"/>
    </row>
    <row r="23" spans="1:27" ht="13.5" customHeight="1" x14ac:dyDescent="0.2">
      <c r="A23" s="2112" t="s">
        <v>2059</v>
      </c>
      <c r="B23" s="2113"/>
      <c r="C23" s="2113"/>
      <c r="D23" s="2113"/>
      <c r="E23" s="2113"/>
      <c r="F23" s="2113"/>
      <c r="G23" s="2113"/>
      <c r="H23" s="2114"/>
      <c r="T23" s="2052">
        <v>65.023278000000005</v>
      </c>
      <c r="U23" s="2053"/>
      <c r="V23" s="2053"/>
      <c r="W23" s="2053"/>
      <c r="X23" s="2068">
        <v>44469</v>
      </c>
      <c r="Y23" s="2069"/>
      <c r="Z23" s="2069"/>
      <c r="AA23" s="2070"/>
    </row>
    <row r="24" spans="1:27" ht="14.1" customHeight="1" x14ac:dyDescent="0.2">
      <c r="A24" s="85" t="s">
        <v>672</v>
      </c>
      <c r="B24" s="46"/>
      <c r="C24" s="46"/>
      <c r="D24" s="46"/>
      <c r="E24" s="46"/>
      <c r="F24" s="46"/>
      <c r="G24" s="46"/>
      <c r="H24" s="58"/>
      <c r="J24" s="2154">
        <f>IF(B5="x",IF(AUDITCHECK!D29="AFR form Incomplete.","",IF(AUDITCHECK!D29="Deficit reduction plan is required.","School District must complete a deficit reduction plan in the 2020-2021 Budget",)),"")</f>
        <v>0</v>
      </c>
      <c r="K24" s="2154"/>
      <c r="L24" s="2154"/>
      <c r="M24" s="2154"/>
      <c r="N24" s="2154"/>
      <c r="O24" s="2154"/>
      <c r="P24" s="2154"/>
      <c r="Q24" s="2154"/>
      <c r="R24" s="2154"/>
      <c r="S24" s="2155"/>
      <c r="T24" s="102" t="s">
        <v>528</v>
      </c>
      <c r="U24" s="103"/>
      <c r="V24" s="103"/>
      <c r="W24" s="103"/>
      <c r="X24" s="104"/>
      <c r="Y24" s="104"/>
      <c r="Z24" s="104"/>
      <c r="AA24" s="105"/>
    </row>
    <row r="25" spans="1:27" ht="14.1" customHeight="1" x14ac:dyDescent="0.2">
      <c r="A25" s="2089">
        <v>60914</v>
      </c>
      <c r="B25" s="2090"/>
      <c r="C25" s="2090"/>
      <c r="D25" s="2090"/>
      <c r="E25" s="2090"/>
      <c r="F25" s="2090"/>
      <c r="G25" s="2090"/>
      <c r="H25" s="2091"/>
      <c r="I25" s="110"/>
      <c r="J25" s="2156"/>
      <c r="K25" s="2156"/>
      <c r="L25" s="2156"/>
      <c r="M25" s="2156"/>
      <c r="N25" s="2156"/>
      <c r="O25" s="2156"/>
      <c r="P25" s="2156"/>
      <c r="Q25" s="2156"/>
      <c r="R25" s="2156"/>
      <c r="S25" s="2157"/>
      <c r="T25" s="2049" t="s">
        <v>2060</v>
      </c>
      <c r="U25" s="2050"/>
      <c r="V25" s="2050"/>
      <c r="W25" s="2050"/>
      <c r="X25" s="2050"/>
      <c r="Y25" s="2050"/>
      <c r="Z25" s="2050"/>
      <c r="AA25" s="205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7" t="s">
        <v>1494</v>
      </c>
      <c r="J27" s="2120"/>
      <c r="K27" s="2120"/>
      <c r="L27" s="2120"/>
      <c r="M27" s="2120"/>
      <c r="N27" s="2120"/>
      <c r="O27" s="2120"/>
      <c r="P27" s="2120"/>
      <c r="Q27" s="2120"/>
      <c r="R27" s="2120"/>
      <c r="S27" s="212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3"/>
      <c r="Q35" s="2090"/>
      <c r="R35" s="209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2" t="s">
        <v>2061</v>
      </c>
      <c r="B38" s="2122"/>
      <c r="C38" s="2122"/>
      <c r="D38" s="2122"/>
      <c r="E38" s="2122"/>
      <c r="F38" s="2090"/>
      <c r="G38" s="2090"/>
      <c r="H38" s="2091"/>
      <c r="I38" s="2141"/>
      <c r="J38" s="2061"/>
      <c r="K38" s="2061"/>
      <c r="L38" s="2061"/>
      <c r="M38" s="2061"/>
      <c r="N38" s="2061"/>
      <c r="O38" s="2061"/>
      <c r="P38" s="2062"/>
      <c r="Q38" s="2062"/>
      <c r="R38" s="2062"/>
      <c r="S38" s="2063"/>
      <c r="T38" s="2060"/>
      <c r="U38" s="2061"/>
      <c r="V38" s="2061"/>
      <c r="W38" s="2061"/>
      <c r="X38" s="2062"/>
      <c r="Y38" s="2062"/>
      <c r="Z38" s="2062"/>
      <c r="AA38" s="2063"/>
    </row>
    <row r="39" spans="1:27" ht="12" customHeight="1" x14ac:dyDescent="0.2">
      <c r="A39" s="2145" t="s">
        <v>528</v>
      </c>
      <c r="B39" s="2146"/>
      <c r="C39" s="69"/>
      <c r="D39" s="66"/>
      <c r="E39" s="66"/>
      <c r="F39" s="76"/>
      <c r="G39" s="66"/>
      <c r="H39" s="53"/>
      <c r="I39" s="2145" t="s">
        <v>528</v>
      </c>
      <c r="J39" s="2146"/>
      <c r="K39" s="2146"/>
      <c r="L39" s="2146"/>
      <c r="M39" s="2146"/>
      <c r="N39" s="64"/>
      <c r="O39" s="69"/>
      <c r="P39" s="69"/>
      <c r="Q39" s="75"/>
      <c r="R39" s="69"/>
      <c r="S39" s="53"/>
      <c r="T39" s="69" t="s">
        <v>528</v>
      </c>
      <c r="U39" s="48"/>
      <c r="V39" s="69"/>
      <c r="W39" s="47"/>
      <c r="X39" s="75"/>
      <c r="Y39" s="43"/>
      <c r="Z39" s="43"/>
      <c r="AA39" s="44"/>
    </row>
    <row r="40" spans="1:27" ht="13.5" customHeight="1" x14ac:dyDescent="0.2">
      <c r="A40" s="2148"/>
      <c r="B40" s="2149"/>
      <c r="C40" s="2150"/>
      <c r="D40" s="2150"/>
      <c r="E40" s="2150"/>
      <c r="F40" s="2151"/>
      <c r="G40" s="2151"/>
      <c r="H40" s="2152"/>
      <c r="I40" s="2064"/>
      <c r="J40" s="2066"/>
      <c r="K40" s="2066"/>
      <c r="L40" s="2066"/>
      <c r="M40" s="2066"/>
      <c r="N40" s="2066"/>
      <c r="O40" s="2066"/>
      <c r="P40" s="2066"/>
      <c r="Q40" s="2066"/>
      <c r="R40" s="2066"/>
      <c r="S40" s="2067"/>
      <c r="T40" s="2064"/>
      <c r="U40" s="2065"/>
      <c r="V40" s="2066"/>
      <c r="W40" s="2066"/>
      <c r="X40" s="2066"/>
      <c r="Y40" s="2066"/>
      <c r="Z40" s="2066"/>
      <c r="AA40" s="206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8" t="s">
        <v>2062</v>
      </c>
      <c r="B42" s="2139"/>
      <c r="C42" s="2140"/>
      <c r="D42" s="2153" t="s">
        <v>2063</v>
      </c>
      <c r="E42" s="2139"/>
      <c r="F42" s="2139"/>
      <c r="G42" s="2139"/>
      <c r="H42" s="2140"/>
      <c r="I42" s="2059"/>
      <c r="J42" s="2055"/>
      <c r="K42" s="2055"/>
      <c r="L42" s="2055"/>
      <c r="M42" s="2055"/>
      <c r="N42" s="2055"/>
      <c r="O42" s="2056"/>
      <c r="P42" s="2054"/>
      <c r="Q42" s="2055"/>
      <c r="R42" s="2055"/>
      <c r="S42" s="2056"/>
      <c r="T42" s="2059"/>
      <c r="U42" s="2055"/>
      <c r="V42" s="2055"/>
      <c r="W42" s="2056"/>
      <c r="X42" s="2054"/>
      <c r="Y42" s="2055"/>
      <c r="Z42" s="2055"/>
      <c r="AA42" s="205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2"/>
      <c r="B44" s="2143"/>
      <c r="C44" s="2143"/>
      <c r="D44" s="2143"/>
      <c r="E44" s="2143"/>
      <c r="F44" s="2143"/>
      <c r="G44" s="2143"/>
      <c r="H44" s="2144"/>
      <c r="I44" s="2134"/>
      <c r="J44" s="2136"/>
      <c r="K44" s="2136"/>
      <c r="L44" s="2136"/>
      <c r="M44" s="2136"/>
      <c r="N44" s="2136"/>
      <c r="O44" s="2136"/>
      <c r="P44" s="2136"/>
      <c r="Q44" s="2136"/>
      <c r="R44" s="2136"/>
      <c r="S44" s="2137"/>
      <c r="T44" s="2134"/>
      <c r="U44" s="2135"/>
      <c r="V44" s="2135"/>
      <c r="W44" s="2135"/>
      <c r="X44" s="2135"/>
      <c r="Y44" s="2135"/>
      <c r="Z44" s="2136"/>
      <c r="AA44" s="213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3" sqref="C1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6"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7"/>
      <c r="B3" s="1294"/>
      <c r="C3" s="1295"/>
      <c r="D3" s="1296" t="s">
        <v>254</v>
      </c>
      <c r="E3" s="1295"/>
      <c r="F3" s="1296" t="s">
        <v>255</v>
      </c>
    </row>
    <row r="4" spans="1:8" ht="13.7" customHeight="1" x14ac:dyDescent="0.2">
      <c r="A4" s="579" t="s">
        <v>1145</v>
      </c>
      <c r="B4" s="1721">
        <f>'Revenues 9-14'!C5</f>
        <v>10196415</v>
      </c>
      <c r="C4" s="1722">
        <v>10303466</v>
      </c>
      <c r="D4" s="1723">
        <f>B4-C4</f>
        <v>-107051</v>
      </c>
      <c r="E4" s="1722"/>
      <c r="F4" s="1723">
        <f>E4-C4</f>
        <v>-10303466</v>
      </c>
    </row>
    <row r="5" spans="1:8" ht="13.7" customHeight="1" x14ac:dyDescent="0.2">
      <c r="A5" s="579" t="s">
        <v>865</v>
      </c>
      <c r="B5" s="1724">
        <f>'Revenues 9-14'!D5</f>
        <v>2134677</v>
      </c>
      <c r="C5" s="1664">
        <v>2157377</v>
      </c>
      <c r="D5" s="1725">
        <f t="shared" ref="D5:D18" si="0">B5-C5</f>
        <v>-22700</v>
      </c>
      <c r="E5" s="1664"/>
      <c r="F5" s="1725">
        <f>E5-C5</f>
        <v>-2157377</v>
      </c>
    </row>
    <row r="6" spans="1:8" ht="13.7" customHeight="1" x14ac:dyDescent="0.2">
      <c r="A6" s="579" t="s">
        <v>408</v>
      </c>
      <c r="B6" s="1724">
        <f>'Revenues 9-14'!E5</f>
        <v>1282830</v>
      </c>
      <c r="C6" s="1664">
        <v>1294966</v>
      </c>
      <c r="D6" s="1725">
        <f t="shared" si="0"/>
        <v>-12136</v>
      </c>
      <c r="E6" s="1664"/>
      <c r="F6" s="1725">
        <f t="shared" ref="F6:F18" si="1">E6-C6</f>
        <v>-1294966</v>
      </c>
    </row>
    <row r="7" spans="1:8" ht="13.7" customHeight="1" x14ac:dyDescent="0.2">
      <c r="A7" s="579" t="s">
        <v>154</v>
      </c>
      <c r="B7" s="1724">
        <f>'Revenues 9-14'!F5</f>
        <v>604233</v>
      </c>
      <c r="C7" s="1664">
        <v>610799</v>
      </c>
      <c r="D7" s="1725">
        <f t="shared" si="0"/>
        <v>-6566</v>
      </c>
      <c r="E7" s="1664"/>
      <c r="F7" s="1725">
        <f t="shared" si="1"/>
        <v>-610799</v>
      </c>
    </row>
    <row r="8" spans="1:8" ht="13.7" customHeight="1" x14ac:dyDescent="0.2">
      <c r="A8" s="579" t="s">
        <v>1169</v>
      </c>
      <c r="B8" s="1724">
        <f>'Revenues 9-14'!G5</f>
        <v>434573</v>
      </c>
      <c r="C8" s="1664">
        <v>439307</v>
      </c>
      <c r="D8" s="1725">
        <f t="shared" si="0"/>
        <v>-4734</v>
      </c>
      <c r="E8" s="1664"/>
      <c r="F8" s="1725">
        <f t="shared" si="1"/>
        <v>-439307</v>
      </c>
    </row>
    <row r="9" spans="1:8" ht="13.7" customHeight="1" x14ac:dyDescent="0.2">
      <c r="A9" s="579" t="s">
        <v>405</v>
      </c>
      <c r="B9" s="1724">
        <f>'Revenues 9-14'!H5</f>
        <v>0</v>
      </c>
      <c r="C9" s="1664">
        <v>0</v>
      </c>
      <c r="D9" s="1725">
        <f t="shared" si="0"/>
        <v>0</v>
      </c>
      <c r="E9" s="1664"/>
      <c r="F9" s="1725">
        <f t="shared" si="1"/>
        <v>0</v>
      </c>
    </row>
    <row r="10" spans="1:8" ht="13.7" customHeight="1" x14ac:dyDescent="0.2">
      <c r="A10" s="579" t="s">
        <v>404</v>
      </c>
      <c r="B10" s="1724">
        <f>'Revenues 9-14'!I5</f>
        <v>0</v>
      </c>
      <c r="C10" s="1664">
        <v>0</v>
      </c>
      <c r="D10" s="1725">
        <f t="shared" si="0"/>
        <v>0</v>
      </c>
      <c r="E10" s="1664"/>
      <c r="F10" s="1725">
        <f t="shared" si="1"/>
        <v>0</v>
      </c>
    </row>
    <row r="11" spans="1:8" x14ac:dyDescent="0.2">
      <c r="A11" s="579" t="s">
        <v>406</v>
      </c>
      <c r="B11" s="1724">
        <f>'Revenues 9-14'!J5</f>
        <v>105919</v>
      </c>
      <c r="C11" s="1664">
        <v>107126</v>
      </c>
      <c r="D11" s="1725">
        <f t="shared" si="0"/>
        <v>-1207</v>
      </c>
      <c r="E11" s="1664"/>
      <c r="F11" s="1725">
        <f t="shared" si="1"/>
        <v>-107126</v>
      </c>
    </row>
    <row r="12" spans="1:8" ht="13.7" customHeight="1" x14ac:dyDescent="0.2">
      <c r="A12" s="579" t="s">
        <v>156</v>
      </c>
      <c r="B12" s="1724">
        <f>'Revenues 9-14'!K5</f>
        <v>0</v>
      </c>
      <c r="C12" s="1664">
        <v>0</v>
      </c>
      <c r="D12" s="1725">
        <f t="shared" si="0"/>
        <v>0</v>
      </c>
      <c r="E12" s="1664"/>
      <c r="F12" s="1725">
        <f t="shared" si="1"/>
        <v>0</v>
      </c>
    </row>
    <row r="13" spans="1:8" ht="13.7" customHeight="1" x14ac:dyDescent="0.2">
      <c r="A13" s="579" t="s">
        <v>930</v>
      </c>
      <c r="B13" s="1724">
        <f>SUM('Revenues 9-14'!C6:D6)</f>
        <v>0</v>
      </c>
      <c r="C13" s="1664">
        <v>0</v>
      </c>
      <c r="D13" s="1725">
        <f t="shared" si="0"/>
        <v>0</v>
      </c>
      <c r="E13" s="1664"/>
      <c r="F13" s="1725">
        <f t="shared" si="1"/>
        <v>0</v>
      </c>
    </row>
    <row r="14" spans="1:8" ht="13.7" customHeight="1" x14ac:dyDescent="0.2">
      <c r="A14" s="579" t="s">
        <v>407</v>
      </c>
      <c r="B14" s="1724">
        <f>SUM('Revenues 9-14'!C7:D7,'Revenues 9-14'!F7:H7)</f>
        <v>0</v>
      </c>
      <c r="C14" s="1664">
        <v>0</v>
      </c>
      <c r="D14" s="1725">
        <f t="shared" si="0"/>
        <v>0</v>
      </c>
      <c r="E14" s="1664"/>
      <c r="F14" s="1725">
        <f t="shared" si="1"/>
        <v>0</v>
      </c>
    </row>
    <row r="15" spans="1:8" ht="13.7" customHeight="1" x14ac:dyDescent="0.2">
      <c r="A15" s="579" t="s">
        <v>1148</v>
      </c>
      <c r="B15" s="1724">
        <f>SUM('Revenues 9-14'!D9:E9,'Revenues 9-14'!H9)</f>
        <v>0</v>
      </c>
      <c r="C15" s="1664">
        <v>0</v>
      </c>
      <c r="D15" s="1725">
        <f t="shared" si="0"/>
        <v>0</v>
      </c>
      <c r="E15" s="1664"/>
      <c r="F15" s="1725">
        <f t="shared" si="1"/>
        <v>0</v>
      </c>
    </row>
    <row r="16" spans="1:8" ht="13.7" customHeight="1" x14ac:dyDescent="0.2">
      <c r="A16" s="579" t="s">
        <v>1149</v>
      </c>
      <c r="B16" s="1724">
        <f>'Revenues 9-14'!G8</f>
        <v>346410</v>
      </c>
      <c r="C16" s="1664">
        <v>350186</v>
      </c>
      <c r="D16" s="1725">
        <f t="shared" si="0"/>
        <v>-3776</v>
      </c>
      <c r="E16" s="1664"/>
      <c r="F16" s="1725">
        <f t="shared" si="1"/>
        <v>-350186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15105057</v>
      </c>
      <c r="C19" s="1726">
        <f>SUM(C4:C18)</f>
        <v>15263227</v>
      </c>
      <c r="D19" s="1726">
        <f>SUM(D4:D18)</f>
        <v>-158170</v>
      </c>
      <c r="E19" s="1726">
        <f>SUM(E4:E18)</f>
        <v>0</v>
      </c>
      <c r="F19" s="1726">
        <f>SUM(F4:F18)</f>
        <v>-15263227</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4" colorId="8" zoomScale="110" zoomScaleNormal="110" workbookViewId="0">
      <selection activeCell="J35" sqref="J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2" t="s">
        <v>625</v>
      </c>
      <c r="B1" s="2303"/>
      <c r="C1" s="585"/>
    </row>
    <row r="2" spans="1:7" ht="33.75" x14ac:dyDescent="0.2">
      <c r="A2" s="2311" t="s">
        <v>1776</v>
      </c>
      <c r="B2" s="2312"/>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5" t="s">
        <v>1104</v>
      </c>
      <c r="B3" s="2316"/>
      <c r="C3" s="2304"/>
      <c r="D3" s="2305"/>
      <c r="E3" s="2305"/>
      <c r="F3" s="2306"/>
    </row>
    <row r="4" spans="1:7" ht="12.75" customHeight="1" thickBot="1" x14ac:dyDescent="0.25">
      <c r="A4" s="2313" t="s">
        <v>626</v>
      </c>
      <c r="B4" s="2314"/>
      <c r="C4" s="1656"/>
      <c r="D4" s="1656"/>
      <c r="E4" s="1656"/>
      <c r="F4" s="1732">
        <f>SUM(C4+D4)-E4</f>
        <v>0</v>
      </c>
    </row>
    <row r="5" spans="1:7" ht="15.75" customHeight="1" thickTop="1" x14ac:dyDescent="0.2">
      <c r="A5" s="2298" t="s">
        <v>1101</v>
      </c>
      <c r="B5" s="2299"/>
      <c r="C5" s="2307"/>
      <c r="D5" s="2308"/>
      <c r="E5" s="2308"/>
      <c r="F5" s="230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0" t="s">
        <v>627</v>
      </c>
      <c r="B15" s="2301"/>
      <c r="C15" s="1732">
        <f>SUM(C6:C14)</f>
        <v>0</v>
      </c>
      <c r="D15" s="1732">
        <f>SUM(D6:D14)</f>
        <v>0</v>
      </c>
      <c r="E15" s="1732">
        <f>SUM(E6:E14)</f>
        <v>0</v>
      </c>
      <c r="F15" s="1732">
        <f>SUM(F6:F14)</f>
        <v>0</v>
      </c>
      <c r="G15" s="473"/>
    </row>
    <row r="16" spans="1:7" s="197" customFormat="1" ht="15.75" customHeight="1" thickTop="1" x14ac:dyDescent="0.2">
      <c r="A16" s="2310" t="s">
        <v>1102</v>
      </c>
      <c r="B16" s="2299"/>
      <c r="C16" s="2307"/>
      <c r="D16" s="2308"/>
      <c r="E16" s="2308"/>
      <c r="F16" s="2309"/>
    </row>
    <row r="17" spans="1:11" ht="12.75" customHeight="1" thickBot="1" x14ac:dyDescent="0.25">
      <c r="A17" s="2323" t="s">
        <v>64</v>
      </c>
      <c r="B17" s="2324"/>
      <c r="C17" s="1733"/>
      <c r="D17" s="1664"/>
      <c r="E17" s="1733"/>
      <c r="F17" s="1732">
        <f>SUM(C17+D17)-E17</f>
        <v>0</v>
      </c>
    </row>
    <row r="18" spans="1:11" ht="12.75" customHeight="1" thickTop="1" thickBot="1" x14ac:dyDescent="0.25">
      <c r="A18" s="2323" t="s">
        <v>6</v>
      </c>
      <c r="B18" s="2324"/>
      <c r="C18" s="1733"/>
      <c r="D18" s="1664"/>
      <c r="E18" s="1733"/>
      <c r="F18" s="1732">
        <f>SUM(C18+D18)-E18</f>
        <v>0</v>
      </c>
    </row>
    <row r="19" spans="1:11" ht="12.75" customHeight="1" thickTop="1" thickBot="1" x14ac:dyDescent="0.25">
      <c r="A19" s="2323" t="s">
        <v>385</v>
      </c>
      <c r="B19" s="2324"/>
      <c r="C19" s="1733"/>
      <c r="D19" s="1664"/>
      <c r="E19" s="1733"/>
      <c r="F19" s="1732">
        <f>SUM(C19+D19)-E19</f>
        <v>0</v>
      </c>
    </row>
    <row r="20" spans="1:11" ht="12.75" customHeight="1" thickTop="1" thickBot="1" x14ac:dyDescent="0.25">
      <c r="A20" s="2323" t="s">
        <v>445</v>
      </c>
      <c r="B20" s="2324"/>
      <c r="C20" s="1733"/>
      <c r="D20" s="1664"/>
      <c r="E20" s="1733"/>
      <c r="F20" s="1732">
        <f>SUM(C20+D20)-E20</f>
        <v>0</v>
      </c>
    </row>
    <row r="21" spans="1:11" ht="14.25" thickTop="1" thickBot="1" x14ac:dyDescent="0.25">
      <c r="A21" s="2300" t="s">
        <v>628</v>
      </c>
      <c r="B21" s="2301"/>
      <c r="C21" s="1732">
        <f>SUM(C17:C20)</f>
        <v>0</v>
      </c>
      <c r="D21" s="1732">
        <f>SUM(D17:D20)</f>
        <v>0</v>
      </c>
      <c r="E21" s="1732">
        <f>SUM(E17:E20)</f>
        <v>0</v>
      </c>
      <c r="F21" s="1732">
        <f>SUM(F17:F20)</f>
        <v>0</v>
      </c>
      <c r="G21" s="473"/>
    </row>
    <row r="22" spans="1:11" ht="15.75" customHeight="1" thickTop="1" x14ac:dyDescent="0.2">
      <c r="A22" s="2325" t="s">
        <v>1103</v>
      </c>
      <c r="B22" s="2299"/>
      <c r="C22" s="2307"/>
      <c r="D22" s="2308"/>
      <c r="E22" s="2308"/>
      <c r="F22" s="2309"/>
    </row>
    <row r="23" spans="1:11" ht="13.5" thickBot="1" x14ac:dyDescent="0.25">
      <c r="A23" s="2313" t="s">
        <v>629</v>
      </c>
      <c r="B23" s="2314"/>
      <c r="C23" s="1656"/>
      <c r="D23" s="1656"/>
      <c r="E23" s="1656"/>
      <c r="F23" s="1732">
        <f>SUM(C23+D23)-E23</f>
        <v>0</v>
      </c>
      <c r="G23" s="473"/>
    </row>
    <row r="24" spans="1:11" ht="15.75" customHeight="1" thickTop="1" x14ac:dyDescent="0.2">
      <c r="A24" s="2325" t="s">
        <v>2003</v>
      </c>
      <c r="B24" s="2299"/>
      <c r="C24" s="2307"/>
      <c r="D24" s="2308"/>
      <c r="E24" s="2308"/>
      <c r="F24" s="2309"/>
    </row>
    <row r="25" spans="1:11" ht="13.5" thickBot="1" x14ac:dyDescent="0.25">
      <c r="A25" s="2313" t="s">
        <v>2004</v>
      </c>
      <c r="B25" s="2314"/>
      <c r="C25" s="1656"/>
      <c r="D25" s="1656"/>
      <c r="E25" s="1656"/>
      <c r="F25" s="1732">
        <f>SUM(C25+D25)-E25</f>
        <v>0</v>
      </c>
      <c r="G25" s="473"/>
    </row>
    <row r="26" spans="1:11" ht="15.75" customHeight="1" thickTop="1" x14ac:dyDescent="0.2">
      <c r="A26" s="2298" t="s">
        <v>652</v>
      </c>
      <c r="B26" s="2299"/>
      <c r="C26" s="589"/>
      <c r="D26" s="589"/>
      <c r="E26" s="589"/>
      <c r="F26" s="590"/>
    </row>
    <row r="27" spans="1:11" ht="13.5" thickBot="1" x14ac:dyDescent="0.25">
      <c r="A27" s="2300" t="s">
        <v>1061</v>
      </c>
      <c r="B27" s="2301"/>
      <c r="C27" s="1664"/>
      <c r="D27" s="1664"/>
      <c r="E27" s="1664"/>
      <c r="F27" s="1732">
        <f>SUM(C27+D27)-E27</f>
        <v>0</v>
      </c>
      <c r="G27" s="473"/>
    </row>
    <row r="28" spans="1:11" ht="7.5" customHeight="1" thickTop="1" x14ac:dyDescent="0.2">
      <c r="A28" s="489"/>
    </row>
    <row r="29" spans="1:11" ht="23.25" customHeight="1" x14ac:dyDescent="0.2">
      <c r="A29" s="2326" t="s">
        <v>578</v>
      </c>
      <c r="B29" s="2303"/>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2065</v>
      </c>
      <c r="B31" s="595">
        <v>41184</v>
      </c>
      <c r="C31" s="1734">
        <v>6695000</v>
      </c>
      <c r="D31" s="1735">
        <v>3</v>
      </c>
      <c r="E31" s="1734">
        <v>3570000</v>
      </c>
      <c r="F31" s="1734"/>
      <c r="G31" s="1734"/>
      <c r="H31" s="1734">
        <v>550000</v>
      </c>
      <c r="I31" s="1736">
        <f>((E31+F31)-H31)+G31</f>
        <v>3020000</v>
      </c>
      <c r="J31" s="1734">
        <v>3020000</v>
      </c>
      <c r="K31" s="596"/>
    </row>
    <row r="32" spans="1:11" ht="12" customHeight="1" x14ac:dyDescent="0.2">
      <c r="A32" s="594" t="s">
        <v>2065</v>
      </c>
      <c r="B32" s="595">
        <v>41184</v>
      </c>
      <c r="C32" s="1734">
        <v>1750000</v>
      </c>
      <c r="D32" s="1735">
        <v>3</v>
      </c>
      <c r="E32" s="1734">
        <v>870000</v>
      </c>
      <c r="F32" s="1734"/>
      <c r="G32" s="1734"/>
      <c r="H32" s="1734">
        <v>135000</v>
      </c>
      <c r="I32" s="1736">
        <f>((E32+F32)-H32)+G32</f>
        <v>735000</v>
      </c>
      <c r="J32" s="1734">
        <v>735000</v>
      </c>
      <c r="K32" s="596"/>
    </row>
    <row r="33" spans="1:11" ht="12" customHeight="1" x14ac:dyDescent="0.2">
      <c r="A33" s="594" t="s">
        <v>2066</v>
      </c>
      <c r="B33" s="595">
        <v>42865</v>
      </c>
      <c r="C33" s="1734">
        <v>1900000</v>
      </c>
      <c r="D33" s="1735">
        <v>1</v>
      </c>
      <c r="E33" s="1734">
        <v>1885000</v>
      </c>
      <c r="F33" s="1734"/>
      <c r="G33" s="1734"/>
      <c r="H33" s="1734">
        <v>415000</v>
      </c>
      <c r="I33" s="1736">
        <f t="shared" ref="I33:I48" si="1">((E33+F33)-H33)+G33</f>
        <v>1470000</v>
      </c>
      <c r="J33" s="1734">
        <v>1470000</v>
      </c>
      <c r="K33" s="596"/>
    </row>
    <row r="34" spans="1:11" ht="12" customHeight="1" x14ac:dyDescent="0.2">
      <c r="A34" s="594" t="s">
        <v>2066</v>
      </c>
      <c r="B34" s="595">
        <v>43600</v>
      </c>
      <c r="C34" s="1734">
        <v>4565000</v>
      </c>
      <c r="D34" s="1735">
        <v>1</v>
      </c>
      <c r="E34" s="1734">
        <v>4565000</v>
      </c>
      <c r="F34" s="1734"/>
      <c r="G34" s="1734"/>
      <c r="H34" s="1734"/>
      <c r="I34" s="1736">
        <f t="shared" si="1"/>
        <v>4565000</v>
      </c>
      <c r="J34" s="1734">
        <v>4565000</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14910000</v>
      </c>
      <c r="D49" s="1742"/>
      <c r="E49" s="1736">
        <f t="shared" ref="E49:J49" si="2">SUM(E31:E48)</f>
        <v>10890000</v>
      </c>
      <c r="F49" s="1736">
        <f t="shared" si="2"/>
        <v>0</v>
      </c>
      <c r="G49" s="1736">
        <f t="shared" si="2"/>
        <v>0</v>
      </c>
      <c r="H49" s="1736">
        <f t="shared" si="2"/>
        <v>1100000</v>
      </c>
      <c r="I49" s="1736">
        <f t="shared" si="2"/>
        <v>9790000</v>
      </c>
      <c r="J49" s="1736">
        <f t="shared" si="2"/>
        <v>9790000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7" t="s">
        <v>580</v>
      </c>
      <c r="C52" s="2318"/>
      <c r="D52" s="2318"/>
      <c r="E52" s="603" t="s">
        <v>840</v>
      </c>
      <c r="F52" s="2319"/>
      <c r="G52" s="2320"/>
      <c r="H52" s="596"/>
      <c r="I52" s="596"/>
      <c r="J52" s="600"/>
    </row>
    <row r="53" spans="1:11" ht="11.25" customHeight="1" x14ac:dyDescent="0.2">
      <c r="A53" s="604" t="s">
        <v>907</v>
      </c>
      <c r="B53" s="605" t="s">
        <v>945</v>
      </c>
      <c r="C53" s="600"/>
      <c r="D53" s="597"/>
      <c r="E53" s="603" t="s">
        <v>494</v>
      </c>
      <c r="F53" s="2321"/>
      <c r="G53" s="2322"/>
      <c r="H53" s="596"/>
      <c r="I53" s="596"/>
      <c r="J53" s="600"/>
    </row>
    <row r="54" spans="1:11" ht="11.25" customHeight="1" x14ac:dyDescent="0.2">
      <c r="A54" s="606" t="s">
        <v>908</v>
      </c>
      <c r="B54" s="601" t="s">
        <v>946</v>
      </c>
      <c r="C54" s="600"/>
      <c r="D54" s="597"/>
      <c r="E54" s="603" t="s">
        <v>495</v>
      </c>
      <c r="F54" s="2321"/>
      <c r="G54" s="232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B29"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3" t="s">
        <v>851</v>
      </c>
      <c r="B1" s="2354"/>
      <c r="C1" s="2354"/>
      <c r="D1" s="2354"/>
      <c r="E1" s="2354"/>
      <c r="F1" s="2354"/>
      <c r="G1" s="2355"/>
      <c r="H1" s="1298"/>
      <c r="I1" s="614"/>
      <c r="J1" s="400"/>
    </row>
    <row r="2" spans="1:11" ht="26.25" x14ac:dyDescent="0.2">
      <c r="A2" s="2330" t="s">
        <v>1658</v>
      </c>
      <c r="B2" s="2331"/>
      <c r="C2" s="2331"/>
      <c r="D2" s="2331"/>
      <c r="E2" s="2332"/>
      <c r="F2" s="615" t="s">
        <v>898</v>
      </c>
      <c r="G2" s="616" t="s">
        <v>1655</v>
      </c>
      <c r="H2" s="616" t="s">
        <v>407</v>
      </c>
      <c r="I2" s="616" t="s">
        <v>1148</v>
      </c>
      <c r="J2" s="616" t="s">
        <v>1786</v>
      </c>
      <c r="K2" s="616" t="s">
        <v>137</v>
      </c>
    </row>
    <row r="3" spans="1:11" x14ac:dyDescent="0.2">
      <c r="A3" s="2333" t="str">
        <f>"Cash Basis Fund Balance as of July 1, "&amp;'AFR20'!E2-1</f>
        <v>Cash Basis Fund Balance as of July 1, 2019</v>
      </c>
      <c r="B3" s="2334"/>
      <c r="C3" s="2334"/>
      <c r="D3" s="2334"/>
      <c r="E3" s="2335"/>
      <c r="F3" s="617"/>
      <c r="G3" s="1744"/>
      <c r="H3" s="1744"/>
      <c r="I3" s="1744"/>
      <c r="J3" s="1745"/>
      <c r="K3" s="1745"/>
    </row>
    <row r="4" spans="1:11" x14ac:dyDescent="0.2">
      <c r="A4" s="2336" t="s">
        <v>366</v>
      </c>
      <c r="B4" s="2337"/>
      <c r="C4" s="2337"/>
      <c r="D4" s="2337"/>
      <c r="E4" s="2318"/>
      <c r="F4" s="620"/>
      <c r="G4" s="1746"/>
      <c r="H4" s="1747"/>
      <c r="I4" s="1746"/>
      <c r="J4" s="1748"/>
      <c r="K4" s="1748"/>
    </row>
    <row r="5" spans="1:11" x14ac:dyDescent="0.2">
      <c r="A5" s="2356" t="s">
        <v>1060</v>
      </c>
      <c r="B5" s="2327"/>
      <c r="C5" s="2327"/>
      <c r="D5" s="2327"/>
      <c r="E5" s="2357"/>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56" t="s">
        <v>1787</v>
      </c>
      <c r="B10" s="2327"/>
      <c r="C10" s="2327"/>
      <c r="D10" s="2327"/>
      <c r="E10" s="2358"/>
      <c r="F10" s="633" t="s">
        <v>857</v>
      </c>
      <c r="G10" s="1753"/>
      <c r="H10" s="1754"/>
      <c r="I10" s="1744"/>
      <c r="J10" s="1745"/>
      <c r="K10" s="1745"/>
    </row>
    <row r="11" spans="1:11" x14ac:dyDescent="0.2">
      <c r="A11" s="2356" t="s">
        <v>159</v>
      </c>
      <c r="B11" s="2327"/>
      <c r="C11" s="2327"/>
      <c r="D11" s="2327"/>
      <c r="E11" s="2357"/>
      <c r="F11" s="622" t="s">
        <v>847</v>
      </c>
      <c r="G11" s="1749"/>
      <c r="H11" s="1744"/>
      <c r="I11" s="1744"/>
      <c r="J11" s="1745"/>
      <c r="K11" s="1751"/>
    </row>
    <row r="12" spans="1:11" ht="13.5" thickBot="1" x14ac:dyDescent="0.25">
      <c r="A12" s="2344" t="s">
        <v>899</v>
      </c>
      <c r="B12" s="2345"/>
      <c r="C12" s="2345"/>
      <c r="D12" s="2345"/>
      <c r="E12" s="2346"/>
      <c r="F12" s="1433"/>
      <c r="G12" s="1755">
        <f>SUM(G5:G11)</f>
        <v>0</v>
      </c>
      <c r="H12" s="1755">
        <f>SUM(H5:H11)</f>
        <v>0</v>
      </c>
      <c r="I12" s="1755">
        <f>SUM(I5:I11)</f>
        <v>0</v>
      </c>
      <c r="J12" s="1755">
        <f>SUM(J5:J11)</f>
        <v>0</v>
      </c>
      <c r="K12" s="1755">
        <f>SUM(K5:K11)</f>
        <v>0</v>
      </c>
    </row>
    <row r="13" spans="1:11" ht="13.5" thickTop="1" x14ac:dyDescent="0.2">
      <c r="A13" s="2338" t="s">
        <v>367</v>
      </c>
      <c r="B13" s="2339"/>
      <c r="C13" s="2339"/>
      <c r="D13" s="2339"/>
      <c r="E13" s="2340"/>
      <c r="F13" s="634"/>
      <c r="G13" s="1756"/>
      <c r="H13" s="1757"/>
      <c r="I13" s="1758"/>
      <c r="J13" s="1758"/>
      <c r="K13" s="1758"/>
    </row>
    <row r="14" spans="1:11" x14ac:dyDescent="0.2">
      <c r="A14" s="2362" t="s">
        <v>453</v>
      </c>
      <c r="B14" s="2362"/>
      <c r="C14" s="2362"/>
      <c r="D14" s="2362"/>
      <c r="E14" s="2363"/>
      <c r="F14" s="635" t="s">
        <v>849</v>
      </c>
      <c r="G14" s="1753"/>
      <c r="H14" s="1744"/>
      <c r="I14" s="1749"/>
      <c r="J14" s="1751"/>
      <c r="K14" s="1745"/>
    </row>
    <row r="15" spans="1:11" x14ac:dyDescent="0.2">
      <c r="A15" s="2327" t="s">
        <v>4</v>
      </c>
      <c r="B15" s="2327"/>
      <c r="C15" s="2327"/>
      <c r="D15" s="2327"/>
      <c r="E15" s="2357"/>
      <c r="F15" s="635" t="s">
        <v>850</v>
      </c>
      <c r="G15" s="1749"/>
      <c r="H15" s="1744"/>
      <c r="I15" s="1744"/>
      <c r="J15" s="1745"/>
      <c r="K15" s="1745"/>
    </row>
    <row r="16" spans="1:11" x14ac:dyDescent="0.2">
      <c r="A16" s="2327" t="s">
        <v>295</v>
      </c>
      <c r="B16" s="2327"/>
      <c r="C16" s="2327"/>
      <c r="D16" s="2327"/>
      <c r="E16" s="2357"/>
      <c r="F16" s="635" t="s">
        <v>917</v>
      </c>
      <c r="G16" s="1750"/>
      <c r="H16" s="1746"/>
      <c r="I16" s="1746"/>
      <c r="J16" s="1748"/>
      <c r="K16" s="1748"/>
    </row>
    <row r="17" spans="1:15" x14ac:dyDescent="0.2">
      <c r="A17" s="2351" t="s">
        <v>929</v>
      </c>
      <c r="B17" s="2351"/>
      <c r="C17" s="2351"/>
      <c r="D17" s="2351"/>
      <c r="E17" s="2352"/>
      <c r="F17" s="636"/>
      <c r="G17" s="1759"/>
      <c r="H17" s="1760"/>
      <c r="I17" s="1760"/>
      <c r="J17" s="1761"/>
      <c r="K17" s="1762"/>
    </row>
    <row r="18" spans="1:15" x14ac:dyDescent="0.2">
      <c r="A18" s="2341" t="s">
        <v>365</v>
      </c>
      <c r="B18" s="2342"/>
      <c r="C18" s="2342"/>
      <c r="D18" s="2342"/>
      <c r="E18" s="2343"/>
      <c r="F18" s="635" t="s">
        <v>926</v>
      </c>
      <c r="G18" s="1753"/>
      <c r="H18" s="1753"/>
      <c r="I18" s="1753"/>
      <c r="J18" s="1745"/>
      <c r="K18" s="1763"/>
    </row>
    <row r="19" spans="1:15" ht="21.75" customHeight="1" x14ac:dyDescent="0.2">
      <c r="A19" s="2364" t="s">
        <v>1783</v>
      </c>
      <c r="B19" s="2364"/>
      <c r="C19" s="2364"/>
      <c r="D19" s="2364"/>
      <c r="E19" s="2365"/>
      <c r="F19" s="635" t="s">
        <v>927</v>
      </c>
      <c r="G19" s="1753"/>
      <c r="H19" s="1753"/>
      <c r="I19" s="1753"/>
      <c r="J19" s="1745"/>
      <c r="K19" s="1763"/>
    </row>
    <row r="20" spans="1:15" x14ac:dyDescent="0.2">
      <c r="A20" s="2341" t="s">
        <v>1788</v>
      </c>
      <c r="B20" s="2342"/>
      <c r="C20" s="2342"/>
      <c r="D20" s="2342"/>
      <c r="E20" s="2343"/>
      <c r="F20" s="635" t="s">
        <v>928</v>
      </c>
      <c r="G20" s="1753"/>
      <c r="H20" s="1753"/>
      <c r="I20" s="1753"/>
      <c r="J20" s="1745"/>
      <c r="K20" s="1763"/>
    </row>
    <row r="21" spans="1:15" ht="13.5" thickBot="1" x14ac:dyDescent="0.25">
      <c r="A21" s="2347" t="s">
        <v>633</v>
      </c>
      <c r="B21" s="2347"/>
      <c r="C21" s="2347"/>
      <c r="D21" s="2347"/>
      <c r="E21" s="2347"/>
      <c r="F21" s="1434"/>
      <c r="G21" s="1760"/>
      <c r="H21" s="1764"/>
      <c r="I21" s="1764"/>
      <c r="J21" s="1765">
        <f>SUM(J18:J20)</f>
        <v>0</v>
      </c>
      <c r="K21" s="1761"/>
    </row>
    <row r="22" spans="1:15" ht="13.5" thickTop="1" x14ac:dyDescent="0.2">
      <c r="A22" s="2327" t="s">
        <v>1789</v>
      </c>
      <c r="B22" s="2327"/>
      <c r="C22" s="2327"/>
      <c r="D22" s="2327"/>
      <c r="E22" s="2357"/>
      <c r="F22" s="635" t="s">
        <v>857</v>
      </c>
      <c r="G22" s="1753"/>
      <c r="H22" s="1744"/>
      <c r="I22" s="1744"/>
      <c r="J22" s="1766"/>
      <c r="K22" s="1745"/>
    </row>
    <row r="23" spans="1:15" ht="13.5" thickBot="1" x14ac:dyDescent="0.25">
      <c r="A23" s="2348" t="s">
        <v>900</v>
      </c>
      <c r="B23" s="2347"/>
      <c r="C23" s="2347"/>
      <c r="D23" s="2347"/>
      <c r="E23" s="2347"/>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9" t="str">
        <f>"Ending Cash Basis Fund Balance as of June 30, "&amp;'AFR20'!E2</f>
        <v>Ending Cash Basis Fund Balance as of June 30, 2020</v>
      </c>
      <c r="B24" s="2350"/>
      <c r="C24" s="2350"/>
      <c r="D24" s="2350"/>
      <c r="E24" s="2350"/>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9"/>
      <c r="I31" s="2360"/>
      <c r="J31" s="2360"/>
      <c r="K31" s="2360"/>
    </row>
    <row r="32" spans="1:15" x14ac:dyDescent="0.2">
      <c r="A32" s="649"/>
      <c r="B32" s="232"/>
      <c r="C32" s="232"/>
      <c r="D32" s="232"/>
      <c r="E32" s="645"/>
      <c r="F32" s="651" t="s">
        <v>537</v>
      </c>
      <c r="G32" s="618"/>
      <c r="H32" s="2361"/>
      <c r="I32" s="2360"/>
      <c r="J32" s="2360"/>
      <c r="K32" s="2360"/>
    </row>
    <row r="33" spans="1:11" ht="1.5" customHeight="1" x14ac:dyDescent="0.2">
      <c r="A33" s="652" t="s">
        <v>1159</v>
      </c>
      <c r="B33" s="341"/>
      <c r="C33" s="341"/>
      <c r="D33" s="341"/>
      <c r="E33" s="341"/>
      <c r="F33" s="341"/>
      <c r="G33" s="653"/>
      <c r="H33" s="2361"/>
      <c r="I33" s="2360"/>
      <c r="J33" s="2360"/>
      <c r="K33" s="2360"/>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7" t="s">
        <v>538</v>
      </c>
      <c r="B41" s="2328"/>
      <c r="C41" s="2328"/>
      <c r="D41" s="2328"/>
      <c r="E41" s="2328"/>
      <c r="F41" s="232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D1" colorId="8" zoomScale="110" zoomScaleNormal="110" workbookViewId="0">
      <selection activeCell="E15" sqref="E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1872</v>
      </c>
      <c r="B1" s="2369"/>
      <c r="C1" s="2370"/>
      <c r="D1" s="666"/>
      <c r="E1" s="667"/>
      <c r="F1" s="667"/>
      <c r="G1" s="668"/>
      <c r="H1" s="669"/>
      <c r="I1" s="670"/>
      <c r="J1" s="2366"/>
      <c r="K1" s="2367"/>
      <c r="L1" s="2367"/>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1136737</v>
      </c>
      <c r="D5" s="1770"/>
      <c r="E5" s="1770"/>
      <c r="F5" s="1765">
        <f>(C5+D5)-E5</f>
        <v>1136737</v>
      </c>
      <c r="G5" s="676"/>
      <c r="H5" s="680"/>
      <c r="I5" s="680"/>
      <c r="J5" s="680"/>
      <c r="K5" s="637"/>
      <c r="L5" s="1442">
        <f>F5-K5</f>
        <v>1136737</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39510953</v>
      </c>
      <c r="D8" s="1771">
        <v>5935915</v>
      </c>
      <c r="E8" s="1771"/>
      <c r="F8" s="1765">
        <f>(C8+D8)-E8</f>
        <v>45446868</v>
      </c>
      <c r="G8" s="681">
        <v>50</v>
      </c>
      <c r="H8" s="619">
        <v>18795645</v>
      </c>
      <c r="I8" s="619">
        <v>1023418</v>
      </c>
      <c r="J8" s="619"/>
      <c r="K8" s="1442">
        <f>(H8+I8)-J8</f>
        <v>19819063</v>
      </c>
      <c r="L8" s="1442">
        <f>F8-K8</f>
        <v>25627805</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2186399</v>
      </c>
      <c r="D10" s="1772">
        <v>1441682</v>
      </c>
      <c r="E10" s="1772"/>
      <c r="F10" s="1773">
        <f>(C10+D10)-E10</f>
        <v>3628081</v>
      </c>
      <c r="G10" s="681">
        <v>20</v>
      </c>
      <c r="H10" s="683">
        <v>320360</v>
      </c>
      <c r="I10" s="683">
        <v>124160</v>
      </c>
      <c r="J10" s="683"/>
      <c r="K10" s="1442">
        <f>(H10+I10)-J10</f>
        <v>444520</v>
      </c>
      <c r="L10" s="1442">
        <f>F10-K10</f>
        <v>3183561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7987206</v>
      </c>
      <c r="D12" s="1771"/>
      <c r="E12" s="1771">
        <v>36901</v>
      </c>
      <c r="F12" s="1765">
        <f>(C12+D12)-E12</f>
        <v>7950305</v>
      </c>
      <c r="G12" s="681">
        <v>10</v>
      </c>
      <c r="H12" s="619">
        <v>7156351</v>
      </c>
      <c r="I12" s="619">
        <v>259795</v>
      </c>
      <c r="J12" s="619"/>
      <c r="K12" s="1442">
        <f>(H12+I12)-J12</f>
        <v>7416146</v>
      </c>
      <c r="L12" s="1442">
        <f>F12-K12</f>
        <v>534159</v>
      </c>
    </row>
    <row r="13" spans="1:14" ht="14.25" thickTop="1" thickBot="1" x14ac:dyDescent="0.25">
      <c r="A13" s="684" t="s">
        <v>1112</v>
      </c>
      <c r="B13" s="679">
        <v>252</v>
      </c>
      <c r="C13" s="1771">
        <v>3058483</v>
      </c>
      <c r="D13" s="1771"/>
      <c r="E13" s="1771">
        <v>1939464</v>
      </c>
      <c r="F13" s="1765">
        <f>(C13+D13)-E13</f>
        <v>1119019</v>
      </c>
      <c r="G13" s="681">
        <v>5</v>
      </c>
      <c r="H13" s="619">
        <v>3022288</v>
      </c>
      <c r="I13" s="619">
        <v>32062</v>
      </c>
      <c r="J13" s="619">
        <v>2017137</v>
      </c>
      <c r="K13" s="1442">
        <f>(H13+I13)-J13</f>
        <v>1037213</v>
      </c>
      <c r="L13" s="1442">
        <f>F13-K13</f>
        <v>81806</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53879778</v>
      </c>
      <c r="D16" s="1765">
        <f>SUM(D3,D5:D6,D8:D10,D12:D15)</f>
        <v>7377597</v>
      </c>
      <c r="E16" s="1765">
        <f>SUM(E3,E5:E6,E8:E10,E12:E15)</f>
        <v>1976365</v>
      </c>
      <c r="F16" s="1765">
        <f>SUM(F3,F5:F6,F8:F10,F12:F15)</f>
        <v>59281010</v>
      </c>
      <c r="G16" s="681"/>
      <c r="H16" s="1435">
        <f>SUM(H3,H6,H8:H10,H12:H14,)</f>
        <v>29294644</v>
      </c>
      <c r="I16" s="1435">
        <f>SUM(I3,I6,I8:I10,I12:I14,)</f>
        <v>1439435</v>
      </c>
      <c r="J16" s="1435">
        <f>SUM(J3,J6,J8:J10,J12:J14,)</f>
        <v>2017137</v>
      </c>
      <c r="K16" s="1435">
        <f>(H16+I16)-J16</f>
        <v>28716942</v>
      </c>
      <c r="L16" s="1435">
        <f>F16-K16</f>
        <v>30564068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11465</v>
      </c>
      <c r="G17" s="676">
        <v>10</v>
      </c>
      <c r="H17" s="621"/>
      <c r="I17" s="1442">
        <f>F17/G17</f>
        <v>1146.5</v>
      </c>
      <c r="J17" s="621"/>
      <c r="K17" s="638"/>
      <c r="L17" s="638"/>
    </row>
    <row r="18" spans="1:12" ht="14.25" thickTop="1" thickBot="1" x14ac:dyDescent="0.25">
      <c r="A18" s="1440" t="s">
        <v>680</v>
      </c>
      <c r="B18" s="1441"/>
      <c r="C18" s="623"/>
      <c r="D18" s="623"/>
      <c r="E18" s="623"/>
      <c r="F18" s="686"/>
      <c r="G18" s="687"/>
      <c r="H18" s="624"/>
      <c r="I18" s="1435">
        <f>SUM(I16,I17)</f>
        <v>1440581.5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8" colorId="8" zoomScale="110" zoomScaleNormal="110" workbookViewId="0">
      <selection activeCell="L181" sqref="L18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474</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0"/>
      <c r="B5" s="2381"/>
      <c r="C5" s="2381"/>
      <c r="D5" s="2381"/>
      <c r="E5" s="2381"/>
      <c r="F5" s="2381"/>
    </row>
    <row r="6" spans="1:9" ht="13.5" customHeight="1" thickBot="1" x14ac:dyDescent="0.25">
      <c r="A6" s="2371" t="s">
        <v>1095</v>
      </c>
      <c r="B6" s="2372"/>
      <c r="C6" s="2372"/>
      <c r="D6" s="2372"/>
      <c r="E6" s="2372"/>
      <c r="F6" s="237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19726624</v>
      </c>
      <c r="G8" s="701"/>
    </row>
    <row r="9" spans="1:9" x14ac:dyDescent="0.2">
      <c r="A9" s="705" t="s">
        <v>457</v>
      </c>
      <c r="B9" s="706" t="s">
        <v>1845</v>
      </c>
      <c r="C9" s="707"/>
      <c r="D9" s="705" t="s">
        <v>498</v>
      </c>
      <c r="E9" s="704"/>
      <c r="F9" s="1775">
        <f>'Expenditures 15-22'!K151</f>
        <v>3157296</v>
      </c>
      <c r="G9" s="708"/>
    </row>
    <row r="10" spans="1:9" x14ac:dyDescent="0.2">
      <c r="A10" s="705" t="s">
        <v>496</v>
      </c>
      <c r="B10" s="706" t="s">
        <v>1846</v>
      </c>
      <c r="C10" s="707"/>
      <c r="D10" s="705" t="s">
        <v>498</v>
      </c>
      <c r="E10" s="704"/>
      <c r="F10" s="1775">
        <f>'Expenditures 15-22'!K174</f>
        <v>1385726</v>
      </c>
      <c r="G10" s="708"/>
    </row>
    <row r="11" spans="1:9" x14ac:dyDescent="0.2">
      <c r="A11" s="705" t="s">
        <v>458</v>
      </c>
      <c r="B11" s="706" t="s">
        <v>1847</v>
      </c>
      <c r="C11" s="707"/>
      <c r="D11" s="705" t="s">
        <v>498</v>
      </c>
      <c r="E11" s="704"/>
      <c r="F11" s="1775">
        <f>'Expenditures 15-22'!K210</f>
        <v>1397989</v>
      </c>
      <c r="G11" s="708"/>
    </row>
    <row r="12" spans="1:9" x14ac:dyDescent="0.2">
      <c r="A12" s="705" t="s">
        <v>459</v>
      </c>
      <c r="B12" s="706" t="s">
        <v>1848</v>
      </c>
      <c r="C12" s="707"/>
      <c r="D12" s="705" t="s">
        <v>498</v>
      </c>
      <c r="E12" s="704"/>
      <c r="F12" s="1775">
        <f>'Expenditures 15-22'!K295</f>
        <v>753576</v>
      </c>
      <c r="G12" s="708"/>
    </row>
    <row r="13" spans="1:9" x14ac:dyDescent="0.2">
      <c r="A13" s="705" t="s">
        <v>106</v>
      </c>
      <c r="B13" s="706" t="s">
        <v>1849</v>
      </c>
      <c r="C13" s="707"/>
      <c r="D13" s="705" t="s">
        <v>498</v>
      </c>
      <c r="E13" s="704"/>
      <c r="F13" s="1775">
        <f>'Expenditures 15-22'!K342</f>
        <v>104076</v>
      </c>
      <c r="G13" s="709"/>
    </row>
    <row r="14" spans="1:9" ht="12" customHeight="1" thickBot="1" x14ac:dyDescent="0.25">
      <c r="A14" s="1443"/>
      <c r="B14" s="1444"/>
      <c r="C14" s="1445"/>
      <c r="D14" s="1446" t="s">
        <v>498</v>
      </c>
      <c r="E14" s="1447" t="s">
        <v>952</v>
      </c>
      <c r="F14" s="1776">
        <f>SUM(F8:F13)</f>
        <v>26525287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169316</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61316</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662137</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66600</v>
      </c>
      <c r="G52" s="701"/>
    </row>
    <row r="53" spans="1:7" x14ac:dyDescent="0.2">
      <c r="A53" s="705" t="s">
        <v>456</v>
      </c>
      <c r="B53" s="705" t="s">
        <v>1458</v>
      </c>
      <c r="C53" s="724">
        <f>'Expenditures 15-22'!B102</f>
        <v>4000</v>
      </c>
      <c r="D53" s="723" t="str">
        <f>'Expenditures 15-22'!A102</f>
        <v>Total Payments to Other Govt Units</v>
      </c>
      <c r="E53" s="704"/>
      <c r="F53" s="1782">
        <f>'Expenditures 15-22'!K102</f>
        <v>0</v>
      </c>
      <c r="G53" s="701"/>
    </row>
    <row r="54" spans="1:7" x14ac:dyDescent="0.2">
      <c r="A54" s="705" t="s">
        <v>456</v>
      </c>
      <c r="B54" s="705" t="s">
        <v>1459</v>
      </c>
      <c r="C54" s="724" t="s">
        <v>975</v>
      </c>
      <c r="D54" s="720" t="s">
        <v>1086</v>
      </c>
      <c r="E54" s="704"/>
      <c r="F54" s="1782">
        <f>'Expenditures 15-22'!G114</f>
        <v>335406</v>
      </c>
      <c r="G54" s="701"/>
    </row>
    <row r="55" spans="1:7" x14ac:dyDescent="0.2">
      <c r="A55" s="705" t="s">
        <v>456</v>
      </c>
      <c r="B55" s="705" t="s">
        <v>1460</v>
      </c>
      <c r="C55" s="724" t="s">
        <v>975</v>
      </c>
      <c r="D55" s="720" t="s">
        <v>288</v>
      </c>
      <c r="E55" s="704"/>
      <c r="F55" s="1782">
        <f>'Expenditures 15-22'!I114</f>
        <v>8582</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1138187</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1100000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2883</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2759</v>
      </c>
      <c r="G71" s="701"/>
    </row>
    <row r="72" spans="1:9" x14ac:dyDescent="0.2">
      <c r="A72" s="705" t="s">
        <v>459</v>
      </c>
      <c r="B72" s="705" t="s">
        <v>1864</v>
      </c>
      <c r="C72" s="721">
        <f>'Expenditures 15-22'!B280</f>
        <v>3000</v>
      </c>
      <c r="D72" s="712" t="s">
        <v>446</v>
      </c>
      <c r="E72" s="704"/>
      <c r="F72" s="1782">
        <f>'Expenditures 15-22'!K280</f>
        <v>1398</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3548584</v>
      </c>
      <c r="G77" s="701"/>
    </row>
    <row r="78" spans="1:9" s="728" customFormat="1" ht="12" customHeight="1" thickTop="1" thickBot="1" x14ac:dyDescent="0.25">
      <c r="A78" s="1450"/>
      <c r="B78" s="1448"/>
      <c r="C78" s="1445"/>
      <c r="D78" s="1449" t="s">
        <v>2009</v>
      </c>
      <c r="E78" s="1447"/>
      <c r="F78" s="1788">
        <f>(F14-F77)</f>
        <v>22976703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2247.54</v>
      </c>
      <c r="G79" s="733"/>
      <c r="H79" s="705"/>
      <c r="I79" s="705"/>
    </row>
    <row r="80" spans="1:9" s="728" customFormat="1" ht="12" customHeight="1" thickBot="1" x14ac:dyDescent="0.25">
      <c r="A80" s="1452"/>
      <c r="B80" s="1448"/>
      <c r="C80" s="1445"/>
      <c r="D80" s="1449" t="s">
        <v>2010</v>
      </c>
      <c r="E80" s="1447" t="s">
        <v>952</v>
      </c>
      <c r="F80" s="1790">
        <f>IF(F79&gt;0,F78/F79," Complete Line 79")</f>
        <v>10223.04519608105</v>
      </c>
      <c r="G80" s="705"/>
    </row>
    <row r="81" spans="1:7" s="728" customFormat="1" ht="8.25" customHeight="1" thickTop="1" x14ac:dyDescent="0.2">
      <c r="A81" s="734"/>
      <c r="B81" s="705"/>
      <c r="C81" s="707"/>
      <c r="D81" s="735"/>
      <c r="E81" s="704"/>
      <c r="F81" s="1791"/>
      <c r="G81" s="705"/>
    </row>
    <row r="82" spans="1:7" s="728" customFormat="1" ht="12" thickBot="1" x14ac:dyDescent="0.25">
      <c r="A82" s="2371" t="s">
        <v>1096</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322708</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8541</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220130</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6672</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802792</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532620</v>
      </c>
      <c r="G126" s="763"/>
    </row>
    <row r="127" spans="1:7" x14ac:dyDescent="0.2">
      <c r="A127" s="760" t="s">
        <v>663</v>
      </c>
      <c r="B127" s="760" t="s">
        <v>1928</v>
      </c>
      <c r="C127" s="765">
        <v>4300</v>
      </c>
      <c r="D127" s="766" t="str">
        <f>'Revenues 9-14'!A204</f>
        <v>Total Title I</v>
      </c>
      <c r="E127" s="739"/>
      <c r="F127" s="1793">
        <f>SUM('Revenues 9-14'!C204,'Revenues 9-14'!D204,'Revenues 9-14'!F204,'Revenues 9-14'!G204)</f>
        <v>711620</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41464</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528192</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59856</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72296</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36631</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882548</v>
      </c>
      <c r="G172" s="760"/>
    </row>
    <row r="173" spans="1:7" x14ac:dyDescent="0.2">
      <c r="A173" s="1529" t="s">
        <v>659</v>
      </c>
      <c r="B173" s="1530" t="s">
        <v>1882</v>
      </c>
      <c r="C173" s="1531">
        <v>3300</v>
      </c>
      <c r="D173" s="1532" t="s">
        <v>1885</v>
      </c>
      <c r="E173" s="739"/>
      <c r="F173" s="1794">
        <v>31386</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4257456</v>
      </c>
    </row>
    <row r="176" spans="1:7" ht="12" customHeight="1" x14ac:dyDescent="0.2">
      <c r="A176" s="1443"/>
      <c r="B176" s="1453"/>
      <c r="C176" s="1454"/>
      <c r="D176" s="1455" t="s">
        <v>2011</v>
      </c>
      <c r="E176" s="1456"/>
      <c r="F176" s="1793">
        <f>'PCTC-OEPP 27-28'!F78-F175</f>
        <v>18719247</v>
      </c>
    </row>
    <row r="177" spans="1:9" ht="12" customHeight="1" x14ac:dyDescent="0.2">
      <c r="A177" s="1443"/>
      <c r="B177" s="1453"/>
      <c r="C177" s="1454"/>
      <c r="D177" s="1455" t="s">
        <v>1791</v>
      </c>
      <c r="E177" s="1456"/>
      <c r="F177" s="1793">
        <f>'Cap Outlay Deprec 26'!I18</f>
        <v>1440581.5</v>
      </c>
    </row>
    <row r="178" spans="1:9" ht="12" customHeight="1" x14ac:dyDescent="0.2">
      <c r="A178" s="1443"/>
      <c r="B178" s="1453"/>
      <c r="C178" s="1454"/>
      <c r="D178" s="1455" t="s">
        <v>2012</v>
      </c>
      <c r="E178" s="1456"/>
      <c r="F178" s="1793">
        <f>F176+F177</f>
        <v>20159828.5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2247.54</v>
      </c>
      <c r="G179" s="763"/>
      <c r="I179" s="701"/>
    </row>
    <row r="180" spans="1:9" ht="12" customHeight="1" thickBot="1" x14ac:dyDescent="0.25">
      <c r="A180" s="1443"/>
      <c r="B180" s="1457"/>
      <c r="C180" s="1454"/>
      <c r="D180" s="1455" t="s">
        <v>2014</v>
      </c>
      <c r="E180" s="1456" t="s">
        <v>1528</v>
      </c>
      <c r="F180" s="1798">
        <f>F178/F179</f>
        <v>8969.7306833248804</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49"/>
  <sheetViews>
    <sheetView showGridLines="0" topLeftCell="A22" zoomScaleNormal="100" workbookViewId="0">
      <selection activeCell="B42" sqref="B42"/>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2"/>
  </cols>
  <sheetData>
    <row r="1" spans="1:6" ht="15" customHeight="1" x14ac:dyDescent="0.25">
      <c r="A1" s="1859" t="s">
        <v>1804</v>
      </c>
      <c r="B1" s="1860"/>
      <c r="C1" s="1861"/>
      <c r="D1" s="1861"/>
      <c r="E1" s="1861"/>
      <c r="F1" s="1861"/>
    </row>
    <row r="2" spans="1:6" x14ac:dyDescent="0.25">
      <c r="A2" s="1863"/>
      <c r="B2" s="1864"/>
      <c r="C2" s="1911" t="s">
        <v>2000</v>
      </c>
      <c r="D2" s="1863"/>
      <c r="E2" s="1863"/>
      <c r="F2" s="1863"/>
    </row>
    <row r="3" spans="1:6" ht="5.25" customHeight="1" x14ac:dyDescent="0.25">
      <c r="A3" s="1865"/>
      <c r="B3" s="1866"/>
      <c r="C3" s="1865"/>
      <c r="D3" s="1865"/>
      <c r="E3" s="1865"/>
      <c r="F3" s="1865"/>
    </row>
    <row r="4" spans="1:6" ht="18.75" customHeight="1" x14ac:dyDescent="0.25">
      <c r="A4" s="2385" t="s">
        <v>1792</v>
      </c>
      <c r="B4" s="2386"/>
      <c r="C4" s="2386"/>
      <c r="D4" s="2386"/>
      <c r="E4" s="2386"/>
      <c r="F4" s="2387"/>
    </row>
    <row r="5" spans="1:6" x14ac:dyDescent="0.25">
      <c r="A5" s="2388"/>
      <c r="B5" s="2389"/>
      <c r="C5" s="2389"/>
      <c r="D5" s="2389"/>
      <c r="E5" s="2389"/>
      <c r="F5" s="2390"/>
    </row>
    <row r="6" spans="1:6" ht="18.75" x14ac:dyDescent="0.25">
      <c r="A6" s="1867" t="s">
        <v>1793</v>
      </c>
      <c r="B6" s="1868"/>
      <c r="C6" s="1869"/>
      <c r="D6" s="1869"/>
      <c r="E6" s="1869"/>
      <c r="F6" s="1870"/>
    </row>
    <row r="7" spans="1:6" ht="47.25" customHeight="1" x14ac:dyDescent="0.25">
      <c r="A7" s="2391" t="s">
        <v>1982</v>
      </c>
      <c r="B7" s="2392"/>
      <c r="C7" s="2392"/>
      <c r="D7" s="2392"/>
      <c r="E7" s="2392"/>
      <c r="F7" s="2393"/>
    </row>
    <row r="8" spans="1:6" ht="20.25" customHeight="1" x14ac:dyDescent="0.25">
      <c r="A8" s="1900" t="s">
        <v>1984</v>
      </c>
      <c r="B8" s="1901"/>
      <c r="C8" s="1901"/>
      <c r="D8" s="1901"/>
      <c r="E8" s="1871"/>
      <c r="F8" s="1872"/>
    </row>
    <row r="9" spans="1:6" ht="18" customHeight="1" x14ac:dyDescent="0.25">
      <c r="A9" s="1873" t="s">
        <v>1981</v>
      </c>
      <c r="B9" s="1875"/>
      <c r="C9" s="1875"/>
      <c r="D9" s="1875"/>
      <c r="E9" s="1871"/>
      <c r="F9" s="1872"/>
    </row>
    <row r="10" spans="1:6" ht="15.75" customHeight="1" x14ac:dyDescent="0.25">
      <c r="A10" s="2394" t="s">
        <v>1978</v>
      </c>
      <c r="B10" s="2395"/>
      <c r="C10" s="2395"/>
      <c r="D10" s="2395"/>
      <c r="E10" s="2395"/>
      <c r="F10" s="2396"/>
    </row>
    <row r="11" spans="1:6" ht="33" customHeight="1" x14ac:dyDescent="0.25">
      <c r="A11" s="2391" t="s">
        <v>1983</v>
      </c>
      <c r="B11" s="2392"/>
      <c r="C11" s="2392"/>
      <c r="D11" s="2392"/>
      <c r="E11" s="2392"/>
      <c r="F11" s="2393"/>
    </row>
    <row r="12" spans="1:6" ht="15" customHeight="1" x14ac:dyDescent="0.25">
      <c r="A12" s="1873" t="s">
        <v>1979</v>
      </c>
      <c r="B12" s="1874"/>
      <c r="C12" s="1875"/>
      <c r="D12" s="1875"/>
      <c r="E12" s="1875"/>
      <c r="F12" s="1876"/>
    </row>
    <row r="13" spans="1:6" ht="17.25" customHeight="1" x14ac:dyDescent="0.25">
      <c r="A13" s="2391" t="s">
        <v>1980</v>
      </c>
      <c r="B13" s="2392"/>
      <c r="C13" s="2392"/>
      <c r="D13" s="2392"/>
      <c r="E13" s="2392"/>
      <c r="F13" s="2393"/>
    </row>
    <row r="14" spans="1:6" ht="15" customHeight="1" x14ac:dyDescent="0.25">
      <c r="A14" s="1873" t="s">
        <v>1797</v>
      </c>
      <c r="B14" s="1874"/>
      <c r="C14" s="1875"/>
      <c r="D14" s="1875"/>
      <c r="E14" s="1875"/>
      <c r="F14" s="1876"/>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5" t="s">
        <v>1796</v>
      </c>
      <c r="C17" s="1881" t="s">
        <v>1794</v>
      </c>
      <c r="D17" s="1882">
        <v>500000</v>
      </c>
      <c r="E17" s="1882" t="str">
        <f>IF(D17&lt;25000,D17,"25,000")</f>
        <v>25,000</v>
      </c>
      <c r="F17" s="1883">
        <f>IF(D17&gt;=25000,(D17-E17),"0")</f>
        <v>475000</v>
      </c>
    </row>
    <row r="18" spans="1:7" x14ac:dyDescent="0.25">
      <c r="A18" s="1912"/>
      <c r="B18" s="1906"/>
      <c r="C18" s="1913"/>
      <c r="D18" s="1884"/>
      <c r="E18" s="1904">
        <f t="shared" ref="E18:E46" si="0">IF(D18&lt;25000,D18,"25,000")</f>
        <v>0</v>
      </c>
      <c r="F18" s="1904" t="str">
        <f t="shared" ref="F18:F46" si="1">IF(D18&gt;=25000,(D18-E18),"0")</f>
        <v>0</v>
      </c>
      <c r="G18" s="1885"/>
    </row>
    <row r="19" spans="1:7" x14ac:dyDescent="0.25">
      <c r="A19" s="2044" t="s">
        <v>2150</v>
      </c>
      <c r="B19" s="1907">
        <v>101000300</v>
      </c>
      <c r="C19" s="2043" t="s">
        <v>2142</v>
      </c>
      <c r="D19" s="1884">
        <v>31195</v>
      </c>
      <c r="E19" s="1904" t="str">
        <f t="shared" si="0"/>
        <v>25,000</v>
      </c>
      <c r="F19" s="1904">
        <f t="shared" si="1"/>
        <v>6195</v>
      </c>
    </row>
    <row r="20" spans="1:7" x14ac:dyDescent="0.25">
      <c r="A20" s="2044" t="s">
        <v>2151</v>
      </c>
      <c r="B20" s="1906">
        <v>101000400</v>
      </c>
      <c r="C20" s="2043" t="s">
        <v>2124</v>
      </c>
      <c r="D20" s="1884">
        <v>661841</v>
      </c>
      <c r="E20" s="1904" t="str">
        <f t="shared" si="0"/>
        <v>25,000</v>
      </c>
      <c r="F20" s="1904">
        <f t="shared" si="1"/>
        <v>636841</v>
      </c>
    </row>
    <row r="21" spans="1:7" x14ac:dyDescent="0.25">
      <c r="A21" s="2044" t="s">
        <v>2151</v>
      </c>
      <c r="B21" s="1906">
        <v>101000400</v>
      </c>
      <c r="C21" s="2043" t="s">
        <v>2131</v>
      </c>
      <c r="D21" s="1884">
        <v>85872</v>
      </c>
      <c r="E21" s="1904" t="str">
        <f t="shared" si="0"/>
        <v>25,000</v>
      </c>
      <c r="F21" s="1904">
        <f t="shared" si="1"/>
        <v>60872</v>
      </c>
    </row>
    <row r="22" spans="1:7" x14ac:dyDescent="0.25">
      <c r="A22" s="2044" t="s">
        <v>2151</v>
      </c>
      <c r="B22" s="1906">
        <v>101000400</v>
      </c>
      <c r="C22" s="2043" t="s">
        <v>2136</v>
      </c>
      <c r="D22" s="1884">
        <v>87984</v>
      </c>
      <c r="E22" s="1904" t="str">
        <f t="shared" si="0"/>
        <v>25,000</v>
      </c>
      <c r="F22" s="1904">
        <f t="shared" si="1"/>
        <v>62984</v>
      </c>
    </row>
    <row r="23" spans="1:7" x14ac:dyDescent="0.25">
      <c r="A23" s="2044" t="s">
        <v>2151</v>
      </c>
      <c r="B23" s="1906">
        <v>101000400</v>
      </c>
      <c r="C23" s="2043" t="s">
        <v>2139</v>
      </c>
      <c r="D23" s="1884">
        <v>51915</v>
      </c>
      <c r="E23" s="1904" t="str">
        <f t="shared" si="0"/>
        <v>25,000</v>
      </c>
      <c r="F23" s="1904">
        <f t="shared" si="1"/>
        <v>26915</v>
      </c>
    </row>
    <row r="24" spans="1:7" x14ac:dyDescent="0.25">
      <c r="A24" s="2044" t="s">
        <v>2152</v>
      </c>
      <c r="B24" s="1906">
        <v>101000600</v>
      </c>
      <c r="C24" s="2043" t="s">
        <v>2125</v>
      </c>
      <c r="D24" s="1884">
        <v>366980</v>
      </c>
      <c r="E24" s="1904" t="str">
        <f t="shared" si="0"/>
        <v>25,000</v>
      </c>
      <c r="F24" s="1904">
        <f t="shared" si="1"/>
        <v>341980</v>
      </c>
    </row>
    <row r="25" spans="1:7" x14ac:dyDescent="0.25">
      <c r="A25" s="2044" t="s">
        <v>2152</v>
      </c>
      <c r="B25" s="1906">
        <v>101000600</v>
      </c>
      <c r="C25" s="2043" t="s">
        <v>2126</v>
      </c>
      <c r="D25" s="1884">
        <v>73967</v>
      </c>
      <c r="E25" s="1904" t="str">
        <f t="shared" si="0"/>
        <v>25,000</v>
      </c>
      <c r="F25" s="1904">
        <f t="shared" si="1"/>
        <v>48967</v>
      </c>
    </row>
    <row r="26" spans="1:7" x14ac:dyDescent="0.25">
      <c r="A26" s="2044" t="s">
        <v>2152</v>
      </c>
      <c r="B26" s="1906">
        <v>101000600</v>
      </c>
      <c r="C26" s="2043" t="s">
        <v>2130</v>
      </c>
      <c r="D26" s="1884">
        <v>85602</v>
      </c>
      <c r="E26" s="1904" t="str">
        <f t="shared" si="0"/>
        <v>25,000</v>
      </c>
      <c r="F26" s="1904">
        <f t="shared" si="1"/>
        <v>60602</v>
      </c>
    </row>
    <row r="27" spans="1:7" x14ac:dyDescent="0.25">
      <c r="A27" s="2044" t="s">
        <v>2152</v>
      </c>
      <c r="B27" s="1906">
        <v>101000600</v>
      </c>
      <c r="C27" s="2043" t="s">
        <v>2132</v>
      </c>
      <c r="D27" s="1884">
        <v>40553</v>
      </c>
      <c r="E27" s="1904" t="str">
        <f t="shared" si="0"/>
        <v>25,000</v>
      </c>
      <c r="F27" s="1904">
        <f t="shared" si="1"/>
        <v>15553</v>
      </c>
    </row>
    <row r="28" spans="1:7" x14ac:dyDescent="0.25">
      <c r="A28" s="2044" t="s">
        <v>2152</v>
      </c>
      <c r="B28" s="1906">
        <v>101000600</v>
      </c>
      <c r="C28" s="2043" t="s">
        <v>2138</v>
      </c>
      <c r="D28" s="1884">
        <v>59083</v>
      </c>
      <c r="E28" s="1904" t="str">
        <f t="shared" si="0"/>
        <v>25,000</v>
      </c>
      <c r="F28" s="1904">
        <f t="shared" si="1"/>
        <v>34083</v>
      </c>
    </row>
    <row r="29" spans="1:7" x14ac:dyDescent="0.25">
      <c r="A29" s="2044" t="s">
        <v>2153</v>
      </c>
      <c r="B29" s="1906">
        <v>102200300</v>
      </c>
      <c r="C29" s="2043" t="s">
        <v>2141</v>
      </c>
      <c r="D29" s="1884">
        <v>31600</v>
      </c>
      <c r="E29" s="1904" t="str">
        <f t="shared" si="0"/>
        <v>25,000</v>
      </c>
      <c r="F29" s="1904">
        <f t="shared" si="1"/>
        <v>6600</v>
      </c>
    </row>
    <row r="30" spans="1:7" x14ac:dyDescent="0.25">
      <c r="A30" s="2044" t="s">
        <v>2153</v>
      </c>
      <c r="B30" s="1907">
        <v>102200300</v>
      </c>
      <c r="C30" s="2043" t="s">
        <v>2143</v>
      </c>
      <c r="D30" s="1884">
        <v>64489</v>
      </c>
      <c r="E30" s="1904" t="str">
        <f t="shared" si="0"/>
        <v>25,000</v>
      </c>
      <c r="F30" s="1904">
        <f t="shared" si="1"/>
        <v>39489</v>
      </c>
    </row>
    <row r="31" spans="1:7" x14ac:dyDescent="0.25">
      <c r="A31" s="2044" t="s">
        <v>2153</v>
      </c>
      <c r="B31" s="1907">
        <v>102200300</v>
      </c>
      <c r="C31" s="2043" t="s">
        <v>2144</v>
      </c>
      <c r="D31" s="1884">
        <v>27542</v>
      </c>
      <c r="E31" s="1904" t="str">
        <f t="shared" si="0"/>
        <v>25,000</v>
      </c>
      <c r="F31" s="1904">
        <f t="shared" si="1"/>
        <v>2542</v>
      </c>
    </row>
    <row r="32" spans="1:7" x14ac:dyDescent="0.25">
      <c r="A32" s="2044" t="s">
        <v>2153</v>
      </c>
      <c r="B32" s="1906">
        <v>102300300</v>
      </c>
      <c r="C32" s="2043" t="s">
        <v>2133</v>
      </c>
      <c r="D32" s="1884">
        <v>65281</v>
      </c>
      <c r="E32" s="1904" t="str">
        <f t="shared" si="0"/>
        <v>25,000</v>
      </c>
      <c r="F32" s="1904">
        <f t="shared" si="1"/>
        <v>40281</v>
      </c>
    </row>
    <row r="33" spans="1:6" x14ac:dyDescent="0.25">
      <c r="A33" s="2044" t="s">
        <v>2153</v>
      </c>
      <c r="B33" s="1907">
        <v>102300300</v>
      </c>
      <c r="C33" s="2043" t="s">
        <v>2147</v>
      </c>
      <c r="D33" s="1884">
        <v>213595</v>
      </c>
      <c r="E33" s="1904" t="str">
        <f t="shared" si="0"/>
        <v>25,000</v>
      </c>
      <c r="F33" s="1904">
        <f t="shared" si="1"/>
        <v>188595</v>
      </c>
    </row>
    <row r="34" spans="1:6" x14ac:dyDescent="0.25">
      <c r="A34" s="2044" t="s">
        <v>2153</v>
      </c>
      <c r="B34" s="1907">
        <v>102300300</v>
      </c>
      <c r="C34" s="2043" t="s">
        <v>2148</v>
      </c>
      <c r="D34" s="1884">
        <v>152857</v>
      </c>
      <c r="E34" s="1904" t="str">
        <f t="shared" si="0"/>
        <v>25,000</v>
      </c>
      <c r="F34" s="1904">
        <f t="shared" si="1"/>
        <v>127857</v>
      </c>
    </row>
    <row r="35" spans="1:6" x14ac:dyDescent="0.25">
      <c r="A35" s="2044" t="s">
        <v>2153</v>
      </c>
      <c r="B35" s="1907">
        <v>102630300</v>
      </c>
      <c r="C35" s="2043" t="s">
        <v>2145</v>
      </c>
      <c r="D35" s="1884">
        <v>246329</v>
      </c>
      <c r="E35" s="1904" t="str">
        <f t="shared" si="0"/>
        <v>25,000</v>
      </c>
      <c r="F35" s="1904">
        <f t="shared" si="1"/>
        <v>221329</v>
      </c>
    </row>
    <row r="36" spans="1:6" x14ac:dyDescent="0.25">
      <c r="A36" s="2044" t="s">
        <v>2154</v>
      </c>
      <c r="B36" s="1906">
        <v>202540300</v>
      </c>
      <c r="C36" s="2043" t="s">
        <v>2122</v>
      </c>
      <c r="D36" s="1884">
        <v>50277</v>
      </c>
      <c r="E36" s="1904" t="str">
        <f t="shared" si="0"/>
        <v>25,000</v>
      </c>
      <c r="F36" s="1904">
        <f t="shared" si="1"/>
        <v>25277</v>
      </c>
    </row>
    <row r="37" spans="1:6" x14ac:dyDescent="0.25">
      <c r="A37" s="2044" t="s">
        <v>2154</v>
      </c>
      <c r="B37" s="1906">
        <v>202540300</v>
      </c>
      <c r="C37" s="2043" t="s">
        <v>2123</v>
      </c>
      <c r="D37" s="1884">
        <v>32818</v>
      </c>
      <c r="E37" s="1904" t="str">
        <f t="shared" si="0"/>
        <v>25,000</v>
      </c>
      <c r="F37" s="1904">
        <f t="shared" si="1"/>
        <v>7818</v>
      </c>
    </row>
    <row r="38" spans="1:6" x14ac:dyDescent="0.25">
      <c r="A38" s="2044" t="s">
        <v>2154</v>
      </c>
      <c r="B38" s="1906">
        <v>202540300</v>
      </c>
      <c r="C38" s="2043" t="s">
        <v>2127</v>
      </c>
      <c r="D38" s="1884">
        <v>44699</v>
      </c>
      <c r="E38" s="1904" t="str">
        <f t="shared" si="0"/>
        <v>25,000</v>
      </c>
      <c r="F38" s="1904">
        <f t="shared" si="1"/>
        <v>19699</v>
      </c>
    </row>
    <row r="39" spans="1:6" x14ac:dyDescent="0.25">
      <c r="A39" s="2044" t="s">
        <v>2154</v>
      </c>
      <c r="B39" s="1906">
        <v>202540300</v>
      </c>
      <c r="C39" s="2043" t="s">
        <v>2128</v>
      </c>
      <c r="D39" s="1884">
        <v>71593</v>
      </c>
      <c r="E39" s="1904" t="str">
        <f t="shared" si="0"/>
        <v>25,000</v>
      </c>
      <c r="F39" s="1904">
        <f t="shared" si="1"/>
        <v>46593</v>
      </c>
    </row>
    <row r="40" spans="1:6" x14ac:dyDescent="0.25">
      <c r="A40" s="2044" t="s">
        <v>2154</v>
      </c>
      <c r="B40" s="1906">
        <v>202540300</v>
      </c>
      <c r="C40" s="2043" t="s">
        <v>2129</v>
      </c>
      <c r="D40" s="1884">
        <v>80651</v>
      </c>
      <c r="E40" s="1904" t="str">
        <f t="shared" si="0"/>
        <v>25,000</v>
      </c>
      <c r="F40" s="1904">
        <f t="shared" si="1"/>
        <v>55651</v>
      </c>
    </row>
    <row r="41" spans="1:6" x14ac:dyDescent="0.25">
      <c r="A41" s="2044" t="s">
        <v>2154</v>
      </c>
      <c r="B41" s="1906">
        <v>202540300</v>
      </c>
      <c r="C41" s="2043" t="s">
        <v>2134</v>
      </c>
      <c r="D41" s="1884">
        <v>81414</v>
      </c>
      <c r="E41" s="1904" t="str">
        <f t="shared" si="0"/>
        <v>25,000</v>
      </c>
      <c r="F41" s="1904">
        <f t="shared" si="1"/>
        <v>56414</v>
      </c>
    </row>
    <row r="42" spans="1:6" x14ac:dyDescent="0.25">
      <c r="A42" s="2044" t="s">
        <v>2154</v>
      </c>
      <c r="B42" s="1906">
        <v>202540300</v>
      </c>
      <c r="C42" s="2043" t="s">
        <v>2137</v>
      </c>
      <c r="D42" s="1884">
        <v>37752</v>
      </c>
      <c r="E42" s="1904" t="str">
        <f t="shared" si="0"/>
        <v>25,000</v>
      </c>
      <c r="F42" s="1904">
        <f t="shared" si="1"/>
        <v>12752</v>
      </c>
    </row>
    <row r="43" spans="1:6" x14ac:dyDescent="0.25">
      <c r="A43" s="2044" t="s">
        <v>2154</v>
      </c>
      <c r="B43" s="1907">
        <v>202540300</v>
      </c>
      <c r="C43" s="2043" t="s">
        <v>2146</v>
      </c>
      <c r="D43" s="1884">
        <v>135341</v>
      </c>
      <c r="E43" s="1904" t="str">
        <f t="shared" si="0"/>
        <v>25,000</v>
      </c>
      <c r="F43" s="1904">
        <f t="shared" si="1"/>
        <v>110341</v>
      </c>
    </row>
    <row r="44" spans="1:6" x14ac:dyDescent="0.25">
      <c r="A44" s="2044" t="s">
        <v>2154</v>
      </c>
      <c r="B44" s="1907">
        <v>202540300</v>
      </c>
      <c r="C44" s="2043" t="s">
        <v>2149</v>
      </c>
      <c r="D44" s="1884">
        <v>32115</v>
      </c>
      <c r="E44" s="1904" t="str">
        <f t="shared" si="0"/>
        <v>25,000</v>
      </c>
      <c r="F44" s="1904">
        <f t="shared" si="1"/>
        <v>7115</v>
      </c>
    </row>
    <row r="45" spans="1:6" x14ac:dyDescent="0.25">
      <c r="A45" s="2044" t="s">
        <v>2155</v>
      </c>
      <c r="B45" s="1906">
        <v>202540400</v>
      </c>
      <c r="C45" s="2043" t="s">
        <v>2135</v>
      </c>
      <c r="D45" s="1884">
        <v>142755</v>
      </c>
      <c r="E45" s="1904" t="str">
        <f t="shared" si="0"/>
        <v>25,000</v>
      </c>
      <c r="F45" s="1904">
        <f t="shared" si="1"/>
        <v>117755</v>
      </c>
    </row>
    <row r="46" spans="1:6" x14ac:dyDescent="0.25">
      <c r="A46" s="2044" t="s">
        <v>2155</v>
      </c>
      <c r="B46" s="1906">
        <v>202540400</v>
      </c>
      <c r="C46" s="2043" t="s">
        <v>2140</v>
      </c>
      <c r="D46" s="1884">
        <v>340290</v>
      </c>
      <c r="E46" s="1904" t="str">
        <f t="shared" si="0"/>
        <v>25,000</v>
      </c>
      <c r="F46" s="1904">
        <f t="shared" si="1"/>
        <v>315290</v>
      </c>
    </row>
    <row r="47" spans="1:6" x14ac:dyDescent="0.25">
      <c r="A47" s="1886"/>
      <c r="B47" s="1907"/>
      <c r="C47" s="1887"/>
      <c r="D47" s="1884"/>
      <c r="E47" s="1904">
        <f t="shared" ref="E47:E48" si="2">IF(D47&lt;25000,D47,"25,000")</f>
        <v>0</v>
      </c>
      <c r="F47" s="1904" t="str">
        <f t="shared" ref="F47:F48" si="3">IF(D47&gt;=25000,(D47-E47),"0")</f>
        <v>0</v>
      </c>
    </row>
    <row r="48" spans="1:6" x14ac:dyDescent="0.25">
      <c r="A48" s="1886"/>
      <c r="B48" s="1908"/>
      <c r="C48" s="1887"/>
      <c r="D48" s="1884"/>
      <c r="E48" s="1904">
        <f t="shared" si="2"/>
        <v>0</v>
      </c>
      <c r="F48" s="1904" t="str">
        <f t="shared" si="3"/>
        <v>0</v>
      </c>
    </row>
    <row r="49" spans="1:6" x14ac:dyDescent="0.25">
      <c r="A49" s="1888" t="s">
        <v>155</v>
      </c>
      <c r="B49" s="1909"/>
      <c r="C49" s="1889"/>
      <c r="D49" s="1890">
        <f>SUM(D18:D48)</f>
        <v>3396390</v>
      </c>
      <c r="E49" s="1891">
        <f>SUM(E18:E48)</f>
        <v>0</v>
      </c>
      <c r="F49" s="1892">
        <f>SUM(F18:F48)</f>
        <v>2696390</v>
      </c>
    </row>
  </sheetData>
  <sheetProtection selectLockedCells="1"/>
  <sortState ref="A19:D46">
    <sortCondition ref="B19:B46"/>
  </sortState>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7" t="s">
        <v>1660</v>
      </c>
      <c r="B5" s="2398"/>
      <c r="C5" s="2398"/>
      <c r="D5" s="2398"/>
      <c r="E5" s="2398"/>
      <c r="F5" s="2398"/>
      <c r="G5" s="239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801">
        <v>52007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13772564</v>
      </c>
      <c r="F19" s="1802"/>
      <c r="G19" s="1804">
        <f>'Expenditures 15-22'!K33-SUM('Expenditures 15-22'!G33,'Expenditures 15-22'!I33)+'Expenditures 15-22'!D229</f>
        <v>13772564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1591499</v>
      </c>
      <c r="F21" s="1805"/>
      <c r="G21" s="1808">
        <f>'Expenditures 15-22'!K42-SUM('Expenditures 15-22'!G42,'Expenditures 15-22'!I42)+'Expenditures 15-22'!K120-SUM('Expenditures 15-22'!G120,'Expenditures 15-22'!I120)+'Expenditures 15-22'!K180-SUM('Expenditures 15-22'!G180,'Expenditures 15-22'!I180)+'Expenditures 15-22'!D238</f>
        <v>1591499</v>
      </c>
      <c r="H21" s="817"/>
      <c r="I21" s="157"/>
    </row>
    <row r="22" spans="1:9" s="542" customFormat="1" ht="12" customHeight="1" x14ac:dyDescent="0.2">
      <c r="A22" s="824" t="s">
        <v>560</v>
      </c>
      <c r="B22" s="825"/>
      <c r="C22" s="823">
        <v>2200</v>
      </c>
      <c r="D22" s="1805"/>
      <c r="E22" s="1807">
        <f>'Expenditures 15-22'!K47-SUM('Expenditures 15-22'!G47,'Expenditures 15-22'!I47)+'Expenditures 15-22'!D243</f>
        <v>764679</v>
      </c>
      <c r="F22" s="1805"/>
      <c r="G22" s="1808">
        <f>'Expenditures 15-22'!K47-SUM('Expenditures 15-22'!G47,'Expenditures 15-22'!I47)+'Expenditures 15-22'!D243</f>
        <v>764679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1023316</v>
      </c>
      <c r="F23" s="1805"/>
      <c r="G23" s="1807">
        <f>'Expenditures 15-22'!K53-SUM('Expenditures 15-22'!G53,'Expenditures 15-22'!I53)+'Expenditures 15-22'!D257+'Expenditures 15-22'!K330-SUM('Expenditures 15-22'!G330,'Expenditures 15-22'!I330)</f>
        <v>1023316</v>
      </c>
      <c r="H23" s="817"/>
      <c r="I23" s="157"/>
    </row>
    <row r="24" spans="1:9" s="542" customFormat="1" ht="12" customHeight="1" x14ac:dyDescent="0.2">
      <c r="A24" s="824" t="s">
        <v>562</v>
      </c>
      <c r="B24" s="825"/>
      <c r="C24" s="823">
        <v>2400</v>
      </c>
      <c r="D24" s="1805"/>
      <c r="E24" s="1807">
        <f>'Expenditures 15-22'!K57-SUM('Expenditures 15-22'!G57,'Expenditures 15-22'!I57)+'Expenditures 15-22'!D261</f>
        <v>1301796</v>
      </c>
      <c r="F24" s="1805"/>
      <c r="G24" s="1808">
        <f>'Expenditures 15-22'!K57-SUM('Expenditures 15-22'!G57,'Expenditures 15-22'!I57)+'Expenditures 15-22'!D261</f>
        <v>1301796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276754</v>
      </c>
      <c r="E27" s="1807">
        <f>E8</f>
        <v>0</v>
      </c>
      <c r="F27" s="1807">
        <f>'Expenditures 15-22'!K60-SUM('Expenditures 15-22'!G60,'Expenditures 15-22'!I60)+'Expenditures 15-22'!D264-E8</f>
        <v>276754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2128185</v>
      </c>
      <c r="F28" s="1809">
        <f>'Expenditures 15-22'!K61-SUM('Expenditures 15-22'!G61,'Expenditures 15-22'!I61)+'Expenditures 15-22'!K124-SUM('Expenditures 15-22'!G124,'Expenditures 15-22'!I124)+'Expenditures 15-22'!D266-E9</f>
        <v>2128185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1504368</v>
      </c>
      <c r="F29" s="1805"/>
      <c r="G29" s="1808">
        <f>'Expenditures 15-22'!K62-SUM('Expenditures 15-22'!G62,'Expenditures 15-22'!I62)+'Expenditures 15-22'!K125-SUM('Expenditures 15-22'!G125,'Expenditures 15-22'!I125)+'Expenditures 15-22'!K182-SUM('Expenditures 15-22'!G182,'Expenditures 15-22'!I182)+'Expenditures 15-22'!D267</f>
        <v>1504368</v>
      </c>
      <c r="H29" s="815"/>
    </row>
    <row r="30" spans="1:9" ht="12" customHeight="1" x14ac:dyDescent="0.2">
      <c r="A30" s="824" t="s">
        <v>100</v>
      </c>
      <c r="B30" s="827"/>
      <c r="C30" s="823">
        <v>2560</v>
      </c>
      <c r="D30" s="1805"/>
      <c r="E30" s="1807">
        <f>'Expenditures 15-22'!K63-SUM('Expenditures 15-22'!G63,'Expenditures 15-22'!I63)+'Expenditures 15-22'!D268-E10</f>
        <v>656984</v>
      </c>
      <c r="F30" s="1805"/>
      <c r="G30" s="1807">
        <f>'Expenditures 15-22'!K63-SUM('Expenditures 15-22'!G63,'Expenditures 15-22'!I63)+'Expenditures 15-22'!D268-E10</f>
        <v>656984</v>
      </c>
    </row>
    <row r="31" spans="1:9" ht="12" customHeight="1" x14ac:dyDescent="0.2">
      <c r="A31" s="824" t="s">
        <v>101</v>
      </c>
      <c r="B31" s="827"/>
      <c r="C31" s="823">
        <v>2570</v>
      </c>
      <c r="D31" s="1807">
        <f>'Expenditures 15-22'!K64-SUM('Expenditures 15-22'!G64,'Expenditures 15-22'!I64)+'Expenditures 15-22'!D269-E12</f>
        <v>124505</v>
      </c>
      <c r="E31" s="1807">
        <f>E12</f>
        <v>0</v>
      </c>
      <c r="F31" s="1807">
        <f>'Expenditures 15-22'!K64-SUM('Expenditures 15-22'!G64,'Expenditures 15-22'!I64)+'Expenditures 15-22'!D269-E12</f>
        <v>124505</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405687</v>
      </c>
      <c r="F33" s="1805"/>
      <c r="G33" s="1807">
        <f>'Expenditures 15-22'!K67-SUM('Expenditures 15-22'!G67,'Expenditures 15-22'!I67)+'Expenditures 15-22'!D272</f>
        <v>405687</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31771</v>
      </c>
      <c r="F35" s="1805"/>
      <c r="G35" s="1807">
        <f>'Expenditures 15-22'!K69-SUM('Expenditures 15-22'!G69,'Expenditures 15-22'!I69)+'Expenditures 15-22'!D274</f>
        <v>31771</v>
      </c>
    </row>
    <row r="36" spans="1:7" ht="12" customHeight="1" x14ac:dyDescent="0.2">
      <c r="A36" s="824" t="s">
        <v>400</v>
      </c>
      <c r="B36" s="827"/>
      <c r="C36" s="823">
        <v>2640</v>
      </c>
      <c r="D36" s="1807">
        <f>'Expenditures 15-22'!K70-SUM('Expenditures 15-22'!G70,'Expenditures 15-22'!I70)+'Expenditures 15-22'!D275-E13</f>
        <v>3056</v>
      </c>
      <c r="E36" s="1807">
        <f>E13</f>
        <v>0</v>
      </c>
      <c r="F36" s="1807">
        <f>'Expenditures 15-22'!K70-SUM('Expenditures 15-22'!G70,'Expenditures 15-22'!I70)+'Expenditures 15-22'!D275-E13</f>
        <v>3056</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1341</v>
      </c>
      <c r="F38" s="1805"/>
      <c r="G38" s="1807">
        <f>'Expenditures 15-22'!K73-SUM('Expenditures 15-22'!G73,'Expenditures 15-22'!I73)+'Expenditures 15-22'!K128-SUM('Expenditures 15-22'!G128,'Expenditures 15-22'!I128)+'Expenditures 15-22'!K183-SUM('Expenditures 15-22'!G183,'Expenditures 15-22'!I183)+'Expenditures 15-22'!D278</f>
        <v>1341</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67998</v>
      </c>
      <c r="F39" s="1805"/>
      <c r="G39" s="1807">
        <f>'Expenditures 15-22'!K75-SUM('Expenditures 15-22'!G75,'Expenditures 15-22'!I75)+'Expenditures 15-22'!K130-SUM('Expenditures 15-22'!G130,'Expenditures 15-22'!I130)+'Expenditures 15-22'!K185-SUM('Expenditures 15-22'!G185,'Expenditures 15-22'!I185)+'Expenditures 15-22'!D280</f>
        <v>67998</v>
      </c>
    </row>
    <row r="40" spans="1:7" ht="12" customHeight="1" x14ac:dyDescent="0.2">
      <c r="A40" s="820" t="s">
        <v>1795</v>
      </c>
      <c r="B40" s="821"/>
      <c r="C40" s="823"/>
      <c r="D40" s="1805"/>
      <c r="E40" s="1809">
        <f>-'Contracts Paid in CY 29'!F49</f>
        <v>-2696390</v>
      </c>
      <c r="F40" s="1805"/>
      <c r="G40" s="1809">
        <f>-'Contracts Paid in CY 29'!F49</f>
        <v>-2696390</v>
      </c>
    </row>
    <row r="41" spans="1:7" ht="12" customHeight="1" x14ac:dyDescent="0.2">
      <c r="A41" s="828" t="s">
        <v>155</v>
      </c>
      <c r="B41" s="829"/>
      <c r="C41" s="830"/>
      <c r="D41" s="1809">
        <f>SUM(D19:D39)</f>
        <v>404315</v>
      </c>
      <c r="E41" s="1809">
        <f>SUM(E19:E40)</f>
        <v>20553798</v>
      </c>
      <c r="F41" s="1809">
        <f>SUM(F19:F39)</f>
        <v>2532500</v>
      </c>
      <c r="G41" s="1809">
        <f>SUM(G19:G40)</f>
        <v>18425613</v>
      </c>
    </row>
    <row r="42" spans="1:7" x14ac:dyDescent="0.2">
      <c r="A42" s="817"/>
      <c r="B42" s="157"/>
      <c r="C42" s="831"/>
      <c r="D42" s="2400" t="s">
        <v>519</v>
      </c>
      <c r="E42" s="2401"/>
      <c r="F42" s="832" t="s">
        <v>520</v>
      </c>
      <c r="G42" s="833"/>
    </row>
    <row r="43" spans="1:7" ht="12" customHeight="1" x14ac:dyDescent="0.2">
      <c r="A43" s="817"/>
      <c r="B43" s="157"/>
      <c r="C43" s="831"/>
      <c r="D43" s="1458" t="s">
        <v>470</v>
      </c>
      <c r="E43" s="1810">
        <f>D41</f>
        <v>404315</v>
      </c>
      <c r="F43" s="1458" t="s">
        <v>470</v>
      </c>
      <c r="G43" s="1810">
        <f>F41</f>
        <v>2532500</v>
      </c>
    </row>
    <row r="44" spans="1:7" ht="12" customHeight="1" x14ac:dyDescent="0.2">
      <c r="A44" s="817"/>
      <c r="B44" s="157"/>
      <c r="C44" s="831"/>
      <c r="D44" s="1458" t="s">
        <v>471</v>
      </c>
      <c r="E44" s="1810">
        <f>E41</f>
        <v>20553798</v>
      </c>
      <c r="F44" s="1458" t="s">
        <v>471</v>
      </c>
      <c r="G44" s="1810">
        <f>G41</f>
        <v>18425613</v>
      </c>
    </row>
    <row r="45" spans="1:7" ht="12" customHeight="1" x14ac:dyDescent="0.2">
      <c r="A45" s="817"/>
      <c r="B45" s="157"/>
      <c r="C45" s="157"/>
      <c r="D45" s="1459" t="s">
        <v>999</v>
      </c>
      <c r="E45" s="1811">
        <f>(E43/E44)</f>
        <v>1.9671060307199673E-2</v>
      </c>
      <c r="F45" s="1459" t="s">
        <v>999</v>
      </c>
      <c r="G45" s="1811">
        <f>(G43/G44)</f>
        <v>0.1374445452642471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B9" sqref="B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8" t="s">
        <v>1363</v>
      </c>
      <c r="B1" s="2408"/>
      <c r="C1" s="2408"/>
      <c r="D1" s="2408"/>
      <c r="E1" s="2408"/>
      <c r="F1" s="2408"/>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9" t="s">
        <v>1529</v>
      </c>
      <c r="B5" s="2410"/>
      <c r="C5" s="2411"/>
      <c r="D5" s="2411"/>
      <c r="E5" s="2411"/>
      <c r="F5" s="2411"/>
      <c r="G5" s="1507"/>
      <c r="L5" s="1507"/>
      <c r="M5" s="1855"/>
      <c r="N5" s="1855"/>
      <c r="O5" s="1855"/>
    </row>
    <row r="6" spans="1:15" ht="12" customHeight="1" x14ac:dyDescent="0.25">
      <c r="A6" s="1480"/>
      <c r="B6" s="1481"/>
      <c r="C6" s="2412" t="str">
        <f>COVER!A17</f>
        <v xml:space="preserve"> Bourbonnais SD 53</v>
      </c>
      <c r="D6" s="2412"/>
      <c r="E6" s="2412"/>
      <c r="F6" s="1482"/>
      <c r="G6" s="1507"/>
      <c r="L6" s="1507"/>
      <c r="M6" s="1855"/>
      <c r="N6" s="1855"/>
      <c r="O6" s="1855"/>
    </row>
    <row r="7" spans="1:15" ht="11.25" customHeight="1" thickBot="1" x14ac:dyDescent="0.3">
      <c r="A7" s="1480"/>
      <c r="B7" s="1481"/>
      <c r="C7" s="2413">
        <f>COVER!A13</f>
        <v>32046053002</v>
      </c>
      <c r="D7" s="2413"/>
      <c r="E7" s="2413"/>
      <c r="F7" s="1482"/>
      <c r="G7" s="1507"/>
      <c r="L7" s="1507"/>
      <c r="M7" s="1855"/>
      <c r="N7" s="1855"/>
      <c r="O7" s="1855"/>
    </row>
    <row r="8" spans="1:15" ht="25.5" customHeight="1" thickBot="1" x14ac:dyDescent="0.25">
      <c r="A8" s="1519" t="s">
        <v>1871</v>
      </c>
      <c r="B8" s="1483" t="s">
        <v>2048</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14"/>
      <c r="D35" s="2414"/>
      <c r="E35" s="2414"/>
      <c r="F35" s="2415"/>
    </row>
    <row r="36" spans="1:15" ht="12" customHeight="1" x14ac:dyDescent="0.2">
      <c r="A36" s="2405"/>
      <c r="B36" s="2406"/>
      <c r="C36" s="2406"/>
      <c r="D36" s="2406"/>
      <c r="E36" s="2406"/>
      <c r="F36" s="2407"/>
    </row>
    <row r="37" spans="1:15" ht="12" customHeight="1" x14ac:dyDescent="0.2">
      <c r="A37" s="2405"/>
      <c r="B37" s="2406"/>
      <c r="C37" s="2406"/>
      <c r="D37" s="2406"/>
      <c r="E37" s="2406"/>
      <c r="F37" s="2407"/>
    </row>
    <row r="38" spans="1:15" ht="12" customHeight="1" x14ac:dyDescent="0.2">
      <c r="A38" s="2419"/>
      <c r="B38" s="2420"/>
      <c r="C38" s="2420"/>
      <c r="D38" s="2420"/>
      <c r="E38" s="2420"/>
      <c r="F38" s="2421"/>
    </row>
    <row r="39" spans="1:15" ht="4.5" hidden="1" customHeight="1" x14ac:dyDescent="0.2">
      <c r="A39" s="1502"/>
      <c r="B39" s="1502"/>
      <c r="C39" s="1502"/>
      <c r="D39" s="1502"/>
      <c r="E39" s="1502"/>
      <c r="F39" s="1502"/>
    </row>
    <row r="40" spans="1:15" s="1499" customFormat="1" ht="12" customHeight="1" x14ac:dyDescent="0.25">
      <c r="A40" s="1503" t="s">
        <v>1375</v>
      </c>
      <c r="B40" s="1504"/>
      <c r="C40" s="2422"/>
      <c r="D40" s="2422"/>
      <c r="E40" s="2422"/>
      <c r="F40" s="2423"/>
      <c r="H40" s="1508"/>
      <c r="I40" s="1508"/>
      <c r="J40" s="1508"/>
      <c r="K40" s="1508"/>
    </row>
    <row r="41" spans="1:15" s="1499" customFormat="1" ht="12" customHeight="1" x14ac:dyDescent="0.25">
      <c r="A41" s="2424"/>
      <c r="B41" s="2425"/>
      <c r="C41" s="2425"/>
      <c r="D41" s="2425"/>
      <c r="E41" s="2425"/>
      <c r="F41" s="2426"/>
      <c r="H41" s="1508"/>
      <c r="I41" s="1508"/>
      <c r="J41" s="1508"/>
      <c r="K41" s="1508"/>
    </row>
    <row r="42" spans="1:15" s="1499" customFormat="1" ht="12" customHeight="1" x14ac:dyDescent="0.25">
      <c r="A42" s="2424"/>
      <c r="B42" s="2425"/>
      <c r="C42" s="2425"/>
      <c r="D42" s="2425"/>
      <c r="E42" s="2425"/>
      <c r="F42" s="2426"/>
      <c r="H42" s="1508"/>
      <c r="I42" s="1508"/>
      <c r="J42" s="1508"/>
      <c r="K42" s="1508"/>
    </row>
    <row r="43" spans="1:15" s="1499" customFormat="1" ht="15" x14ac:dyDescent="0.25">
      <c r="A43" s="2416"/>
      <c r="B43" s="2417"/>
      <c r="C43" s="2417"/>
      <c r="D43" s="2417"/>
      <c r="E43" s="2417"/>
      <c r="F43" s="2418"/>
      <c r="H43" s="1508"/>
      <c r="I43" s="1508"/>
      <c r="J43" s="1508"/>
      <c r="K43" s="1508"/>
    </row>
    <row r="44" spans="1:15" s="1499" customFormat="1" ht="12" hidden="1" customHeight="1" x14ac:dyDescent="0.25">
      <c r="A44" s="2416"/>
      <c r="B44" s="2417"/>
      <c r="C44" s="2417"/>
      <c r="D44" s="2417"/>
      <c r="E44" s="2417"/>
      <c r="F44" s="241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25" zoomScaleNormal="100" workbookViewId="0">
      <selection activeCell="G59" sqref="G59"/>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8" t="str">
        <f>COVER!A17</f>
        <v xml:space="preserve"> Bourbonnais SD 53</v>
      </c>
      <c r="K6" s="2428"/>
      <c r="L6" s="2429"/>
      <c r="M6" s="838"/>
      <c r="N6" s="1998"/>
    </row>
    <row r="7" spans="1:14" x14ac:dyDescent="0.2">
      <c r="A7" s="2430" t="s">
        <v>864</v>
      </c>
      <c r="B7" s="2431"/>
      <c r="C7" s="2431"/>
      <c r="D7" s="2431"/>
      <c r="E7" s="2432"/>
      <c r="F7" s="839"/>
      <c r="G7" s="838"/>
      <c r="H7" s="838"/>
      <c r="I7" s="1924" t="s">
        <v>369</v>
      </c>
      <c r="J7" s="2433">
        <f>COVER!A13</f>
        <v>32046053002</v>
      </c>
      <c r="K7" s="2433"/>
      <c r="L7" s="2433"/>
      <c r="M7" s="838"/>
      <c r="N7" s="1998"/>
    </row>
    <row r="8" spans="1:14" x14ac:dyDescent="0.2">
      <c r="A8" s="2000"/>
      <c r="B8" s="1925"/>
      <c r="C8" s="1925"/>
      <c r="D8" s="1925"/>
      <c r="E8" s="1926"/>
      <c r="F8" s="1927"/>
      <c r="G8" s="1910"/>
      <c r="H8" s="1910"/>
      <c r="I8" s="1910"/>
      <c r="J8" s="1910"/>
      <c r="K8" s="1910"/>
      <c r="L8" s="1910"/>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34" t="s">
        <v>478</v>
      </c>
      <c r="B11" s="2435"/>
      <c r="C11" s="2436"/>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351786</v>
      </c>
      <c r="F12" s="1942"/>
      <c r="G12" s="1968">
        <f>G68</f>
        <v>104076</v>
      </c>
      <c r="H12" s="1944">
        <f t="shared" ref="H12:H18" si="0">SUM(E12:G12)</f>
        <v>455862</v>
      </c>
      <c r="I12" s="1943">
        <v>259663</v>
      </c>
      <c r="J12" s="1942"/>
      <c r="K12" s="1943">
        <v>0</v>
      </c>
      <c r="L12" s="1944">
        <f t="shared" ref="L12:L18" si="1">SUM(I12:K12)</f>
        <v>259663</v>
      </c>
      <c r="M12" s="838"/>
      <c r="N12" s="1998"/>
    </row>
    <row r="13" spans="1:14" x14ac:dyDescent="0.2">
      <c r="A13" s="2003">
        <v>2</v>
      </c>
      <c r="B13" s="1940" t="s">
        <v>42</v>
      </c>
      <c r="C13" s="842"/>
      <c r="D13" s="1941">
        <v>2330</v>
      </c>
      <c r="E13" s="1944">
        <f>'Expenditures 15-22'!K51</f>
        <v>154670</v>
      </c>
      <c r="F13" s="1942"/>
      <c r="G13" s="1968">
        <f>H68</f>
        <v>0</v>
      </c>
      <c r="H13" s="1944">
        <f t="shared" si="0"/>
        <v>154670</v>
      </c>
      <c r="I13" s="1943">
        <v>130356</v>
      </c>
      <c r="J13" s="1942"/>
      <c r="K13" s="1943">
        <v>0</v>
      </c>
      <c r="L13" s="1944">
        <f t="shared" si="1"/>
        <v>130356</v>
      </c>
      <c r="M13" s="838"/>
      <c r="N13" s="1998"/>
    </row>
    <row r="14" spans="1:14" x14ac:dyDescent="0.2">
      <c r="A14" s="2003">
        <v>3</v>
      </c>
      <c r="B14" s="1940" t="s">
        <v>43</v>
      </c>
      <c r="C14" s="842"/>
      <c r="D14" s="1945">
        <v>2490</v>
      </c>
      <c r="E14" s="1944">
        <f>'Expenditures 15-22'!K56</f>
        <v>0</v>
      </c>
      <c r="F14" s="1942"/>
      <c r="G14" s="1968">
        <f>I68</f>
        <v>0</v>
      </c>
      <c r="H14" s="1944">
        <f t="shared" si="0"/>
        <v>0</v>
      </c>
      <c r="I14" s="1943">
        <v>0</v>
      </c>
      <c r="J14" s="1942"/>
      <c r="K14" s="1943">
        <v>0</v>
      </c>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v>0</v>
      </c>
      <c r="J15" s="1943">
        <v>0</v>
      </c>
      <c r="K15" s="1943">
        <v>0</v>
      </c>
      <c r="L15" s="1944">
        <f t="shared" si="1"/>
        <v>0</v>
      </c>
      <c r="M15" s="838"/>
      <c r="N15" s="1998"/>
    </row>
    <row r="16" spans="1:14" x14ac:dyDescent="0.2">
      <c r="A16" s="2003">
        <v>5</v>
      </c>
      <c r="B16" s="1940" t="s">
        <v>101</v>
      </c>
      <c r="C16" s="842"/>
      <c r="D16" s="1941">
        <v>2570</v>
      </c>
      <c r="E16" s="1944">
        <f>'Expenditures 15-22'!K64</f>
        <v>124505</v>
      </c>
      <c r="F16" s="1942"/>
      <c r="G16" s="1968">
        <f>K68</f>
        <v>0</v>
      </c>
      <c r="H16" s="1944">
        <f t="shared" si="0"/>
        <v>124505</v>
      </c>
      <c r="I16" s="1943">
        <v>0</v>
      </c>
      <c r="J16" s="1942"/>
      <c r="K16" s="1943">
        <v>0</v>
      </c>
      <c r="L16" s="1944">
        <f t="shared" si="1"/>
        <v>0</v>
      </c>
      <c r="M16" s="838"/>
      <c r="N16" s="1998"/>
    </row>
    <row r="17" spans="1:14" x14ac:dyDescent="0.2">
      <c r="A17" s="2003">
        <v>6</v>
      </c>
      <c r="B17" s="1940" t="s">
        <v>1051</v>
      </c>
      <c r="C17" s="842"/>
      <c r="D17" s="1941">
        <v>2610</v>
      </c>
      <c r="E17" s="1944">
        <f>'Expenditures 15-22'!K67</f>
        <v>741093</v>
      </c>
      <c r="F17" s="1942"/>
      <c r="G17" s="1968">
        <f>L68</f>
        <v>0</v>
      </c>
      <c r="H17" s="1944">
        <f t="shared" si="0"/>
        <v>741093</v>
      </c>
      <c r="I17" s="1943">
        <v>0</v>
      </c>
      <c r="J17" s="1942"/>
      <c r="K17" s="1943">
        <v>0</v>
      </c>
      <c r="L17" s="1944">
        <f t="shared" si="1"/>
        <v>0</v>
      </c>
      <c r="M17" s="838"/>
      <c r="N17" s="1998"/>
    </row>
    <row r="18" spans="1:14" ht="26.25" customHeight="1" x14ac:dyDescent="0.2">
      <c r="A18" s="2004">
        <v>7</v>
      </c>
      <c r="B18" s="2437" t="s">
        <v>7</v>
      </c>
      <c r="C18" s="2438"/>
      <c r="D18" s="2439"/>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1372054</v>
      </c>
      <c r="F19" s="1950">
        <f t="shared" si="2"/>
        <v>0</v>
      </c>
      <c r="G19" s="1950">
        <f t="shared" ref="G19" si="3">SUM(G12:G17)-G18</f>
        <v>104076</v>
      </c>
      <c r="H19" s="1950">
        <f t="shared" si="2"/>
        <v>1476130</v>
      </c>
      <c r="I19" s="1950">
        <f t="shared" si="2"/>
        <v>390019</v>
      </c>
      <c r="J19" s="1950">
        <f t="shared" si="2"/>
        <v>0</v>
      </c>
      <c r="K19" s="1950">
        <f t="shared" si="2"/>
        <v>0</v>
      </c>
      <c r="L19" s="1950">
        <f t="shared" si="2"/>
        <v>390019</v>
      </c>
      <c r="M19" s="838"/>
      <c r="N19" s="1998"/>
    </row>
    <row r="20" spans="1:14" ht="13.5" thickTop="1" x14ac:dyDescent="0.2">
      <c r="A20" s="2003">
        <v>9</v>
      </c>
      <c r="B20" s="2440" t="s">
        <v>2018</v>
      </c>
      <c r="C20" s="2440"/>
      <c r="D20" s="2441"/>
      <c r="E20" s="1951"/>
      <c r="F20" s="1951"/>
      <c r="G20" s="1951"/>
      <c r="H20" s="1951"/>
      <c r="I20" s="1951"/>
      <c r="J20" s="1951"/>
      <c r="K20" s="1951"/>
      <c r="L20" s="1952">
        <f>IF(AND(H19&gt;0,L19&gt;0),(((L19-H19)/H19)),"Enter Budget Data")</f>
        <v>-0.73578275626130485</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42"/>
      <c r="D27" s="2442"/>
      <c r="E27" s="843"/>
      <c r="F27" s="2443"/>
      <c r="G27" s="2443"/>
      <c r="H27" s="2443"/>
      <c r="I27" s="838"/>
      <c r="J27" s="838"/>
      <c r="K27" s="838"/>
      <c r="L27" s="838"/>
      <c r="M27" s="838"/>
      <c r="N27" s="1998"/>
    </row>
    <row r="28" spans="1:14" x14ac:dyDescent="0.2">
      <c r="A28" s="1997"/>
      <c r="B28" s="2007"/>
      <c r="C28" s="1957" t="s">
        <v>1026</v>
      </c>
      <c r="D28" s="844"/>
      <c r="E28" s="1958"/>
      <c r="F28" s="2444" t="s">
        <v>1492</v>
      </c>
      <c r="G28" s="2444"/>
      <c r="H28" s="2444"/>
      <c r="I28" s="838"/>
      <c r="J28" s="838"/>
      <c r="K28" s="838"/>
      <c r="L28" s="838"/>
      <c r="M28" s="838"/>
      <c r="N28" s="1998"/>
    </row>
    <row r="29" spans="1:14" x14ac:dyDescent="0.2">
      <c r="A29" s="1997"/>
      <c r="B29" s="2007"/>
      <c r="C29" s="2445" t="s">
        <v>2061</v>
      </c>
      <c r="D29" s="2445"/>
      <c r="E29" s="845"/>
      <c r="F29" s="2445" t="s">
        <v>2062</v>
      </c>
      <c r="G29" s="2445"/>
      <c r="H29" s="2445"/>
      <c r="I29" s="838"/>
      <c r="J29" s="838"/>
      <c r="K29" s="838"/>
      <c r="L29" s="838"/>
      <c r="M29" s="838"/>
      <c r="N29" s="1998"/>
    </row>
    <row r="30" spans="1:14" x14ac:dyDescent="0.2">
      <c r="A30" s="1997"/>
      <c r="B30" s="2007"/>
      <c r="C30" s="1960" t="s">
        <v>1544</v>
      </c>
      <c r="D30" s="838"/>
      <c r="E30" s="1959"/>
      <c r="F30" s="2427" t="s">
        <v>1493</v>
      </c>
      <c r="G30" s="2427"/>
      <c r="H30" s="2427"/>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8" t="s">
        <v>2021</v>
      </c>
      <c r="D34" s="2449"/>
      <c r="E34" s="2449"/>
      <c r="F34" s="2449"/>
      <c r="G34" s="2449"/>
      <c r="H34" s="2449"/>
      <c r="I34" s="2449"/>
      <c r="J34" s="2449"/>
      <c r="K34" s="2016"/>
      <c r="L34" s="838"/>
      <c r="M34" s="838"/>
      <c r="N34" s="1998"/>
    </row>
    <row r="35" spans="1:14" x14ac:dyDescent="0.2">
      <c r="A35" s="1997"/>
      <c r="B35" s="838"/>
      <c r="C35" s="2449"/>
      <c r="D35" s="2449"/>
      <c r="E35" s="2449"/>
      <c r="F35" s="2449"/>
      <c r="G35" s="2449"/>
      <c r="H35" s="2449"/>
      <c r="I35" s="2449"/>
      <c r="J35" s="244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8" t="s">
        <v>2022</v>
      </c>
      <c r="D37" s="2449"/>
      <c r="E37" s="2449"/>
      <c r="F37" s="2449"/>
      <c r="G37" s="2449"/>
      <c r="H37" s="2449"/>
      <c r="I37" s="2449"/>
      <c r="J37" s="2449"/>
      <c r="K37" s="2016"/>
      <c r="L37" s="2018"/>
      <c r="M37" s="838"/>
      <c r="N37" s="1998"/>
    </row>
    <row r="38" spans="1:14" x14ac:dyDescent="0.2">
      <c r="A38" s="1997"/>
      <c r="B38" s="838"/>
      <c r="C38" s="2449"/>
      <c r="D38" s="2449"/>
      <c r="E38" s="2449"/>
      <c r="F38" s="2449"/>
      <c r="G38" s="2449"/>
      <c r="H38" s="2449"/>
      <c r="I38" s="2449"/>
      <c r="J38" s="244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50" t="s">
        <v>2023</v>
      </c>
      <c r="D40" s="2451"/>
      <c r="E40" s="2451"/>
      <c r="F40" s="2451"/>
      <c r="G40" s="2451"/>
      <c r="H40" s="2451"/>
      <c r="I40" s="2451"/>
      <c r="J40" s="245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52" t="s">
        <v>2024</v>
      </c>
      <c r="B43" s="2453"/>
      <c r="C43" s="2453"/>
      <c r="D43" s="2453"/>
      <c r="E43" s="2453"/>
      <c r="F43" s="2453"/>
      <c r="G43" s="2453"/>
      <c r="H43" s="2453"/>
      <c r="I43" s="2453"/>
      <c r="J43" s="2453"/>
      <c r="K43" s="2453"/>
      <c r="L43" s="2453"/>
      <c r="M43" s="2453"/>
      <c r="N43" s="245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55" t="s">
        <v>2026</v>
      </c>
      <c r="B46" s="2456"/>
      <c r="C46" s="2456"/>
      <c r="D46" s="2456"/>
      <c r="E46" s="2456"/>
      <c r="F46" s="2456"/>
      <c r="G46" s="2456"/>
      <c r="H46" s="2456"/>
      <c r="I46" s="2456"/>
      <c r="J46" s="2456"/>
      <c r="K46" s="2456"/>
      <c r="L46" s="2456"/>
      <c r="M46" s="2456"/>
      <c r="N46" s="2457"/>
    </row>
    <row r="47" spans="1:14" x14ac:dyDescent="0.2">
      <c r="A47" s="2455"/>
      <c r="B47" s="2456"/>
      <c r="C47" s="2456"/>
      <c r="D47" s="2456"/>
      <c r="E47" s="2456"/>
      <c r="F47" s="2456"/>
      <c r="G47" s="2456"/>
      <c r="H47" s="2456"/>
      <c r="I47" s="2456"/>
      <c r="J47" s="2456"/>
      <c r="K47" s="2456"/>
      <c r="L47" s="2456"/>
      <c r="M47" s="2456"/>
      <c r="N47" s="245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8" t="str">
        <f>J6</f>
        <v xml:space="preserve"> Bourbonnais SD 53</v>
      </c>
      <c r="M52" s="2428"/>
      <c r="N52" s="2458"/>
    </row>
    <row r="53" spans="1:14" x14ac:dyDescent="0.2">
      <c r="A53" s="1982"/>
      <c r="B53" s="1983"/>
      <c r="C53" s="1983"/>
      <c r="D53" s="1983"/>
      <c r="E53" s="1983"/>
      <c r="F53" s="1983"/>
      <c r="G53" s="1983"/>
      <c r="H53" s="1983"/>
      <c r="I53" s="1983"/>
      <c r="J53" s="1983"/>
      <c r="K53" s="1924" t="s">
        <v>369</v>
      </c>
      <c r="L53" s="2433">
        <f>J7</f>
        <v>32046053002</v>
      </c>
      <c r="M53" s="2433"/>
      <c r="N53" s="2459"/>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60"/>
      <c r="B55" s="2461"/>
      <c r="C55" s="2461"/>
      <c r="D55" s="1970"/>
      <c r="E55" s="1970"/>
      <c r="F55" s="1970"/>
      <c r="G55" s="2462" t="s">
        <v>2027</v>
      </c>
      <c r="H55" s="2462"/>
      <c r="I55" s="2462"/>
      <c r="J55" s="2462"/>
      <c r="K55" s="2462"/>
      <c r="L55" s="2462"/>
      <c r="M55" s="2462"/>
      <c r="N55" s="2463"/>
    </row>
    <row r="56" spans="1:14" ht="63.75" x14ac:dyDescent="0.2">
      <c r="A56" s="2464" t="s">
        <v>2028</v>
      </c>
      <c r="B56" s="2465"/>
      <c r="C56" s="2466"/>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67" t="s">
        <v>296</v>
      </c>
      <c r="B57" s="2468"/>
      <c r="C57" s="2468"/>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6" t="s">
        <v>2038</v>
      </c>
      <c r="B58" s="2447"/>
      <c r="C58" s="2447"/>
      <c r="D58" s="1967">
        <v>2362</v>
      </c>
      <c r="E58" s="1977">
        <f>'Expenditures 15-22'!K320</f>
        <v>104076</v>
      </c>
      <c r="F58" s="1972"/>
      <c r="G58" s="2031">
        <v>104076</v>
      </c>
      <c r="H58" s="2032"/>
      <c r="I58" s="2032"/>
      <c r="J58" s="2032"/>
      <c r="K58" s="2032"/>
      <c r="L58" s="2032"/>
      <c r="M58" s="2032"/>
      <c r="N58" s="1975">
        <f>IF((SUM(G58:M58))=E58,SUM(G58:M58),"Column N does not agree with Column E")</f>
        <v>104076</v>
      </c>
    </row>
    <row r="59" spans="1:14" ht="24.75" customHeight="1" x14ac:dyDescent="0.2">
      <c r="A59" s="2469" t="s">
        <v>297</v>
      </c>
      <c r="B59" s="2470"/>
      <c r="C59" s="2470"/>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9" t="s">
        <v>236</v>
      </c>
      <c r="B60" s="2470"/>
      <c r="C60" s="2470"/>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9" t="s">
        <v>697</v>
      </c>
      <c r="B61" s="2470"/>
      <c r="C61" s="2470"/>
      <c r="D61" s="1967">
        <v>2365</v>
      </c>
      <c r="E61" s="1977">
        <f>'Expenditures 15-22'!K323</f>
        <v>0</v>
      </c>
      <c r="F61" s="1972"/>
      <c r="G61" s="2031"/>
      <c r="H61" s="2032"/>
      <c r="I61" s="2032"/>
      <c r="J61" s="2032"/>
      <c r="K61" s="2032"/>
      <c r="L61" s="2032"/>
      <c r="M61" s="2032"/>
      <c r="N61" s="1975">
        <f t="shared" si="4"/>
        <v>0</v>
      </c>
    </row>
    <row r="62" spans="1:14" ht="24" customHeight="1" x14ac:dyDescent="0.2">
      <c r="A62" s="2469" t="s">
        <v>237</v>
      </c>
      <c r="B62" s="2470"/>
      <c r="C62" s="2470"/>
      <c r="D62" s="1967">
        <v>2366</v>
      </c>
      <c r="E62" s="1977">
        <f>'Expenditures 15-22'!K324</f>
        <v>0</v>
      </c>
      <c r="F62" s="1972"/>
      <c r="G62" s="2031"/>
      <c r="H62" s="2032"/>
      <c r="I62" s="2032"/>
      <c r="J62" s="2032"/>
      <c r="K62" s="2032"/>
      <c r="L62" s="2032"/>
      <c r="M62" s="2032"/>
      <c r="N62" s="1975">
        <f t="shared" si="4"/>
        <v>0</v>
      </c>
    </row>
    <row r="63" spans="1:14" ht="24" customHeight="1" x14ac:dyDescent="0.2">
      <c r="A63" s="2446" t="s">
        <v>1022</v>
      </c>
      <c r="B63" s="2447"/>
      <c r="C63" s="2447"/>
      <c r="D63" s="1967">
        <v>2367</v>
      </c>
      <c r="E63" s="1977">
        <f>'Expenditures 15-22'!K325</f>
        <v>0</v>
      </c>
      <c r="F63" s="1972"/>
      <c r="G63" s="2031"/>
      <c r="H63" s="2032"/>
      <c r="I63" s="2032"/>
      <c r="J63" s="2032"/>
      <c r="K63" s="2032"/>
      <c r="L63" s="2032"/>
      <c r="M63" s="2032"/>
      <c r="N63" s="1975">
        <f t="shared" si="4"/>
        <v>0</v>
      </c>
    </row>
    <row r="64" spans="1:14" ht="24" customHeight="1" x14ac:dyDescent="0.2">
      <c r="A64" s="2469" t="s">
        <v>1023</v>
      </c>
      <c r="B64" s="2470"/>
      <c r="C64" s="2470"/>
      <c r="D64" s="1967">
        <v>2368</v>
      </c>
      <c r="E64" s="1977">
        <f>'Expenditures 15-22'!K326</f>
        <v>0</v>
      </c>
      <c r="F64" s="1972"/>
      <c r="G64" s="2031"/>
      <c r="H64" s="2032"/>
      <c r="I64" s="2032"/>
      <c r="J64" s="2032"/>
      <c r="K64" s="2032"/>
      <c r="L64" s="2032"/>
      <c r="M64" s="2032"/>
      <c r="N64" s="1975">
        <f t="shared" si="4"/>
        <v>0</v>
      </c>
    </row>
    <row r="65" spans="1:14" ht="24" customHeight="1" x14ac:dyDescent="0.2">
      <c r="A65" s="2469" t="s">
        <v>965</v>
      </c>
      <c r="B65" s="2470"/>
      <c r="C65" s="2470"/>
      <c r="D65" s="1967">
        <v>2369</v>
      </c>
      <c r="E65" s="1977">
        <f>'Expenditures 15-22'!K327</f>
        <v>0</v>
      </c>
      <c r="F65" s="1972"/>
      <c r="G65" s="2031"/>
      <c r="H65" s="2032"/>
      <c r="I65" s="2032"/>
      <c r="J65" s="2032"/>
      <c r="K65" s="2032"/>
      <c r="L65" s="2032"/>
      <c r="M65" s="2032"/>
      <c r="N65" s="1975">
        <f t="shared" si="4"/>
        <v>0</v>
      </c>
    </row>
    <row r="66" spans="1:14" ht="24" customHeight="1" x14ac:dyDescent="0.2">
      <c r="A66" s="2469" t="s">
        <v>469</v>
      </c>
      <c r="B66" s="2470"/>
      <c r="C66" s="2470"/>
      <c r="D66" s="1967">
        <v>2371</v>
      </c>
      <c r="E66" s="1977">
        <f>'Expenditures 15-22'!K328</f>
        <v>0</v>
      </c>
      <c r="F66" s="1972"/>
      <c r="G66" s="2031"/>
      <c r="H66" s="2032"/>
      <c r="I66" s="2032"/>
      <c r="J66" s="2032"/>
      <c r="K66" s="2032"/>
      <c r="L66" s="2032"/>
      <c r="M66" s="2032"/>
      <c r="N66" s="1975">
        <f t="shared" si="4"/>
        <v>0</v>
      </c>
    </row>
    <row r="67" spans="1:14" ht="24.75" customHeight="1" x14ac:dyDescent="0.2">
      <c r="A67" s="2471" t="s">
        <v>2039</v>
      </c>
      <c r="B67" s="2472"/>
      <c r="C67" s="2472"/>
      <c r="D67" s="1969">
        <v>2372</v>
      </c>
      <c r="E67" s="1978">
        <f>'Expenditures 15-22'!K329</f>
        <v>0</v>
      </c>
      <c r="F67" s="1972"/>
      <c r="G67" s="2033"/>
      <c r="H67" s="2034"/>
      <c r="I67" s="2034"/>
      <c r="J67" s="2034"/>
      <c r="K67" s="2034"/>
      <c r="L67" s="2034"/>
      <c r="M67" s="2034"/>
      <c r="N67" s="1975">
        <f t="shared" si="4"/>
        <v>0</v>
      </c>
    </row>
    <row r="68" spans="1:14" x14ac:dyDescent="0.2">
      <c r="A68" s="2473" t="s">
        <v>1151</v>
      </c>
      <c r="B68" s="2474"/>
      <c r="C68" s="2474"/>
      <c r="D68" s="1970"/>
      <c r="E68" s="1974">
        <f>SUM(E57:E67)</f>
        <v>104076</v>
      </c>
      <c r="F68" s="1973"/>
      <c r="G68" s="1974">
        <f t="shared" ref="G68:N68" si="5">SUM(G57:G67)</f>
        <v>104076</v>
      </c>
      <c r="H68" s="1974">
        <f t="shared" si="5"/>
        <v>0</v>
      </c>
      <c r="I68" s="1974">
        <f t="shared" si="5"/>
        <v>0</v>
      </c>
      <c r="J68" s="1974">
        <f t="shared" si="5"/>
        <v>0</v>
      </c>
      <c r="K68" s="1974">
        <f t="shared" si="5"/>
        <v>0</v>
      </c>
      <c r="L68" s="1974">
        <f t="shared" si="5"/>
        <v>0</v>
      </c>
      <c r="M68" s="1974">
        <f t="shared" si="5"/>
        <v>0</v>
      </c>
      <c r="N68" s="1988">
        <f t="shared" si="5"/>
        <v>104076</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Bourbonnais SD 53</v>
      </c>
    </row>
    <row r="65" spans="2:2" x14ac:dyDescent="0.2">
      <c r="B65" s="849">
        <f>COVER!A13</f>
        <v>32046053002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64" sqref="A6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61" t="s">
        <v>1056</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686</v>
      </c>
      <c r="B40" s="2158"/>
      <c r="C40" s="2158"/>
      <c r="D40" s="2158"/>
      <c r="E40" s="2158"/>
    </row>
    <row r="41" spans="1:5" x14ac:dyDescent="0.2">
      <c r="A41" s="2159" t="s">
        <v>1591</v>
      </c>
      <c r="B41" s="2159"/>
      <c r="C41" s="2159"/>
      <c r="D41" s="2159"/>
      <c r="E41" s="2159"/>
    </row>
    <row r="42" spans="1:5" ht="12.75" customHeight="1" x14ac:dyDescent="0.2">
      <c r="A42" s="2160" t="s">
        <v>1015</v>
      </c>
      <c r="B42" s="2160"/>
      <c r="C42" s="2160"/>
      <c r="D42" s="2160"/>
      <c r="E42" s="2160"/>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5" t="s">
        <v>1665</v>
      </c>
      <c r="B18" s="2475"/>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895350</xdr:colOff>
                <xdr:row>0</xdr:row>
                <xdr:rowOff>38100</xdr:rowOff>
              </from>
              <to>
                <xdr:col>1</xdr:col>
                <xdr:colOff>1809750</xdr:colOff>
                <xdr:row>4</xdr:row>
                <xdr:rowOff>76200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47625</xdr:colOff>
                <xdr:row>0</xdr:row>
                <xdr:rowOff>38100</xdr:rowOff>
              </from>
              <to>
                <xdr:col>1</xdr:col>
                <xdr:colOff>838200</xdr:colOff>
                <xdr:row>4</xdr:row>
                <xdr:rowOff>76200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1866900</xdr:colOff>
                <xdr:row>0</xdr:row>
                <xdr:rowOff>38100</xdr:rowOff>
              </from>
              <to>
                <xdr:col>1</xdr:col>
                <xdr:colOff>2781300</xdr:colOff>
                <xdr:row>4</xdr:row>
                <xdr:rowOff>76200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6" t="s">
        <v>1669</v>
      </c>
      <c r="B1" s="2477"/>
      <c r="C1" s="2477"/>
      <c r="D1" s="2477"/>
      <c r="E1" s="2477"/>
      <c r="F1" s="2478"/>
    </row>
    <row r="2" spans="1:8" ht="45" customHeight="1" x14ac:dyDescent="0.2">
      <c r="A2" s="248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7"/>
      <c r="C2" s="2487"/>
      <c r="D2" s="2487"/>
      <c r="E2" s="2487"/>
      <c r="F2" s="2488"/>
      <c r="G2" s="853"/>
      <c r="H2" s="853"/>
    </row>
    <row r="3" spans="1:8" ht="57" customHeight="1" x14ac:dyDescent="0.2">
      <c r="A3" s="2489" t="s">
        <v>1969</v>
      </c>
      <c r="B3" s="2490"/>
      <c r="C3" s="2490"/>
      <c r="D3" s="2490"/>
      <c r="E3" s="2490"/>
      <c r="F3" s="2491"/>
      <c r="G3" s="853"/>
      <c r="H3" s="853"/>
    </row>
    <row r="4" spans="1:8" ht="14.25" customHeight="1" x14ac:dyDescent="0.2">
      <c r="A4" s="249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6"/>
      <c r="C4" s="2496"/>
      <c r="D4" s="2496"/>
      <c r="E4" s="2496"/>
      <c r="F4" s="2497"/>
      <c r="G4" s="853"/>
      <c r="H4" s="853"/>
    </row>
    <row r="5" spans="1:8" ht="14.25" customHeight="1" x14ac:dyDescent="0.2">
      <c r="A5" s="249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9"/>
      <c r="C5" s="2499"/>
      <c r="D5" s="2499"/>
      <c r="E5" s="2499"/>
      <c r="F5" s="2500"/>
      <c r="G5" s="853"/>
      <c r="H5" s="853"/>
    </row>
    <row r="6" spans="1:8" s="854" customFormat="1" ht="41.25" customHeight="1" x14ac:dyDescent="0.2">
      <c r="A6" s="2492" t="s">
        <v>1670</v>
      </c>
      <c r="B6" s="2493"/>
      <c r="C6" s="2493"/>
      <c r="D6" s="2493"/>
      <c r="E6" s="2493"/>
      <c r="F6" s="2494"/>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20147797</v>
      </c>
      <c r="C8" s="1813">
        <f>'Acct Summary 7-8'!D8</f>
        <v>2632460</v>
      </c>
      <c r="D8" s="1813">
        <f>'Acct Summary 7-8'!F8</f>
        <v>1503560</v>
      </c>
      <c r="E8" s="1813">
        <f>'Acct Summary 7-8'!I8</f>
        <v>0</v>
      </c>
      <c r="F8" s="1813">
        <f>SUM(B8:E8)</f>
        <v>24283817</v>
      </c>
    </row>
    <row r="9" spans="1:8" s="858" customFormat="1" ht="14.25" customHeight="1" thickBot="1" x14ac:dyDescent="0.25">
      <c r="A9" s="857" t="s">
        <v>1353</v>
      </c>
      <c r="B9" s="1814">
        <f>'Acct Summary 7-8'!C17</f>
        <v>19726624</v>
      </c>
      <c r="C9" s="1814">
        <f>'Acct Summary 7-8'!D17</f>
        <v>3157296</v>
      </c>
      <c r="D9" s="1814">
        <f>'Acct Summary 7-8'!F17</f>
        <v>1397989</v>
      </c>
      <c r="E9" s="1813"/>
      <c r="F9" s="1813">
        <f>SUM(B9:E9)</f>
        <v>24281909</v>
      </c>
    </row>
    <row r="10" spans="1:8" s="858" customFormat="1" ht="14.25" thickTop="1" thickBot="1" x14ac:dyDescent="0.25">
      <c r="A10" s="859" t="s">
        <v>1354</v>
      </c>
      <c r="B10" s="1815">
        <f>(B8-B9)</f>
        <v>421173</v>
      </c>
      <c r="C10" s="1815">
        <f>(C8-C9)</f>
        <v>-524836</v>
      </c>
      <c r="D10" s="1815">
        <f>(D8-D9)</f>
        <v>105571</v>
      </c>
      <c r="E10" s="1814">
        <f>(E8-E9)</f>
        <v>0</v>
      </c>
      <c r="F10" s="1816">
        <f>SUM(F8-F9)</f>
        <v>1908</v>
      </c>
    </row>
    <row r="11" spans="1:8" s="858" customFormat="1" ht="14.25" thickTop="1" thickBot="1" x14ac:dyDescent="0.25">
      <c r="A11" s="860" t="s">
        <v>1900</v>
      </c>
      <c r="B11" s="1817">
        <f>'Acct Summary 7-8'!C81</f>
        <v>11501477</v>
      </c>
      <c r="C11" s="1817">
        <f>'Acct Summary 7-8'!D81</f>
        <v>-157718</v>
      </c>
      <c r="D11" s="1817">
        <f>'Acct Summary 7-8'!F81</f>
        <v>1815156</v>
      </c>
      <c r="E11" s="1817">
        <f>'Acct Summary 7-8'!I81</f>
        <v>318417</v>
      </c>
      <c r="F11" s="1818">
        <f>SUM(B11:E11)</f>
        <v>13477332</v>
      </c>
    </row>
    <row r="12" spans="1:8" ht="16.5" customHeight="1" thickTop="1" x14ac:dyDescent="0.2">
      <c r="A12" s="861"/>
      <c r="B12" s="862"/>
      <c r="C12" s="2480" t="str">
        <f>IF(AND(F10&lt;0,F11&gt;=0,ABS(F10*3)&gt;ABS(F11)),A16,IF(AND(F10&lt;0,F11&gt;0,ABS(F10*3)&lt;=ABS(F11)),A17,IF(AND(F10&lt;0,F11&lt;0),A16,IF(F11=0,A19,A18))))</f>
        <v>Balanced - no deficit reduction plan is required.</v>
      </c>
      <c r="D12" s="2481"/>
      <c r="E12" s="2481"/>
      <c r="F12" s="2482"/>
    </row>
    <row r="13" spans="1:8" ht="19.5" customHeight="1" x14ac:dyDescent="0.2">
      <c r="A13" s="863"/>
      <c r="B13" s="864"/>
      <c r="C13" s="2480"/>
      <c r="D13" s="2481"/>
      <c r="E13" s="2481"/>
      <c r="F13" s="2482"/>
      <c r="H13" s="853"/>
    </row>
    <row r="14" spans="1:8" ht="19.5" customHeight="1" x14ac:dyDescent="0.2">
      <c r="A14" s="863"/>
      <c r="B14" s="864"/>
      <c r="C14" s="2480"/>
      <c r="D14" s="2481"/>
      <c r="E14" s="2481"/>
      <c r="F14" s="2482"/>
      <c r="H14" s="853"/>
    </row>
    <row r="15" spans="1:8" ht="17.25" customHeight="1" x14ac:dyDescent="0.2">
      <c r="A15" s="863"/>
      <c r="B15" s="864"/>
      <c r="C15" s="2483"/>
      <c r="D15" s="2484"/>
      <c r="E15" s="2484"/>
      <c r="F15" s="2485"/>
      <c r="H15" s="853"/>
    </row>
    <row r="16" spans="1:8" s="288" customFormat="1" ht="51.75" hidden="1" customHeight="1" x14ac:dyDescent="0.2">
      <c r="A16" s="2479" t="s">
        <v>1666</v>
      </c>
      <c r="B16" s="2479"/>
      <c r="C16" s="2479"/>
      <c r="D16" s="2479"/>
      <c r="E16" s="2479"/>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4" colorId="8" zoomScale="110" zoomScaleNormal="110" workbookViewId="0">
      <selection activeCell="D24" sqref="D2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1" t="s">
        <v>660</v>
      </c>
      <c r="B3" s="2502"/>
      <c r="C3" s="2502"/>
      <c r="D3" s="2503"/>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2" t="s">
        <v>1487</v>
      </c>
      <c r="D7" s="2513"/>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4" t="s">
        <v>1001</v>
      </c>
      <c r="B15" s="2505"/>
      <c r="C15" s="2505"/>
      <c r="D15" s="2506"/>
    </row>
    <row r="16" spans="1:4" s="542" customFormat="1" ht="24" customHeight="1" x14ac:dyDescent="0.2">
      <c r="A16" s="2507" t="s">
        <v>658</v>
      </c>
      <c r="B16" s="2508"/>
      <c r="C16" s="2508"/>
      <c r="D16" s="2509"/>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6" t="s">
        <v>311</v>
      </c>
      <c r="D21" s="2517"/>
    </row>
    <row r="22" spans="1:10" ht="12.75" x14ac:dyDescent="0.2">
      <c r="A22" s="918"/>
      <c r="B22" s="919">
        <v>2</v>
      </c>
      <c r="C22" s="2514" t="s">
        <v>1507</v>
      </c>
      <c r="D22" s="2515"/>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ENTER ACCOUNTING INFO</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8" t="s">
        <v>533</v>
      </c>
      <c r="D43" s="2519"/>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0" t="s">
        <v>779</v>
      </c>
      <c r="D56" s="2511"/>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10" t="s">
        <v>1674</v>
      </c>
      <c r="D70" s="2511"/>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99" t="str">
        <f>IF('Contracts Paid in CY 29'!$D$49&gt;0,"OK","PLEASE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98" t="s">
        <v>1975</v>
      </c>
    </row>
    <row r="2" spans="1:7" ht="15.75" x14ac:dyDescent="0.25">
      <c r="A2" t="s">
        <v>260</v>
      </c>
      <c r="B2" s="135">
        <f>COVER!A13</f>
        <v>32046053002</v>
      </c>
      <c r="E2" s="1542">
        <v>2020</v>
      </c>
      <c r="F2" s="1542">
        <v>1</v>
      </c>
      <c r="G2" s="1897">
        <v>101000300</v>
      </c>
    </row>
    <row r="3" spans="1:7" ht="15" x14ac:dyDescent="0.25">
      <c r="A3" t="s">
        <v>950</v>
      </c>
      <c r="B3" s="135" t="str">
        <f>COVER!A15</f>
        <v>Kankakee</v>
      </c>
      <c r="E3" s="1830" t="s">
        <v>1968</v>
      </c>
      <c r="F3" s="1830" t="s">
        <v>1967</v>
      </c>
      <c r="G3" s="1897">
        <v>101000400</v>
      </c>
    </row>
    <row r="4" spans="1:7" ht="15" x14ac:dyDescent="0.25">
      <c r="A4" t="s">
        <v>1000</v>
      </c>
      <c r="B4" s="135" t="str">
        <f>COVER!A17</f>
        <v xml:space="preserve"> Bourbonnais SD 53</v>
      </c>
      <c r="E4" s="1828">
        <v>44119</v>
      </c>
      <c r="F4" s="1829">
        <v>44151</v>
      </c>
      <c r="G4" s="1897">
        <v>101000600</v>
      </c>
    </row>
    <row r="5" spans="1:7" ht="15" x14ac:dyDescent="0.25">
      <c r="A5" t="s">
        <v>699</v>
      </c>
      <c r="B5" s="135" t="str">
        <f>COVER!A38</f>
        <v>Dr. Adam Ehrman</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 xml:space="preserve">ACCRUAL </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Yes</v>
      </c>
      <c r="G12" s="1897">
        <v>202100600</v>
      </c>
    </row>
    <row r="13" spans="1:7" ht="15" x14ac:dyDescent="0.25">
      <c r="A13" s="1" t="s">
        <v>1527</v>
      </c>
      <c r="B13" s="135" t="str">
        <f>IF(COVER!J30="x","Yes",IF(COVER!L30="x","No",0))</f>
        <v>Yes</v>
      </c>
      <c r="G13" s="1897">
        <v>202100800</v>
      </c>
    </row>
    <row r="14" spans="1:7" ht="15" x14ac:dyDescent="0.25">
      <c r="A14" t="s">
        <v>473</v>
      </c>
      <c r="B14" s="135" t="str">
        <f>IF(COVER!J31="x","Yes",IF(COVER!L31="x","No",0))</f>
        <v>No</v>
      </c>
      <c r="G14" s="1897">
        <v>402100300</v>
      </c>
    </row>
    <row r="15" spans="1:7" ht="15" x14ac:dyDescent="0.25">
      <c r="A15" t="s">
        <v>573</v>
      </c>
      <c r="B15" s="135">
        <f>COVER!T23</f>
        <v>65.023278000000005</v>
      </c>
      <c r="G15" s="1897">
        <v>402100400</v>
      </c>
    </row>
    <row r="16" spans="1:7" ht="15" x14ac:dyDescent="0.25">
      <c r="A16" t="s">
        <v>419</v>
      </c>
      <c r="B16" s="135" t="str">
        <f>COVER!T13</f>
        <v>Jodi K. Gill, CPA</v>
      </c>
      <c r="G16" s="1897">
        <v>402100600</v>
      </c>
    </row>
    <row r="17" spans="1:7" ht="15" x14ac:dyDescent="0.25">
      <c r="A17" t="s">
        <v>878</v>
      </c>
      <c r="B17" s="135" t="str">
        <f>COVER!T15</f>
        <v>Jodi K. Gill</v>
      </c>
      <c r="G17" s="1897">
        <v>402100800</v>
      </c>
    </row>
    <row r="18" spans="1:7" ht="15" x14ac:dyDescent="0.25">
      <c r="A18" t="s">
        <v>1140</v>
      </c>
      <c r="B18" s="135" t="str">
        <f>COVER!T17</f>
        <v>33 N. Main Street, Ste. #2</v>
      </c>
      <c r="G18" s="1897">
        <v>102200300</v>
      </c>
    </row>
    <row r="19" spans="1:7" ht="15" x14ac:dyDescent="0.25">
      <c r="A19" t="s">
        <v>880</v>
      </c>
      <c r="B19" s="135" t="str">
        <f>COVER!T25</f>
        <v>jodi@jodigillcpa.com</v>
      </c>
      <c r="G19" s="1897">
        <v>102200400</v>
      </c>
    </row>
    <row r="20" spans="1:7" ht="15" x14ac:dyDescent="0.25">
      <c r="A20" t="s">
        <v>881</v>
      </c>
      <c r="B20" s="135" t="str">
        <f>COVER!T19</f>
        <v>Manteno</v>
      </c>
      <c r="G20" s="1897">
        <v>102200600</v>
      </c>
    </row>
    <row r="21" spans="1:7" ht="15" x14ac:dyDescent="0.25">
      <c r="A21" t="s">
        <v>476</v>
      </c>
      <c r="B21" s="135" t="str">
        <f>COVER!X19</f>
        <v>Il</v>
      </c>
      <c r="G21" s="1897">
        <v>102200800</v>
      </c>
    </row>
    <row r="22" spans="1:7" ht="15" x14ac:dyDescent="0.25">
      <c r="A22" t="s">
        <v>882</v>
      </c>
      <c r="B22" s="135">
        <f>COVER!Z19</f>
        <v>60950</v>
      </c>
      <c r="G22" s="1897">
        <v>102300300</v>
      </c>
    </row>
    <row r="23" spans="1:7" ht="15" x14ac:dyDescent="0.25">
      <c r="A23" t="s">
        <v>1142</v>
      </c>
      <c r="B23" s="135" t="str">
        <f>COVER!T21</f>
        <v>815-468-8802</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Yes</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0</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Yes</v>
      </c>
      <c r="G49" s="1897">
        <v>102540800</v>
      </c>
    </row>
    <row r="50" spans="1:7" ht="15" x14ac:dyDescent="0.25">
      <c r="A50" s="1" t="s">
        <v>1463</v>
      </c>
      <c r="B50" s="146">
        <f>'Aud Quest 2'!H53</f>
        <v>35431</v>
      </c>
      <c r="G50" s="1897">
        <v>202540300</v>
      </c>
    </row>
    <row r="51" spans="1:7" ht="15" x14ac:dyDescent="0.25">
      <c r="A51" s="1" t="s">
        <v>1465</v>
      </c>
      <c r="B51" s="135" t="str">
        <f>IF('Aud Quest 2'!B54="x","Yes",IF('Aud Quest 2'!B54&lt;&gt;"x","0"))</f>
        <v>0</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2"/>
      <c r="D62" s="2" t="str">
        <f>IF(ISBLANK(B62),"OK",IF(A62-B62=0,"OK","Error?"))</f>
        <v>OK</v>
      </c>
      <c r="G62" s="1897">
        <v>202550300</v>
      </c>
    </row>
    <row r="63" spans="1:7" ht="15" x14ac:dyDescent="0.25">
      <c r="A63" s="10">
        <v>2</v>
      </c>
      <c r="B63" s="1832"/>
      <c r="D63" s="2" t="str">
        <f t="shared" ref="D63:D126" si="0">IF(ISBLANK(B63),"OK",IF(A63-B63=0,"OK","Error?"))</f>
        <v>OK</v>
      </c>
      <c r="G63" s="1897">
        <v>202550400</v>
      </c>
    </row>
    <row r="64" spans="1:7" ht="15" x14ac:dyDescent="0.25">
      <c r="A64" s="10">
        <v>3</v>
      </c>
      <c r="B64" s="1832"/>
      <c r="D64" s="2" t="str">
        <f t="shared" si="0"/>
        <v>OK</v>
      </c>
      <c r="G64" s="1897">
        <v>202550600</v>
      </c>
    </row>
    <row r="65" spans="1:7" ht="15" x14ac:dyDescent="0.25">
      <c r="A65" s="5">
        <v>4</v>
      </c>
      <c r="B65" s="1832">
        <f>'Assets-Liab 5-6'!C6</f>
        <v>10303466</v>
      </c>
      <c r="D65" s="2" t="str">
        <f t="shared" si="0"/>
        <v>Error?</v>
      </c>
      <c r="G65" s="1897">
        <v>202550800</v>
      </c>
    </row>
    <row r="66" spans="1:7" ht="15" x14ac:dyDescent="0.25">
      <c r="A66" s="10">
        <v>5</v>
      </c>
      <c r="B66" s="1832"/>
      <c r="D66" s="2" t="str">
        <f t="shared" si="0"/>
        <v>OK</v>
      </c>
      <c r="G66" s="1897">
        <v>402550300</v>
      </c>
    </row>
    <row r="67" spans="1:7" ht="15" x14ac:dyDescent="0.25">
      <c r="A67" s="10">
        <v>6</v>
      </c>
      <c r="B67" s="1832"/>
      <c r="D67" s="2" t="str">
        <f t="shared" si="0"/>
        <v>OK</v>
      </c>
      <c r="G67" s="1897">
        <v>402550400</v>
      </c>
    </row>
    <row r="68" spans="1:7" ht="15" x14ac:dyDescent="0.25">
      <c r="A68" s="10">
        <v>7</v>
      </c>
      <c r="B68" s="1832"/>
      <c r="D68" s="2" t="str">
        <f t="shared" si="0"/>
        <v>OK</v>
      </c>
      <c r="G68" s="1897">
        <v>402550600</v>
      </c>
    </row>
    <row r="69" spans="1:7" ht="15" x14ac:dyDescent="0.25">
      <c r="A69" s="10">
        <v>8</v>
      </c>
      <c r="B69" s="1832"/>
      <c r="D69" s="2" t="str">
        <f t="shared" si="0"/>
        <v>OK</v>
      </c>
      <c r="G69" s="1897">
        <v>402550800</v>
      </c>
    </row>
    <row r="70" spans="1:7" ht="15" x14ac:dyDescent="0.25">
      <c r="A70" s="10">
        <v>9</v>
      </c>
      <c r="B70" s="1832"/>
      <c r="D70" s="2" t="str">
        <f t="shared" si="0"/>
        <v>OK</v>
      </c>
      <c r="G70" s="1897">
        <v>102560300</v>
      </c>
    </row>
    <row r="71" spans="1:7" ht="15" x14ac:dyDescent="0.25">
      <c r="A71" s="10">
        <v>10</v>
      </c>
      <c r="B71" s="1832"/>
      <c r="D71" s="2" t="str">
        <f t="shared" si="0"/>
        <v>OK</v>
      </c>
      <c r="G71" s="1897">
        <v>102560400</v>
      </c>
    </row>
    <row r="72" spans="1:7" ht="15" x14ac:dyDescent="0.25">
      <c r="A72" s="5">
        <v>11</v>
      </c>
      <c r="B72" s="1832">
        <f>'Assets-Liab 5-6'!C10</f>
        <v>0</v>
      </c>
      <c r="D72" s="2" t="str">
        <f t="shared" si="0"/>
        <v>Error?</v>
      </c>
      <c r="G72" s="1897">
        <v>102560600</v>
      </c>
    </row>
    <row r="73" spans="1:7" ht="15" x14ac:dyDescent="0.25">
      <c r="A73" s="5">
        <v>12</v>
      </c>
      <c r="B73" s="1832">
        <f>'Assets-Liab 5-6'!C5</f>
        <v>0</v>
      </c>
      <c r="D73" s="2" t="str">
        <f t="shared" si="0"/>
        <v>Error?</v>
      </c>
      <c r="G73" s="1897">
        <v>102560800</v>
      </c>
    </row>
    <row r="74" spans="1:7" ht="15" x14ac:dyDescent="0.25">
      <c r="A74" s="10">
        <v>13</v>
      </c>
      <c r="B74" s="1832"/>
      <c r="D74" s="2" t="str">
        <f t="shared" si="0"/>
        <v>OK</v>
      </c>
      <c r="G74" s="1897">
        <v>102570300</v>
      </c>
    </row>
    <row r="75" spans="1:7" ht="15" x14ac:dyDescent="0.25">
      <c r="A75" s="10">
        <v>14</v>
      </c>
      <c r="B75" s="1832"/>
      <c r="D75" s="2" t="str">
        <f t="shared" si="0"/>
        <v>OK</v>
      </c>
      <c r="G75" s="1897">
        <v>102570400</v>
      </c>
    </row>
    <row r="76" spans="1:7" ht="15" x14ac:dyDescent="0.25">
      <c r="A76" s="5">
        <v>15</v>
      </c>
      <c r="B76" s="1832">
        <f>'Assets-Liab 5-6'!C12</f>
        <v>0</v>
      </c>
      <c r="D76" s="2" t="str">
        <f t="shared" si="0"/>
        <v>Error?</v>
      </c>
      <c r="G76" s="1897">
        <v>102570600</v>
      </c>
    </row>
    <row r="77" spans="1:7" ht="15" x14ac:dyDescent="0.25">
      <c r="A77" s="5">
        <v>16</v>
      </c>
      <c r="B77" s="1832">
        <f>'Assets-Liab 5-6'!C13</f>
        <v>19538916</v>
      </c>
      <c r="C77" s="2" t="s">
        <v>569</v>
      </c>
      <c r="D77" s="2" t="str">
        <f t="shared" si="0"/>
        <v>Error?</v>
      </c>
      <c r="G77" s="1897">
        <v>102570800</v>
      </c>
    </row>
    <row r="78" spans="1:7" ht="15" x14ac:dyDescent="0.25">
      <c r="A78" s="10">
        <v>17</v>
      </c>
      <c r="B78" s="1832"/>
      <c r="D78" s="2" t="str">
        <f t="shared" si="0"/>
        <v>OK</v>
      </c>
      <c r="G78" s="1897">
        <v>102610300</v>
      </c>
    </row>
    <row r="79" spans="1:7" ht="15" x14ac:dyDescent="0.25">
      <c r="A79" s="10">
        <v>18</v>
      </c>
      <c r="B79" s="1832"/>
      <c r="D79" s="2" t="str">
        <f t="shared" si="0"/>
        <v>OK</v>
      </c>
      <c r="G79" s="1897">
        <v>102610400</v>
      </c>
    </row>
    <row r="80" spans="1:7" ht="15" x14ac:dyDescent="0.25">
      <c r="A80" s="10">
        <v>19</v>
      </c>
      <c r="B80" s="1832"/>
      <c r="D80" s="2" t="str">
        <f t="shared" si="0"/>
        <v>OK</v>
      </c>
      <c r="G80" s="1897">
        <v>102610600</v>
      </c>
    </row>
    <row r="81" spans="1:7" ht="15" x14ac:dyDescent="0.25">
      <c r="A81" s="10">
        <v>20</v>
      </c>
      <c r="B81" s="1832"/>
      <c r="D81" s="2" t="str">
        <f t="shared" si="0"/>
        <v>OK</v>
      </c>
      <c r="G81" s="1897">
        <v>102610800</v>
      </c>
    </row>
    <row r="82" spans="1:7" ht="15" x14ac:dyDescent="0.25">
      <c r="A82" s="10">
        <v>21</v>
      </c>
      <c r="B82" s="1832"/>
      <c r="D82" s="2" t="str">
        <f t="shared" si="0"/>
        <v>OK</v>
      </c>
      <c r="G82" s="1897">
        <v>102620300</v>
      </c>
    </row>
    <row r="83" spans="1:7" ht="15" x14ac:dyDescent="0.25">
      <c r="A83" s="10">
        <v>22</v>
      </c>
      <c r="B83" s="1832"/>
      <c r="D83" s="2" t="str">
        <f t="shared" si="0"/>
        <v>OK</v>
      </c>
      <c r="G83" s="1897">
        <v>102620400</v>
      </c>
    </row>
    <row r="84" spans="1:7" ht="15" x14ac:dyDescent="0.25">
      <c r="A84" s="10">
        <v>23</v>
      </c>
      <c r="B84" s="1832"/>
      <c r="D84" s="2" t="str">
        <f t="shared" si="0"/>
        <v>OK</v>
      </c>
      <c r="G84" s="1897">
        <v>102620600</v>
      </c>
    </row>
    <row r="85" spans="1:7" ht="15" x14ac:dyDescent="0.25">
      <c r="A85" s="10">
        <v>24</v>
      </c>
      <c r="B85" s="1832"/>
      <c r="D85" s="2" t="str">
        <f t="shared" si="0"/>
        <v>OK</v>
      </c>
      <c r="G85" s="1897">
        <v>102620800</v>
      </c>
    </row>
    <row r="86" spans="1:7" ht="15" x14ac:dyDescent="0.25">
      <c r="A86" s="12">
        <v>25</v>
      </c>
      <c r="B86" s="1832">
        <f>'Assets-Liab 5-6'!C31</f>
        <v>0</v>
      </c>
      <c r="D86" s="2" t="str">
        <f t="shared" si="0"/>
        <v>Error?</v>
      </c>
      <c r="G86" s="1897">
        <v>102630300</v>
      </c>
    </row>
    <row r="87" spans="1:7" ht="15" x14ac:dyDescent="0.25">
      <c r="A87" s="10">
        <v>26</v>
      </c>
      <c r="B87" s="1832"/>
      <c r="D87" s="2" t="str">
        <f t="shared" si="0"/>
        <v>OK</v>
      </c>
      <c r="G87" s="1897">
        <v>102630400</v>
      </c>
    </row>
    <row r="88" spans="1:7" ht="15" x14ac:dyDescent="0.25">
      <c r="A88" s="5">
        <v>27</v>
      </c>
      <c r="B88" s="1832">
        <f>'Assets-Liab 5-6'!C32</f>
        <v>5687252</v>
      </c>
      <c r="D88" s="2" t="str">
        <f t="shared" si="0"/>
        <v>Error?</v>
      </c>
      <c r="G88" s="1897">
        <v>102630600</v>
      </c>
    </row>
    <row r="89" spans="1:7" ht="15" x14ac:dyDescent="0.25">
      <c r="A89" s="10">
        <v>28</v>
      </c>
      <c r="B89" s="1832"/>
      <c r="D89" s="2" t="str">
        <f t="shared" si="0"/>
        <v>OK</v>
      </c>
      <c r="G89" s="1897">
        <v>102630800</v>
      </c>
    </row>
    <row r="90" spans="1:7" ht="15" x14ac:dyDescent="0.25">
      <c r="A90" s="10">
        <v>29</v>
      </c>
      <c r="B90" s="1832"/>
      <c r="D90" s="2" t="str">
        <f t="shared" si="0"/>
        <v>OK</v>
      </c>
      <c r="G90" s="1897">
        <v>102640300</v>
      </c>
    </row>
    <row r="91" spans="1:7" ht="15" x14ac:dyDescent="0.25">
      <c r="A91" s="5">
        <v>30</v>
      </c>
      <c r="B91" s="1832">
        <f>'Assets-Liab 5-6'!C34</f>
        <v>8037439</v>
      </c>
      <c r="C91" s="2" t="s">
        <v>569</v>
      </c>
      <c r="D91" s="2" t="str">
        <f t="shared" si="0"/>
        <v>Error?</v>
      </c>
      <c r="G91" s="1897">
        <v>102640400</v>
      </c>
    </row>
    <row r="92" spans="1:7" ht="15" x14ac:dyDescent="0.25">
      <c r="A92" s="5">
        <v>31</v>
      </c>
      <c r="B92" s="1832">
        <f>'Assets-Liab 5-6'!C39</f>
        <v>11357638</v>
      </c>
      <c r="D92" s="2" t="str">
        <f t="shared" si="0"/>
        <v>Error?</v>
      </c>
      <c r="G92" s="1897">
        <v>102640600</v>
      </c>
    </row>
    <row r="93" spans="1:7" ht="15" x14ac:dyDescent="0.25">
      <c r="A93" s="5">
        <v>32</v>
      </c>
      <c r="B93" s="1832">
        <f>'Assets-Liab 5-6'!C41</f>
        <v>19538916</v>
      </c>
      <c r="C93" s="2" t="s">
        <v>569</v>
      </c>
      <c r="D93" s="2" t="str">
        <f t="shared" si="0"/>
        <v>Error?</v>
      </c>
      <c r="G93" s="1897">
        <v>102640800</v>
      </c>
    </row>
    <row r="94" spans="1:7" ht="15" x14ac:dyDescent="0.25">
      <c r="A94" s="10">
        <v>33</v>
      </c>
      <c r="B94" s="1832"/>
      <c r="D94" s="2" t="str">
        <f t="shared" si="0"/>
        <v>OK</v>
      </c>
      <c r="G94" s="1897">
        <v>102660300</v>
      </c>
    </row>
    <row r="95" spans="1:7" ht="15" x14ac:dyDescent="0.25">
      <c r="A95" s="10">
        <v>34</v>
      </c>
      <c r="B95" s="1832"/>
      <c r="D95" s="2" t="str">
        <f t="shared" si="0"/>
        <v>OK</v>
      </c>
      <c r="G95" s="1897">
        <v>102660400</v>
      </c>
    </row>
    <row r="96" spans="1:7" ht="15" x14ac:dyDescent="0.25">
      <c r="A96" s="10">
        <v>35</v>
      </c>
      <c r="B96" s="1832"/>
      <c r="D96" s="2" t="str">
        <f t="shared" si="0"/>
        <v>OK</v>
      </c>
      <c r="G96" s="1897">
        <v>102660600</v>
      </c>
    </row>
    <row r="97" spans="1:7" ht="15" x14ac:dyDescent="0.25">
      <c r="A97" s="5">
        <v>36</v>
      </c>
      <c r="B97" s="1832">
        <f>'Assets-Liab 5-6'!D6</f>
        <v>2157377</v>
      </c>
      <c r="D97" s="2" t="str">
        <f t="shared" si="0"/>
        <v>Error?</v>
      </c>
      <c r="G97" s="1897">
        <v>102660800</v>
      </c>
    </row>
    <row r="98" spans="1:7" ht="15" x14ac:dyDescent="0.25">
      <c r="A98" s="10">
        <v>37</v>
      </c>
      <c r="B98" s="1832"/>
      <c r="D98" s="2" t="str">
        <f t="shared" si="0"/>
        <v>OK</v>
      </c>
      <c r="G98" s="1897">
        <v>102900300</v>
      </c>
    </row>
    <row r="99" spans="1:7" ht="15" x14ac:dyDescent="0.25">
      <c r="A99" s="10">
        <v>38</v>
      </c>
      <c r="B99" s="1832"/>
      <c r="D99" s="2" t="str">
        <f t="shared" si="0"/>
        <v>OK</v>
      </c>
      <c r="G99" s="1897">
        <v>102900400</v>
      </c>
    </row>
    <row r="100" spans="1:7" ht="15" x14ac:dyDescent="0.25">
      <c r="A100" s="10">
        <v>39</v>
      </c>
      <c r="B100" s="1832"/>
      <c r="D100" s="2" t="str">
        <f t="shared" si="0"/>
        <v>OK</v>
      </c>
      <c r="G100" s="1897">
        <v>102900600</v>
      </c>
    </row>
    <row r="101" spans="1:7" ht="15" x14ac:dyDescent="0.25">
      <c r="A101" s="10">
        <v>40</v>
      </c>
      <c r="B101" s="1832"/>
      <c r="D101" s="2" t="str">
        <f t="shared" si="0"/>
        <v>OK</v>
      </c>
      <c r="G101" s="1897">
        <v>102900800</v>
      </c>
    </row>
    <row r="102" spans="1:7" ht="15" x14ac:dyDescent="0.25">
      <c r="A102" s="10">
        <v>41</v>
      </c>
      <c r="B102" s="1832"/>
      <c r="D102" s="2" t="str">
        <f t="shared" si="0"/>
        <v>OK</v>
      </c>
      <c r="G102" s="1897">
        <v>202900300</v>
      </c>
    </row>
    <row r="103" spans="1:7" ht="15" x14ac:dyDescent="0.25">
      <c r="A103" s="10">
        <v>42</v>
      </c>
      <c r="B103" s="1832"/>
      <c r="D103" s="2" t="str">
        <f t="shared" si="0"/>
        <v>OK</v>
      </c>
      <c r="G103" s="1897">
        <v>202900400</v>
      </c>
    </row>
    <row r="104" spans="1:7" ht="15" x14ac:dyDescent="0.25">
      <c r="A104" s="5">
        <v>43</v>
      </c>
      <c r="B104" s="1832">
        <f>'Assets-Liab 5-6'!D10</f>
        <v>0</v>
      </c>
      <c r="D104" s="2" t="str">
        <f t="shared" si="0"/>
        <v>Error?</v>
      </c>
      <c r="G104" s="1897">
        <v>202900600</v>
      </c>
    </row>
    <row r="105" spans="1:7" ht="15" x14ac:dyDescent="0.25">
      <c r="A105" s="5">
        <v>44</v>
      </c>
      <c r="B105" s="1832">
        <f>'Assets-Liab 5-6'!D5</f>
        <v>0</v>
      </c>
      <c r="D105" s="2" t="str">
        <f t="shared" si="0"/>
        <v>Error?</v>
      </c>
      <c r="G105" s="1897">
        <v>202900800</v>
      </c>
    </row>
    <row r="106" spans="1:7" ht="15" x14ac:dyDescent="0.25">
      <c r="A106" s="10">
        <v>45</v>
      </c>
      <c r="B106" s="1832"/>
      <c r="D106" s="2" t="str">
        <f t="shared" si="0"/>
        <v>OK</v>
      </c>
      <c r="G106" s="1897">
        <v>402900300</v>
      </c>
    </row>
    <row r="107" spans="1:7" ht="15" x14ac:dyDescent="0.25">
      <c r="A107" s="10">
        <v>46</v>
      </c>
      <c r="B107" s="1832"/>
      <c r="D107" s="2" t="str">
        <f t="shared" si="0"/>
        <v>OK</v>
      </c>
      <c r="G107" s="1897">
        <v>402900400</v>
      </c>
    </row>
    <row r="108" spans="1:7" ht="15" x14ac:dyDescent="0.25">
      <c r="A108" s="5">
        <v>47</v>
      </c>
      <c r="B108" s="1832">
        <f>'Assets-Liab 5-6'!D12</f>
        <v>0</v>
      </c>
      <c r="D108" s="2" t="str">
        <f t="shared" si="0"/>
        <v>Error?</v>
      </c>
      <c r="G108" s="1897">
        <v>402900600</v>
      </c>
    </row>
    <row r="109" spans="1:7" ht="15" x14ac:dyDescent="0.25">
      <c r="A109" s="5">
        <v>48</v>
      </c>
      <c r="B109" s="1832">
        <f>'Assets-Liab 5-6'!D13</f>
        <v>2207689</v>
      </c>
      <c r="C109" s="2" t="s">
        <v>569</v>
      </c>
      <c r="D109" s="2" t="str">
        <f t="shared" si="0"/>
        <v>Error?</v>
      </c>
      <c r="G109" s="1897">
        <v>402900800</v>
      </c>
    </row>
    <row r="110" spans="1:7" ht="15" x14ac:dyDescent="0.25">
      <c r="A110" s="10">
        <v>49</v>
      </c>
      <c r="B110" s="1832"/>
      <c r="D110" s="2" t="str">
        <f t="shared" si="0"/>
        <v>OK</v>
      </c>
      <c r="G110" s="1897">
        <v>602900300</v>
      </c>
    </row>
    <row r="111" spans="1:7" ht="15" x14ac:dyDescent="0.25">
      <c r="A111" s="10">
        <v>50</v>
      </c>
      <c r="B111" s="1832"/>
      <c r="D111" s="2" t="str">
        <f t="shared" si="0"/>
        <v>OK</v>
      </c>
      <c r="G111" s="1897">
        <v>602900400</v>
      </c>
    </row>
    <row r="112" spans="1:7" ht="15" x14ac:dyDescent="0.25">
      <c r="A112" s="10">
        <v>51</v>
      </c>
      <c r="B112" s="1832"/>
      <c r="D112" s="2" t="str">
        <f t="shared" si="0"/>
        <v>OK</v>
      </c>
      <c r="G112" s="1897">
        <v>602900600</v>
      </c>
    </row>
    <row r="113" spans="1:7" ht="15" x14ac:dyDescent="0.25">
      <c r="A113" s="10">
        <v>52</v>
      </c>
      <c r="B113" s="1832"/>
      <c r="D113" s="2" t="str">
        <f t="shared" si="0"/>
        <v>OK</v>
      </c>
      <c r="G113" s="1897">
        <v>602900800</v>
      </c>
    </row>
    <row r="114" spans="1:7" ht="15" x14ac:dyDescent="0.25">
      <c r="A114" s="10">
        <v>53</v>
      </c>
      <c r="B114" s="1832"/>
      <c r="D114" s="2" t="str">
        <f t="shared" si="0"/>
        <v>OK</v>
      </c>
      <c r="G114" s="1897">
        <v>902900300</v>
      </c>
    </row>
    <row r="115" spans="1:7" ht="15" x14ac:dyDescent="0.25">
      <c r="A115" s="10">
        <v>54</v>
      </c>
      <c r="B115" s="1832"/>
      <c r="D115" s="2" t="str">
        <f t="shared" si="0"/>
        <v>OK</v>
      </c>
      <c r="G115" s="1897">
        <v>902900400</v>
      </c>
    </row>
    <row r="116" spans="1:7" ht="15" x14ac:dyDescent="0.25">
      <c r="A116" s="10">
        <v>55</v>
      </c>
      <c r="B116" s="1832"/>
      <c r="D116" s="2" t="str">
        <f t="shared" si="0"/>
        <v>OK</v>
      </c>
      <c r="G116" s="1897">
        <v>902900600</v>
      </c>
    </row>
    <row r="117" spans="1:7" ht="15" x14ac:dyDescent="0.25">
      <c r="A117" s="5">
        <v>56</v>
      </c>
      <c r="B117" s="1832">
        <f>'Assets-Liab 5-6'!D31</f>
        <v>0</v>
      </c>
      <c r="D117" s="2" t="str">
        <f t="shared" si="0"/>
        <v>Error?</v>
      </c>
      <c r="G117" s="1897">
        <v>902900800</v>
      </c>
    </row>
    <row r="118" spans="1:7" ht="15" x14ac:dyDescent="0.25">
      <c r="A118" s="10">
        <v>57</v>
      </c>
      <c r="B118" s="1832"/>
      <c r="D118" s="2" t="str">
        <f t="shared" si="0"/>
        <v>OK</v>
      </c>
      <c r="G118" s="1897">
        <v>103000300</v>
      </c>
    </row>
    <row r="119" spans="1:7" ht="15" x14ac:dyDescent="0.25">
      <c r="A119" s="5">
        <v>58</v>
      </c>
      <c r="B119" s="1832">
        <f>'Assets-Liab 5-6'!D32</f>
        <v>1122749</v>
      </c>
      <c r="D119" s="2" t="str">
        <f t="shared" si="0"/>
        <v>Error?</v>
      </c>
      <c r="G119" s="1897">
        <v>103000400</v>
      </c>
    </row>
    <row r="120" spans="1:7" ht="15" x14ac:dyDescent="0.25">
      <c r="A120" s="10">
        <v>59</v>
      </c>
      <c r="B120" s="1832"/>
      <c r="D120" s="2" t="str">
        <f t="shared" si="0"/>
        <v>OK</v>
      </c>
      <c r="G120" s="1897">
        <v>103000600</v>
      </c>
    </row>
    <row r="121" spans="1:7" ht="15" x14ac:dyDescent="0.25">
      <c r="A121" s="10">
        <v>60</v>
      </c>
      <c r="B121" s="1832"/>
      <c r="D121" s="2" t="str">
        <f t="shared" si="0"/>
        <v>OK</v>
      </c>
      <c r="G121" s="1897">
        <v>103000800</v>
      </c>
    </row>
    <row r="122" spans="1:7" ht="15" x14ac:dyDescent="0.25">
      <c r="A122" s="5">
        <v>61</v>
      </c>
      <c r="B122" s="1832">
        <f>'Assets-Liab 5-6'!D34</f>
        <v>2365407</v>
      </c>
      <c r="C122" s="2" t="s">
        <v>569</v>
      </c>
      <c r="D122" s="2" t="str">
        <f t="shared" si="0"/>
        <v>Error?</v>
      </c>
      <c r="G122" s="1897">
        <v>203000300</v>
      </c>
    </row>
    <row r="123" spans="1:7" ht="15" x14ac:dyDescent="0.25">
      <c r="A123" s="5">
        <v>62</v>
      </c>
      <c r="B123" s="1832">
        <f>'Assets-Liab 5-6'!D39</f>
        <v>-208030</v>
      </c>
      <c r="D123" s="2" t="str">
        <f t="shared" si="0"/>
        <v>Error?</v>
      </c>
      <c r="G123" s="1897">
        <v>203000400</v>
      </c>
    </row>
    <row r="124" spans="1:7" ht="15" x14ac:dyDescent="0.25">
      <c r="A124" s="5">
        <v>63</v>
      </c>
      <c r="B124" s="1832">
        <f>'Assets-Liab 5-6'!D41</f>
        <v>2207689</v>
      </c>
      <c r="C124" s="2" t="s">
        <v>569</v>
      </c>
      <c r="D124" s="2" t="str">
        <f t="shared" si="0"/>
        <v>Error?</v>
      </c>
      <c r="G124" s="1897">
        <v>203000600</v>
      </c>
    </row>
    <row r="125" spans="1:7" ht="15" x14ac:dyDescent="0.25">
      <c r="A125" s="10">
        <v>64</v>
      </c>
      <c r="B125" s="1832"/>
      <c r="D125" s="2" t="str">
        <f t="shared" si="0"/>
        <v>OK</v>
      </c>
      <c r="G125" s="1897">
        <v>203000800</v>
      </c>
    </row>
    <row r="126" spans="1:7" ht="15" x14ac:dyDescent="0.25">
      <c r="A126" s="5">
        <v>65</v>
      </c>
      <c r="B126" s="1832">
        <f>'Assets-Liab 5-6'!E6</f>
        <v>1294966</v>
      </c>
      <c r="D126" s="2" t="str">
        <f t="shared" si="0"/>
        <v>Error?</v>
      </c>
      <c r="G126" s="1897">
        <v>403000300</v>
      </c>
    </row>
    <row r="127" spans="1:7" ht="15" x14ac:dyDescent="0.25">
      <c r="A127" s="10">
        <v>66</v>
      </c>
      <c r="B127" s="1832"/>
      <c r="D127" s="2" t="str">
        <f t="shared" ref="D127:D190" si="1">IF(ISBLANK(B127),"OK",IF(A127-B127=0,"OK","Error?"))</f>
        <v>OK</v>
      </c>
      <c r="G127" s="1897">
        <v>403000400</v>
      </c>
    </row>
    <row r="128" spans="1:7" ht="15" x14ac:dyDescent="0.25">
      <c r="A128" s="10">
        <v>67</v>
      </c>
      <c r="B128" s="1832"/>
      <c r="D128" s="2" t="str">
        <f t="shared" si="1"/>
        <v>OK</v>
      </c>
      <c r="G128" s="1897">
        <v>403000600</v>
      </c>
    </row>
    <row r="129" spans="1:7" ht="15" x14ac:dyDescent="0.25">
      <c r="A129" s="5">
        <v>68</v>
      </c>
      <c r="B129" s="1832">
        <f>'Assets-Liab 5-6'!E5</f>
        <v>0</v>
      </c>
      <c r="D129" s="2" t="str">
        <f t="shared" si="1"/>
        <v>Error?</v>
      </c>
      <c r="G129" s="1897">
        <v>403000800</v>
      </c>
    </row>
    <row r="130" spans="1:7" x14ac:dyDescent="0.2">
      <c r="A130" s="5">
        <v>69</v>
      </c>
      <c r="B130" s="1832">
        <f>'Assets-Liab 5-6'!E12</f>
        <v>0</v>
      </c>
      <c r="D130" s="2" t="str">
        <f t="shared" si="1"/>
        <v>Error?</v>
      </c>
    </row>
    <row r="131" spans="1:7" x14ac:dyDescent="0.2">
      <c r="A131" s="5">
        <v>70</v>
      </c>
      <c r="B131" s="1832">
        <f>'Assets-Liab 5-6'!E13</f>
        <v>1410692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647483</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647483</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1410692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610799</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420560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2137005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321766</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321849</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2137005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1198857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450720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450720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1198857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848419</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1136737</v>
      </c>
      <c r="D273" s="2" t="str">
        <f t="shared" si="3"/>
        <v>Error?</v>
      </c>
    </row>
    <row r="274" spans="1:4" x14ac:dyDescent="0.2">
      <c r="A274" s="5">
        <v>213</v>
      </c>
      <c r="B274" s="1832">
        <f>'Assets-Liab 5-6'!M17</f>
        <v>45446868</v>
      </c>
      <c r="D274" s="2" t="str">
        <f t="shared" si="3"/>
        <v>Error?</v>
      </c>
    </row>
    <row r="275" spans="1:4" x14ac:dyDescent="0.2">
      <c r="A275" s="5">
        <v>214</v>
      </c>
      <c r="B275" s="1832">
        <f>'Assets-Liab 5-6'!M18</f>
        <v>3628081</v>
      </c>
      <c r="D275" s="2" t="str">
        <f t="shared" si="3"/>
        <v>Error?</v>
      </c>
    </row>
    <row r="276" spans="1:4" x14ac:dyDescent="0.2">
      <c r="A276" s="5">
        <v>215</v>
      </c>
      <c r="B276" s="1832">
        <f>'Assets-Liab 5-6'!M19</f>
        <v>9069324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59281010</v>
      </c>
      <c r="C279" s="2" t="s">
        <v>569</v>
      </c>
      <c r="D279" s="2" t="str">
        <f t="shared" si="3"/>
        <v>Error?</v>
      </c>
    </row>
    <row r="280" spans="1:4" x14ac:dyDescent="0.2">
      <c r="A280" s="5">
        <v>219</v>
      </c>
      <c r="B280" s="1832">
        <f>'Assets-Liab 5-6'!M40</f>
        <v>59281010</v>
      </c>
      <c r="D280" s="2" t="str">
        <f t="shared" si="3"/>
        <v>Error?</v>
      </c>
    </row>
    <row r="281" spans="1:4" x14ac:dyDescent="0.2">
      <c r="A281" s="5">
        <v>220</v>
      </c>
      <c r="B281" s="1832">
        <f>'Assets-Liab 5-6'!M41</f>
        <v>59281010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9790000</v>
      </c>
      <c r="D283" s="2" t="str">
        <f t="shared" si="3"/>
        <v>Error?</v>
      </c>
    </row>
    <row r="284" spans="1:4" x14ac:dyDescent="0.2">
      <c r="A284" s="5">
        <v>223</v>
      </c>
      <c r="B284" s="1832">
        <f>'Assets-Liab 5-6'!N23</f>
        <v>9790000</v>
      </c>
      <c r="C284" s="2" t="s">
        <v>569</v>
      </c>
      <c r="D284" s="2" t="str">
        <f t="shared" si="3"/>
        <v>Error?</v>
      </c>
    </row>
    <row r="285" spans="1:4" x14ac:dyDescent="0.2">
      <c r="A285" s="5">
        <v>224</v>
      </c>
      <c r="B285" s="1832">
        <f>'Assets-Liab 5-6'!N36</f>
        <v>9790000</v>
      </c>
      <c r="D285" s="2" t="str">
        <f t="shared" si="3"/>
        <v>Error?</v>
      </c>
    </row>
    <row r="286" spans="1:4" x14ac:dyDescent="0.2">
      <c r="A286" s="10">
        <v>225</v>
      </c>
      <c r="B286" s="1832"/>
      <c r="D286" s="2" t="str">
        <f t="shared" si="3"/>
        <v>OK</v>
      </c>
    </row>
    <row r="287" spans="1:4" x14ac:dyDescent="0.2">
      <c r="A287" s="5">
        <v>226</v>
      </c>
      <c r="B287" s="1832">
        <f>'Assets-Liab 5-6'!N37</f>
        <v>9790000</v>
      </c>
      <c r="C287" s="2" t="s">
        <v>569</v>
      </c>
      <c r="D287" s="2" t="str">
        <f t="shared" si="3"/>
        <v>Error?</v>
      </c>
    </row>
    <row r="288" spans="1:4" x14ac:dyDescent="0.2">
      <c r="A288" s="5">
        <v>227</v>
      </c>
      <c r="B288" s="1832">
        <f>'Assets-Liab 5-6'!N41</f>
        <v>9790000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6710750</v>
      </c>
      <c r="D705" s="2" t="str">
        <f t="shared" si="10"/>
        <v>Error?</v>
      </c>
    </row>
    <row r="706" spans="1:4" x14ac:dyDescent="0.2">
      <c r="A706" s="5">
        <v>645</v>
      </c>
      <c r="B706" s="1832">
        <f>'Expenditures 15-22'!C16</f>
        <v>53558</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82684</v>
      </c>
      <c r="D718" s="2" t="str">
        <f t="shared" si="10"/>
        <v>Error?</v>
      </c>
    </row>
    <row r="719" spans="1:4" x14ac:dyDescent="0.2">
      <c r="A719" s="5">
        <v>658</v>
      </c>
      <c r="B719" s="1832">
        <f>'Expenditures 15-22'!C15</f>
        <v>54932</v>
      </c>
      <c r="D719" s="2" t="str">
        <f t="shared" si="10"/>
        <v>Error?</v>
      </c>
    </row>
    <row r="720" spans="1:4" x14ac:dyDescent="0.2">
      <c r="A720" s="5">
        <v>659</v>
      </c>
      <c r="B720" s="1832">
        <f>'Expenditures 15-22'!C33</f>
        <v>9379121</v>
      </c>
      <c r="C720" s="2" t="s">
        <v>569</v>
      </c>
      <c r="D720" s="2" t="str">
        <f t="shared" si="10"/>
        <v>Error?</v>
      </c>
    </row>
    <row r="721" spans="1:4" x14ac:dyDescent="0.2">
      <c r="A721" s="5">
        <v>660</v>
      </c>
      <c r="B721" s="1832">
        <f>'Expenditures 15-22'!C36</f>
        <v>286287</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422639</v>
      </c>
      <c r="D723" s="2" t="str">
        <f t="shared" si="10"/>
        <v>Error?</v>
      </c>
    </row>
    <row r="724" spans="1:4" x14ac:dyDescent="0.2">
      <c r="A724" s="5">
        <v>663</v>
      </c>
      <c r="B724" s="1832">
        <f>'Expenditures 15-22'!C39</f>
        <v>139044</v>
      </c>
      <c r="D724" s="2" t="str">
        <f t="shared" si="10"/>
        <v>Error?</v>
      </c>
    </row>
    <row r="725" spans="1:4" x14ac:dyDescent="0.2">
      <c r="A725" s="5">
        <v>664</v>
      </c>
      <c r="B725" s="1832">
        <f>'Expenditures 15-22'!C40</f>
        <v>342887</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1190857</v>
      </c>
      <c r="C727" s="2" t="s">
        <v>569</v>
      </c>
      <c r="D727" s="2" t="str">
        <f t="shared" si="10"/>
        <v>Error?</v>
      </c>
    </row>
    <row r="728" spans="1:4" x14ac:dyDescent="0.2">
      <c r="A728" s="5">
        <v>667</v>
      </c>
      <c r="B728" s="1832">
        <f>'Expenditures 15-22'!C44</f>
        <v>191722</v>
      </c>
      <c r="D728" s="2" t="str">
        <f t="shared" si="10"/>
        <v>Error?</v>
      </c>
    </row>
    <row r="729" spans="1:4" x14ac:dyDescent="0.2">
      <c r="A729" s="5">
        <v>668</v>
      </c>
      <c r="B729" s="1832">
        <f>'Expenditures 15-22'!C45</f>
        <v>120645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312367</v>
      </c>
      <c r="C731" s="2" t="s">
        <v>569</v>
      </c>
      <c r="D731" s="2" t="str">
        <f t="shared" si="10"/>
        <v>Error?</v>
      </c>
    </row>
    <row r="732" spans="1:4" x14ac:dyDescent="0.2">
      <c r="A732" s="5">
        <v>671</v>
      </c>
      <c r="B732" s="1832">
        <f>'Expenditures 15-22'!C49</f>
        <v>9012</v>
      </c>
      <c r="D732" s="2" t="str">
        <f t="shared" si="10"/>
        <v>Error?</v>
      </c>
    </row>
    <row r="733" spans="1:4" x14ac:dyDescent="0.2">
      <c r="A733" s="5">
        <v>672</v>
      </c>
      <c r="B733" s="1832">
        <f>'Expenditures 15-22'!C50</f>
        <v>230124</v>
      </c>
      <c r="D733" s="2" t="str">
        <f t="shared" si="10"/>
        <v>Error?</v>
      </c>
    </row>
    <row r="734" spans="1:4" x14ac:dyDescent="0.2">
      <c r="A734" s="5">
        <v>673</v>
      </c>
      <c r="B734" s="1832">
        <f>'Expenditures 15-22'!C53</f>
        <v>364124</v>
      </c>
      <c r="C734" s="2" t="s">
        <v>569</v>
      </c>
      <c r="D734" s="2" t="str">
        <f t="shared" si="10"/>
        <v>Error?</v>
      </c>
    </row>
    <row r="735" spans="1:4" x14ac:dyDescent="0.2">
      <c r="A735" s="5">
        <v>674</v>
      </c>
      <c r="B735" s="1832">
        <f>'Expenditures 15-22'!C55</f>
        <v>1000071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1000071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184132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184132</v>
      </c>
      <c r="C745" s="2" t="s">
        <v>569</v>
      </c>
      <c r="D745" s="2" t="str">
        <f t="shared" si="10"/>
        <v>Error?</v>
      </c>
    </row>
    <row r="746" spans="1:4" x14ac:dyDescent="0.2">
      <c r="A746" s="5">
        <v>685</v>
      </c>
      <c r="B746" s="1832">
        <f>'Expenditures 15-22'!C67</f>
        <v>199604</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3056</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202660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3254211</v>
      </c>
      <c r="C755" s="2" t="s">
        <v>569</v>
      </c>
      <c r="D755" s="2" t="str">
        <f t="shared" si="10"/>
        <v>Error?</v>
      </c>
    </row>
    <row r="756" spans="1:4" x14ac:dyDescent="0.2">
      <c r="A756" s="5">
        <v>695</v>
      </c>
      <c r="B756" s="1832">
        <f>'Expenditures 15-22'!C75</f>
        <v>12836</v>
      </c>
      <c r="D756" s="2" t="str">
        <f t="shared" si="10"/>
        <v>Error?</v>
      </c>
    </row>
    <row r="757" spans="1:4" x14ac:dyDescent="0.2">
      <c r="A757" s="5">
        <v>696</v>
      </c>
      <c r="B757" s="1832">
        <f>'Expenditures 15-22'!C114</f>
        <v>12646168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1831403</v>
      </c>
      <c r="D763" s="2" t="str">
        <f t="shared" si="10"/>
        <v>Error?</v>
      </c>
    </row>
    <row r="764" spans="1:4" x14ac:dyDescent="0.2">
      <c r="A764" s="5">
        <v>703</v>
      </c>
      <c r="B764" s="1832">
        <f>'Expenditures 15-22'!D16</f>
        <v>19731</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11972</v>
      </c>
      <c r="D776" s="2" t="str">
        <f t="shared" si="11"/>
        <v>Error?</v>
      </c>
    </row>
    <row r="777" spans="1:4" x14ac:dyDescent="0.2">
      <c r="A777" s="5">
        <v>716</v>
      </c>
      <c r="B777" s="1832">
        <f>'Expenditures 15-22'!D15</f>
        <v>6174</v>
      </c>
      <c r="D777" s="2" t="str">
        <f t="shared" si="11"/>
        <v>Error?</v>
      </c>
    </row>
    <row r="778" spans="1:4" x14ac:dyDescent="0.2">
      <c r="A778" s="5">
        <v>717</v>
      </c>
      <c r="B778" s="1832">
        <f>'Expenditures 15-22'!D33</f>
        <v>2651371</v>
      </c>
      <c r="C778" s="2" t="s">
        <v>569</v>
      </c>
      <c r="D778" s="2" t="str">
        <f t="shared" si="11"/>
        <v>Error?</v>
      </c>
    </row>
    <row r="779" spans="1:4" x14ac:dyDescent="0.2">
      <c r="A779" s="5">
        <v>718</v>
      </c>
      <c r="B779" s="1832">
        <f>'Expenditures 15-22'!D36</f>
        <v>65805</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70302</v>
      </c>
      <c r="D781" s="2" t="str">
        <f t="shared" si="11"/>
        <v>Error?</v>
      </c>
    </row>
    <row r="782" spans="1:4" x14ac:dyDescent="0.2">
      <c r="A782" s="5">
        <v>721</v>
      </c>
      <c r="B782" s="1832">
        <f>'Expenditures 15-22'!D39</f>
        <v>43589</v>
      </c>
      <c r="D782" s="2" t="str">
        <f t="shared" si="11"/>
        <v>Error?</v>
      </c>
    </row>
    <row r="783" spans="1:4" x14ac:dyDescent="0.2">
      <c r="A783" s="5">
        <v>722</v>
      </c>
      <c r="B783" s="1832">
        <f>'Expenditures 15-22'!D40</f>
        <v>91884</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271580</v>
      </c>
      <c r="C785" s="2" t="s">
        <v>569</v>
      </c>
      <c r="D785" s="2" t="str">
        <f t="shared" si="11"/>
        <v>Error?</v>
      </c>
    </row>
    <row r="786" spans="1:4" x14ac:dyDescent="0.2">
      <c r="A786" s="5">
        <v>725</v>
      </c>
      <c r="B786" s="1832">
        <f>'Expenditures 15-22'!D44</f>
        <v>53765</v>
      </c>
      <c r="D786" s="2" t="str">
        <f t="shared" si="11"/>
        <v>Error?</v>
      </c>
    </row>
    <row r="787" spans="1:4" x14ac:dyDescent="0.2">
      <c r="A787" s="5">
        <v>726</v>
      </c>
      <c r="B787" s="1832">
        <f>'Expenditures 15-22'!D45</f>
        <v>23738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77503</v>
      </c>
      <c r="C789" s="2" t="s">
        <v>569</v>
      </c>
      <c r="D789" s="2" t="str">
        <f t="shared" si="11"/>
        <v>Error?</v>
      </c>
    </row>
    <row r="790" spans="1:4" x14ac:dyDescent="0.2">
      <c r="A790" s="5">
        <v>729</v>
      </c>
      <c r="B790" s="1832">
        <f>'Expenditures 15-22'!D49</f>
        <v>286013</v>
      </c>
      <c r="D790" s="2" t="str">
        <f t="shared" si="11"/>
        <v>Error?</v>
      </c>
    </row>
    <row r="791" spans="1:4" x14ac:dyDescent="0.2">
      <c r="A791" s="5">
        <v>730</v>
      </c>
      <c r="B791" s="1832">
        <f>'Expenditures 15-22'!D50</f>
        <v>17569</v>
      </c>
      <c r="D791" s="2" t="str">
        <f t="shared" si="11"/>
        <v>Error?</v>
      </c>
    </row>
    <row r="792" spans="1:4" x14ac:dyDescent="0.2">
      <c r="A792" s="5">
        <v>731</v>
      </c>
      <c r="B792" s="1832">
        <f>'Expenditures 15-22'!D53</f>
        <v>318338</v>
      </c>
      <c r="C792" s="2" t="s">
        <v>569</v>
      </c>
      <c r="D792" s="2" t="str">
        <f t="shared" si="11"/>
        <v>Error?</v>
      </c>
    </row>
    <row r="793" spans="1:4" x14ac:dyDescent="0.2">
      <c r="A793" s="5">
        <v>732</v>
      </c>
      <c r="B793" s="1832">
        <f>'Expenditures 15-22'!D55</f>
        <v>213581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213581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44104</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44104</v>
      </c>
      <c r="C803" s="2" t="s">
        <v>569</v>
      </c>
      <c r="D803" s="2" t="str">
        <f t="shared" si="11"/>
        <v>Error?</v>
      </c>
    </row>
    <row r="804" spans="1:4" x14ac:dyDescent="0.2">
      <c r="A804" s="5">
        <v>743</v>
      </c>
      <c r="B804" s="1832">
        <f>'Expenditures 15-22'!D67</f>
        <v>15863</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15863</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940969</v>
      </c>
      <c r="C813" s="2" t="s">
        <v>569</v>
      </c>
      <c r="D813" s="2" t="str">
        <f t="shared" si="11"/>
        <v>Error?</v>
      </c>
    </row>
    <row r="814" spans="1:4" x14ac:dyDescent="0.2">
      <c r="A814" s="5">
        <v>753</v>
      </c>
      <c r="B814" s="1832">
        <f>'Expenditures 15-22'!D75</f>
        <v>1948</v>
      </c>
      <c r="D814" s="2" t="str">
        <f t="shared" si="11"/>
        <v>Error?</v>
      </c>
    </row>
    <row r="815" spans="1:4" x14ac:dyDescent="0.2">
      <c r="A815" s="5">
        <v>754</v>
      </c>
      <c r="B815" s="1832">
        <f>'Expenditures 15-22'!D114</f>
        <v>3594288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92519</v>
      </c>
      <c r="D821" s="2" t="str">
        <f t="shared" si="11"/>
        <v>Error?</v>
      </c>
    </row>
    <row r="822" spans="1:4" x14ac:dyDescent="0.2">
      <c r="A822" s="5">
        <v>761</v>
      </c>
      <c r="B822" s="1832">
        <f>'Expenditures 15-22'!E16</f>
        <v>1024</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10973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203799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6600</v>
      </c>
      <c r="D838" s="2" t="str">
        <f t="shared" si="12"/>
        <v>Error?</v>
      </c>
    </row>
    <row r="839" spans="1:4" x14ac:dyDescent="0.2">
      <c r="A839" s="5">
        <v>778</v>
      </c>
      <c r="B839" s="1832">
        <f>'Expenditures 15-22'!E38</f>
        <v>1933</v>
      </c>
      <c r="D839" s="2" t="str">
        <f t="shared" si="12"/>
        <v>Error?</v>
      </c>
    </row>
    <row r="840" spans="1:4" x14ac:dyDescent="0.2">
      <c r="A840" s="5">
        <v>779</v>
      </c>
      <c r="B840" s="1832">
        <f>'Expenditures 15-22'!E39</f>
        <v>4178</v>
      </c>
      <c r="D840" s="2" t="str">
        <f t="shared" si="12"/>
        <v>Error?</v>
      </c>
    </row>
    <row r="841" spans="1:4" x14ac:dyDescent="0.2">
      <c r="A841" s="5">
        <v>780</v>
      </c>
      <c r="B841" s="1832">
        <f>'Expenditures 15-22'!E40</f>
        <v>8208</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20919</v>
      </c>
      <c r="C843" s="2" t="s">
        <v>569</v>
      </c>
      <c r="D843" s="2" t="str">
        <f t="shared" si="12"/>
        <v>Error?</v>
      </c>
    </row>
    <row r="844" spans="1:4" x14ac:dyDescent="0.2">
      <c r="A844" s="5">
        <v>783</v>
      </c>
      <c r="B844" s="1832">
        <f>'Expenditures 15-22'!E44</f>
        <v>221997</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52023</v>
      </c>
      <c r="D846" s="2" t="str">
        <f t="shared" si="12"/>
        <v>Error?</v>
      </c>
    </row>
    <row r="847" spans="1:4" x14ac:dyDescent="0.2">
      <c r="A847" s="5">
        <v>786</v>
      </c>
      <c r="B847" s="1832">
        <f>'Expenditures 15-22'!E47</f>
        <v>274020</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88869</v>
      </c>
      <c r="D849" s="2" t="str">
        <f t="shared" si="12"/>
        <v>Error?</v>
      </c>
    </row>
    <row r="850" spans="1:4" x14ac:dyDescent="0.2">
      <c r="A850" s="5">
        <v>789</v>
      </c>
      <c r="B850" s="1832">
        <f>'Expenditures 15-22'!E53</f>
        <v>102169</v>
      </c>
      <c r="C850" s="2" t="s">
        <v>569</v>
      </c>
      <c r="D850" s="2" t="str">
        <f t="shared" si="12"/>
        <v>Error?</v>
      </c>
    </row>
    <row r="851" spans="1:4" x14ac:dyDescent="0.2">
      <c r="A851" s="5">
        <v>790</v>
      </c>
      <c r="B851" s="1832">
        <f>'Expenditures 15-22'!E55</f>
        <v>4547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4547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27063</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653113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680176</v>
      </c>
      <c r="C861" s="2" t="s">
        <v>569</v>
      </c>
      <c r="D861" s="2" t="str">
        <f t="shared" si="12"/>
        <v>Error?</v>
      </c>
    </row>
    <row r="862" spans="1:4" x14ac:dyDescent="0.2">
      <c r="A862" s="5">
        <v>801</v>
      </c>
      <c r="B862" s="1832">
        <f>'Expenditures 15-22'!E67</f>
        <v>136869</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136869</v>
      </c>
      <c r="C869" s="2" t="s">
        <v>569</v>
      </c>
      <c r="D869" s="2" t="str">
        <f t="shared" si="12"/>
        <v>Error?</v>
      </c>
    </row>
    <row r="870" spans="1:4" x14ac:dyDescent="0.2">
      <c r="A870" s="5">
        <v>809</v>
      </c>
      <c r="B870" s="1832">
        <f>'Expenditures 15-22'!E73</f>
        <v>1341</v>
      </c>
      <c r="D870" s="2" t="str">
        <f t="shared" si="12"/>
        <v>Error?</v>
      </c>
    </row>
    <row r="871" spans="1:4" x14ac:dyDescent="0.2">
      <c r="A871" s="5">
        <v>810</v>
      </c>
      <c r="B871" s="1832">
        <f>'Expenditures 15-22'!E74</f>
        <v>1220041</v>
      </c>
      <c r="C871" s="2" t="s">
        <v>569</v>
      </c>
      <c r="D871" s="2" t="str">
        <f t="shared" si="12"/>
        <v>Error?</v>
      </c>
    </row>
    <row r="872" spans="1:4" x14ac:dyDescent="0.2">
      <c r="A872" s="5">
        <v>811</v>
      </c>
      <c r="B872" s="1832">
        <f>'Expenditures 15-22'!E75</f>
        <v>13975</v>
      </c>
      <c r="D872" s="2" t="str">
        <f t="shared" si="12"/>
        <v>Error?</v>
      </c>
    </row>
    <row r="873" spans="1:4" x14ac:dyDescent="0.2">
      <c r="A873" s="5">
        <v>812</v>
      </c>
      <c r="B873" s="1832">
        <f>'Expenditures 15-22'!E114</f>
        <v>1437815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520543</v>
      </c>
      <c r="D879" s="2" t="str">
        <f t="shared" si="12"/>
        <v>Error?</v>
      </c>
    </row>
    <row r="880" spans="1:4" x14ac:dyDescent="0.2">
      <c r="A880" s="5">
        <v>819</v>
      </c>
      <c r="B880" s="1832">
        <f>'Expenditures 15-22'!F16</f>
        <v>1048</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23898</v>
      </c>
      <c r="D892" s="2" t="str">
        <f t="shared" si="12"/>
        <v>Error?</v>
      </c>
    </row>
    <row r="893" spans="1:4" x14ac:dyDescent="0.2">
      <c r="A893" s="5">
        <v>832</v>
      </c>
      <c r="B893" s="1832">
        <f>'Expenditures 15-22'!F15</f>
        <v>210</v>
      </c>
      <c r="D893" s="2" t="str">
        <f t="shared" si="12"/>
        <v>Error?</v>
      </c>
    </row>
    <row r="894" spans="1:4" x14ac:dyDescent="0.2">
      <c r="A894" s="5">
        <v>833</v>
      </c>
      <c r="B894" s="1832">
        <f>'Expenditures 15-22'!F33</f>
        <v>563481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3079</v>
      </c>
      <c r="D896" s="2" t="str">
        <f t="shared" si="13"/>
        <v>Error?</v>
      </c>
    </row>
    <row r="897" spans="1:4" x14ac:dyDescent="0.2">
      <c r="A897" s="5">
        <v>836</v>
      </c>
      <c r="B897" s="1832">
        <f>'Expenditures 15-22'!F38</f>
        <v>11181</v>
      </c>
      <c r="D897" s="2" t="str">
        <f t="shared" si="13"/>
        <v>Error?</v>
      </c>
    </row>
    <row r="898" spans="1:4" x14ac:dyDescent="0.2">
      <c r="A898" s="5">
        <v>837</v>
      </c>
      <c r="B898" s="1832">
        <f>'Expenditures 15-22'!F39</f>
        <v>4326</v>
      </c>
      <c r="D898" s="2" t="str">
        <f t="shared" si="13"/>
        <v>Error?</v>
      </c>
    </row>
    <row r="899" spans="1:4" x14ac:dyDescent="0.2">
      <c r="A899" s="5">
        <v>838</v>
      </c>
      <c r="B899" s="1832">
        <f>'Expenditures 15-22'!F40</f>
        <v>1454</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20040</v>
      </c>
      <c r="C901" s="2" t="s">
        <v>569</v>
      </c>
      <c r="D901" s="2" t="str">
        <f t="shared" si="13"/>
        <v>Error?</v>
      </c>
    </row>
    <row r="902" spans="1:4" x14ac:dyDescent="0.2">
      <c r="A902" s="5">
        <v>841</v>
      </c>
      <c r="B902" s="1832">
        <f>'Expenditures 15-22'!F44</f>
        <v>43461</v>
      </c>
      <c r="D902" s="2" t="str">
        <f t="shared" si="13"/>
        <v>Error?</v>
      </c>
    </row>
    <row r="903" spans="1:4" x14ac:dyDescent="0.2">
      <c r="A903" s="5">
        <v>842</v>
      </c>
      <c r="B903" s="1832">
        <f>'Expenditures 15-22'!F45</f>
        <v>13999</v>
      </c>
      <c r="D903" s="2" t="str">
        <f t="shared" si="13"/>
        <v>Error?</v>
      </c>
    </row>
    <row r="904" spans="1:4" x14ac:dyDescent="0.2">
      <c r="A904" s="5">
        <v>843</v>
      </c>
      <c r="B904" s="1832">
        <f>'Expenditures 15-22'!F46</f>
        <v>24725</v>
      </c>
      <c r="D904" s="2" t="str">
        <f t="shared" si="13"/>
        <v>Error?</v>
      </c>
    </row>
    <row r="905" spans="1:4" x14ac:dyDescent="0.2">
      <c r="A905" s="5">
        <v>844</v>
      </c>
      <c r="B905" s="1832">
        <f>'Expenditures 15-22'!F47</f>
        <v>82185</v>
      </c>
      <c r="C905" s="2" t="s">
        <v>569</v>
      </c>
      <c r="D905" s="2" t="str">
        <f t="shared" si="13"/>
        <v>Error?</v>
      </c>
    </row>
    <row r="906" spans="1:4" x14ac:dyDescent="0.2">
      <c r="A906" s="5">
        <v>845</v>
      </c>
      <c r="B906" s="1832">
        <f>'Expenditures 15-22'!F49</f>
        <v>3878</v>
      </c>
      <c r="D906" s="2" t="str">
        <f t="shared" si="13"/>
        <v>Error?</v>
      </c>
    </row>
    <row r="907" spans="1:4" x14ac:dyDescent="0.2">
      <c r="A907" s="5">
        <v>846</v>
      </c>
      <c r="B907" s="1832">
        <f>'Expenditures 15-22'!F50</f>
        <v>11149</v>
      </c>
      <c r="D907" s="2" t="str">
        <f t="shared" si="13"/>
        <v>Error?</v>
      </c>
    </row>
    <row r="908" spans="1:4" x14ac:dyDescent="0.2">
      <c r="A908" s="5">
        <v>847</v>
      </c>
      <c r="B908" s="1832">
        <f>'Expenditures 15-22'!F53</f>
        <v>16653</v>
      </c>
      <c r="C908" s="2" t="s">
        <v>569</v>
      </c>
      <c r="D908" s="2" t="str">
        <f t="shared" si="13"/>
        <v>Error?</v>
      </c>
    </row>
    <row r="909" spans="1:4" x14ac:dyDescent="0.2">
      <c r="A909" s="5">
        <v>848</v>
      </c>
      <c r="B909" s="1832">
        <f>'Expenditures 15-22'!F55</f>
        <v>21665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21665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1151</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3871</v>
      </c>
      <c r="D916" s="2" t="str">
        <f t="shared" si="13"/>
        <v>Error?</v>
      </c>
    </row>
    <row r="917" spans="1:4" x14ac:dyDescent="0.2">
      <c r="A917" s="5">
        <v>856</v>
      </c>
      <c r="B917" s="1832">
        <f>'Expenditures 15-22'!F64</f>
        <v>37</v>
      </c>
      <c r="D917" s="2" t="str">
        <f t="shared" si="13"/>
        <v>Error?</v>
      </c>
    </row>
    <row r="918" spans="1:4" x14ac:dyDescent="0.2">
      <c r="A918" s="10">
        <v>857</v>
      </c>
      <c r="B918" s="1832"/>
      <c r="D918" s="2" t="str">
        <f t="shared" si="13"/>
        <v>OK</v>
      </c>
    </row>
    <row r="919" spans="1:4" x14ac:dyDescent="0.2">
      <c r="A919" s="5">
        <v>858</v>
      </c>
      <c r="B919" s="1832">
        <f>'Expenditures 15-22'!F65</f>
        <v>5059</v>
      </c>
      <c r="C919" s="2" t="s">
        <v>569</v>
      </c>
      <c r="D919" s="2" t="str">
        <f t="shared" si="13"/>
        <v>Error?</v>
      </c>
    </row>
    <row r="920" spans="1:4" x14ac:dyDescent="0.2">
      <c r="A920" s="5">
        <v>859</v>
      </c>
      <c r="B920" s="1832">
        <f>'Expenditures 15-22'!F67</f>
        <v>53351</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53351</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198953</v>
      </c>
      <c r="C929" s="2" t="s">
        <v>569</v>
      </c>
      <c r="D929" s="2" t="str">
        <f t="shared" si="13"/>
        <v>Error?</v>
      </c>
    </row>
    <row r="930" spans="1:4" x14ac:dyDescent="0.2">
      <c r="A930" s="5">
        <v>869</v>
      </c>
      <c r="B930" s="1832">
        <f>'Expenditures 15-22'!F75</f>
        <v>37841</v>
      </c>
      <c r="D930" s="2" t="str">
        <f t="shared" si="13"/>
        <v>Error?</v>
      </c>
    </row>
    <row r="931" spans="1:4" x14ac:dyDescent="0.2">
      <c r="A931" s="5">
        <v>870</v>
      </c>
      <c r="B931" s="1832">
        <f>'Expenditures 15-22'!F114</f>
        <v>800275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335406</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335406</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335406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335406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5158</v>
      </c>
      <c r="C995" s="9"/>
      <c r="D995" s="2" t="str">
        <f t="shared" si="14"/>
        <v>Error?</v>
      </c>
    </row>
    <row r="996" spans="1:4" x14ac:dyDescent="0.2">
      <c r="A996" s="5">
        <v>935</v>
      </c>
      <c r="B996" s="1832">
        <f>'Expenditures 15-22'!H16</f>
        <v>480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160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670691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7575</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7575</v>
      </c>
      <c r="C1021" s="2" t="s">
        <v>569</v>
      </c>
      <c r="D1021" s="2" t="str">
        <f t="shared" si="14"/>
        <v>Error?</v>
      </c>
    </row>
    <row r="1022" spans="1:4" x14ac:dyDescent="0.2">
      <c r="A1022" s="5">
        <v>961</v>
      </c>
      <c r="B1022" s="1832">
        <f>'Expenditures 15-22'!H49</f>
        <v>91208</v>
      </c>
      <c r="D1022" s="2" t="str">
        <f t="shared" si="14"/>
        <v>Error?</v>
      </c>
    </row>
    <row r="1023" spans="1:4" x14ac:dyDescent="0.2">
      <c r="A1023" s="5">
        <v>962</v>
      </c>
      <c r="B1023" s="1832">
        <f>'Expenditures 15-22'!H50</f>
        <v>3575</v>
      </c>
      <c r="D1023" s="2" t="str">
        <f t="shared" ref="D1023:D1086" si="15">IF(ISBLANK(B1023),"OK",IF(A1023-B1023=0,"OK","Error?"))</f>
        <v>Error?</v>
      </c>
    </row>
    <row r="1024" spans="1:4" x14ac:dyDescent="0.2">
      <c r="A1024" s="5">
        <v>963</v>
      </c>
      <c r="B1024" s="1832">
        <f>'Expenditures 15-22'!H53</f>
        <v>94783</v>
      </c>
      <c r="C1024" s="2" t="s">
        <v>569</v>
      </c>
      <c r="D1024" s="2" t="str">
        <f t="shared" si="15"/>
        <v>Error?</v>
      </c>
    </row>
    <row r="1025" spans="1:4" x14ac:dyDescent="0.2">
      <c r="A1025" s="5">
        <v>964</v>
      </c>
      <c r="B1025" s="1832">
        <f>'Expenditures 15-22'!H55</f>
        <v>2605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2605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3968</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124468</v>
      </c>
      <c r="D1033" s="2" t="str">
        <f t="shared" si="15"/>
        <v>Error?</v>
      </c>
    </row>
    <row r="1034" spans="1:4" x14ac:dyDescent="0.2">
      <c r="A1034" s="10">
        <v>973</v>
      </c>
      <c r="B1034" s="1832"/>
      <c r="D1034" s="2" t="str">
        <f t="shared" si="15"/>
        <v>OK</v>
      </c>
    </row>
    <row r="1035" spans="1:4" x14ac:dyDescent="0.2">
      <c r="A1035" s="5">
        <v>974</v>
      </c>
      <c r="B1035" s="1832">
        <f>'Expenditures 15-22'!H65</f>
        <v>128436</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233399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904090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9163018</v>
      </c>
      <c r="C1093" s="2" t="s">
        <v>569</v>
      </c>
      <c r="D1093" s="2" t="str">
        <f t="shared" si="16"/>
        <v>Error?</v>
      </c>
    </row>
    <row r="1094" spans="1:4" x14ac:dyDescent="0.2">
      <c r="A1094" s="5">
        <v>1033</v>
      </c>
      <c r="B1094" s="1832">
        <f>'Expenditures 15-22'!K16</f>
        <v>75841</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129687</v>
      </c>
      <c r="C1106" s="2" t="s">
        <v>569</v>
      </c>
      <c r="D1106" s="2" t="str">
        <f t="shared" si="16"/>
        <v>Error?</v>
      </c>
    </row>
    <row r="1107" spans="1:4" x14ac:dyDescent="0.2">
      <c r="A1107" s="5">
        <v>1046</v>
      </c>
      <c r="B1107" s="1832">
        <f>'Expenditures 15-22'!K15</f>
        <v>61316</v>
      </c>
      <c r="C1107" s="2" t="s">
        <v>569</v>
      </c>
      <c r="D1107" s="2" t="str">
        <f t="shared" si="16"/>
        <v>Error?</v>
      </c>
    </row>
    <row r="1108" spans="1:4" x14ac:dyDescent="0.2">
      <c r="A1108" s="5">
        <v>1047</v>
      </c>
      <c r="B1108" s="1832">
        <f>'Expenditures 15-22'!K33</f>
        <v>13471108</v>
      </c>
      <c r="C1108" s="2" t="s">
        <v>569</v>
      </c>
      <c r="D1108" s="2" t="str">
        <f t="shared" si="16"/>
        <v>Error?</v>
      </c>
    </row>
    <row r="1109" spans="1:4" x14ac:dyDescent="0.2">
      <c r="A1109" s="5">
        <v>1048</v>
      </c>
      <c r="B1109" s="1832">
        <f>'Expenditures 15-22'!K36</f>
        <v>352092</v>
      </c>
      <c r="C1109" s="2" t="s">
        <v>569</v>
      </c>
      <c r="D1109" s="2" t="str">
        <f t="shared" si="16"/>
        <v>Error?</v>
      </c>
    </row>
    <row r="1110" spans="1:4" x14ac:dyDescent="0.2">
      <c r="A1110" s="5">
        <v>1049</v>
      </c>
      <c r="B1110" s="1832">
        <f>'Expenditures 15-22'!K37</f>
        <v>9679</v>
      </c>
      <c r="C1110" s="2" t="s">
        <v>569</v>
      </c>
      <c r="D1110" s="2" t="str">
        <f t="shared" si="16"/>
        <v>Error?</v>
      </c>
    </row>
    <row r="1111" spans="1:4" x14ac:dyDescent="0.2">
      <c r="A1111" s="5">
        <v>1050</v>
      </c>
      <c r="B1111" s="1832">
        <f>'Expenditures 15-22'!K38</f>
        <v>511492</v>
      </c>
      <c r="C1111" s="2" t="s">
        <v>569</v>
      </c>
      <c r="D1111" s="2" t="str">
        <f t="shared" si="16"/>
        <v>Error?</v>
      </c>
    </row>
    <row r="1112" spans="1:4" x14ac:dyDescent="0.2">
      <c r="A1112" s="5">
        <v>1051</v>
      </c>
      <c r="B1112" s="1832">
        <f>'Expenditures 15-22'!K39</f>
        <v>191137</v>
      </c>
      <c r="C1112" s="2" t="s">
        <v>569</v>
      </c>
      <c r="D1112" s="2" t="str">
        <f t="shared" si="16"/>
        <v>Error?</v>
      </c>
    </row>
    <row r="1113" spans="1:4" x14ac:dyDescent="0.2">
      <c r="A1113" s="5">
        <v>1052</v>
      </c>
      <c r="B1113" s="1832">
        <f>'Expenditures 15-22'!K40</f>
        <v>444433</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1508833</v>
      </c>
      <c r="C1115" s="2" t="s">
        <v>569</v>
      </c>
      <c r="D1115" s="2" t="str">
        <f t="shared" si="16"/>
        <v>Error?</v>
      </c>
    </row>
    <row r="1116" spans="1:4" x14ac:dyDescent="0.2">
      <c r="A1116" s="5">
        <v>1055</v>
      </c>
      <c r="B1116" s="1832">
        <f>'Expenditures 15-22'!K44</f>
        <v>518520</v>
      </c>
      <c r="C1116" s="2" t="s">
        <v>569</v>
      </c>
      <c r="D1116" s="2" t="str">
        <f t="shared" si="16"/>
        <v>Error?</v>
      </c>
    </row>
    <row r="1117" spans="1:4" x14ac:dyDescent="0.2">
      <c r="A1117" s="5">
        <v>1056</v>
      </c>
      <c r="B1117" s="1832">
        <f>'Expenditures 15-22'!K45</f>
        <v>158382</v>
      </c>
      <c r="C1117" s="2" t="s">
        <v>569</v>
      </c>
      <c r="D1117" s="2" t="str">
        <f t="shared" si="16"/>
        <v>Error?</v>
      </c>
    </row>
    <row r="1118" spans="1:4" x14ac:dyDescent="0.2">
      <c r="A1118" s="5">
        <v>1057</v>
      </c>
      <c r="B1118" s="1832">
        <f>'Expenditures 15-22'!K46</f>
        <v>76748</v>
      </c>
      <c r="C1118" s="2" t="s">
        <v>569</v>
      </c>
      <c r="D1118" s="2" t="str">
        <f t="shared" si="16"/>
        <v>Error?</v>
      </c>
    </row>
    <row r="1119" spans="1:4" x14ac:dyDescent="0.2">
      <c r="A1119" s="5">
        <v>1058</v>
      </c>
      <c r="B1119" s="1832">
        <f>'Expenditures 15-22'!K47</f>
        <v>753650</v>
      </c>
      <c r="C1119" s="2" t="s">
        <v>569</v>
      </c>
      <c r="D1119" s="2" t="str">
        <f t="shared" si="16"/>
        <v>Error?</v>
      </c>
    </row>
    <row r="1120" spans="1:4" x14ac:dyDescent="0.2">
      <c r="A1120" s="5">
        <v>1059</v>
      </c>
      <c r="B1120" s="1832">
        <f>'Expenditures 15-22'!K49</f>
        <v>390111</v>
      </c>
      <c r="C1120" s="2" t="s">
        <v>569</v>
      </c>
      <c r="D1120" s="2" t="str">
        <f t="shared" si="16"/>
        <v>Error?</v>
      </c>
    </row>
    <row r="1121" spans="1:4" x14ac:dyDescent="0.2">
      <c r="A1121" s="5">
        <v>1060</v>
      </c>
      <c r="B1121" s="1832">
        <f>'Expenditures 15-22'!K50</f>
        <v>351786</v>
      </c>
      <c r="C1121" s="2" t="s">
        <v>569</v>
      </c>
      <c r="D1121" s="2" t="str">
        <f t="shared" si="16"/>
        <v>Error?</v>
      </c>
    </row>
    <row r="1122" spans="1:4" x14ac:dyDescent="0.2">
      <c r="A1122" s="5">
        <v>1061</v>
      </c>
      <c r="B1122" s="1832">
        <f>'Expenditures 15-22'!K53</f>
        <v>896567</v>
      </c>
      <c r="C1122" s="2" t="s">
        <v>569</v>
      </c>
      <c r="D1122" s="2" t="str">
        <f t="shared" si="16"/>
        <v>Error?</v>
      </c>
    </row>
    <row r="1123" spans="1:4" x14ac:dyDescent="0.2">
      <c r="A1123" s="5">
        <v>1062</v>
      </c>
      <c r="B1123" s="1832">
        <f>'Expenditures 15-22'!K55</f>
        <v>1242469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1242469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260418</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656984</v>
      </c>
      <c r="C1130" s="2" t="s">
        <v>569</v>
      </c>
      <c r="D1130" s="2" t="str">
        <f t="shared" si="16"/>
        <v>Error?</v>
      </c>
    </row>
    <row r="1131" spans="1:4" x14ac:dyDescent="0.2">
      <c r="A1131" s="5">
        <v>1070</v>
      </c>
      <c r="B1131" s="1832">
        <f>'Expenditures 15-22'!K64</f>
        <v>124505</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1041907</v>
      </c>
      <c r="C1133" s="2" t="s">
        <v>569</v>
      </c>
      <c r="D1133" s="2" t="str">
        <f t="shared" si="16"/>
        <v>Error?</v>
      </c>
    </row>
    <row r="1134" spans="1:4" x14ac:dyDescent="0.2">
      <c r="A1134" s="5">
        <v>1073</v>
      </c>
      <c r="B1134" s="1832">
        <f>'Expenditures 15-22'!K67</f>
        <v>741093</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3056</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744149</v>
      </c>
      <c r="C1141" s="2" t="s">
        <v>569</v>
      </c>
      <c r="D1141" s="2" t="str">
        <f t="shared" si="16"/>
        <v>Error?</v>
      </c>
    </row>
    <row r="1142" spans="1:4" x14ac:dyDescent="0.2">
      <c r="A1142" s="5">
        <v>1081</v>
      </c>
      <c r="B1142" s="1832">
        <f>'Expenditures 15-22'!K73</f>
        <v>1341</v>
      </c>
      <c r="C1142" s="2" t="s">
        <v>569</v>
      </c>
      <c r="D1142" s="2" t="str">
        <f t="shared" si="16"/>
        <v>Error?</v>
      </c>
    </row>
    <row r="1143" spans="1:4" x14ac:dyDescent="0.2">
      <c r="A1143" s="5">
        <v>1082</v>
      </c>
      <c r="B1143" s="1832">
        <f>'Expenditures 15-22'!K74</f>
        <v>6188916</v>
      </c>
      <c r="C1143" s="2" t="s">
        <v>569</v>
      </c>
      <c r="D1143" s="2" t="str">
        <f t="shared" si="16"/>
        <v>Error?</v>
      </c>
    </row>
    <row r="1144" spans="1:4" x14ac:dyDescent="0.2">
      <c r="A1144" s="5">
        <v>1083</v>
      </c>
      <c r="B1144" s="1832">
        <f>'Expenditures 15-22'!K75</f>
        <v>66600</v>
      </c>
      <c r="C1144" s="2" t="s">
        <v>569</v>
      </c>
      <c r="D1144" s="2" t="str">
        <f t="shared" si="16"/>
        <v>Error?</v>
      </c>
    </row>
    <row r="1145" spans="1:4" x14ac:dyDescent="0.2">
      <c r="A1145" s="5">
        <v>1084</v>
      </c>
      <c r="B1145" s="1832">
        <f>'Expenditures 15-22'!K102</f>
        <v>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19726624</v>
      </c>
      <c r="C1152" s="2" t="s">
        <v>569</v>
      </c>
      <c r="D1152" s="2" t="str">
        <f t="shared" si="17"/>
        <v>Error?</v>
      </c>
    </row>
    <row r="1153" spans="1:4" x14ac:dyDescent="0.2">
      <c r="A1153" s="5">
        <v>1092</v>
      </c>
      <c r="B1153" s="1832">
        <f>'Expenditures 15-22'!K115</f>
        <v>421173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686768</v>
      </c>
      <c r="D1221" s="2" t="str">
        <f t="shared" si="18"/>
        <v>Error?</v>
      </c>
    </row>
    <row r="1222" spans="1:4" x14ac:dyDescent="0.2">
      <c r="A1222" s="10">
        <v>1161</v>
      </c>
      <c r="B1222" s="1832"/>
      <c r="D1222" s="2" t="str">
        <f t="shared" si="18"/>
        <v>OK</v>
      </c>
    </row>
    <row r="1223" spans="1:4" x14ac:dyDescent="0.2">
      <c r="A1223" s="5">
        <v>1162</v>
      </c>
      <c r="B1223" s="1832">
        <f>'Expenditures 15-22'!C127</f>
        <v>686768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686768</v>
      </c>
      <c r="C1225" s="2" t="s">
        <v>569</v>
      </c>
      <c r="D1225" s="2" t="str">
        <f t="shared" si="18"/>
        <v>Error?</v>
      </c>
    </row>
    <row r="1226" spans="1:4" x14ac:dyDescent="0.2">
      <c r="A1226" s="5">
        <v>1165</v>
      </c>
      <c r="B1226" s="1832">
        <f>'Expenditures 15-22'!C151</f>
        <v>686768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146149</v>
      </c>
      <c r="D1229" s="2" t="str">
        <f t="shared" si="18"/>
        <v>Error?</v>
      </c>
    </row>
    <row r="1230" spans="1:4" x14ac:dyDescent="0.2">
      <c r="A1230" s="10">
        <v>1169</v>
      </c>
      <c r="B1230" s="1832"/>
      <c r="D1230" s="2" t="str">
        <f t="shared" si="18"/>
        <v>OK</v>
      </c>
    </row>
    <row r="1231" spans="1:4" x14ac:dyDescent="0.2">
      <c r="A1231" s="5">
        <v>1170</v>
      </c>
      <c r="B1231" s="1832">
        <f>'Expenditures 15-22'!D127</f>
        <v>146149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146149</v>
      </c>
      <c r="C1233" s="2" t="s">
        <v>569</v>
      </c>
      <c r="D1233" s="2" t="str">
        <f t="shared" si="18"/>
        <v>Error?</v>
      </c>
    </row>
    <row r="1234" spans="1:4" x14ac:dyDescent="0.2">
      <c r="A1234" s="5">
        <v>1173</v>
      </c>
      <c r="B1234" s="1832">
        <f>'Expenditures 15-22'!D151</f>
        <v>146149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641270</v>
      </c>
      <c r="D1237" s="2" t="str">
        <f t="shared" si="18"/>
        <v>Error?</v>
      </c>
    </row>
    <row r="1238" spans="1:4" x14ac:dyDescent="0.2">
      <c r="A1238" s="10">
        <v>1177</v>
      </c>
      <c r="B1238" s="1832"/>
      <c r="D1238" s="2" t="str">
        <f t="shared" si="18"/>
        <v>OK</v>
      </c>
    </row>
    <row r="1239" spans="1:4" x14ac:dyDescent="0.2">
      <c r="A1239" s="5">
        <v>1178</v>
      </c>
      <c r="B1239" s="1832">
        <f>'Expenditures 15-22'!E127</f>
        <v>641270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641270</v>
      </c>
      <c r="C1241" s="2" t="s">
        <v>569</v>
      </c>
      <c r="D1241" s="2" t="str">
        <f t="shared" si="18"/>
        <v>Error?</v>
      </c>
    </row>
    <row r="1242" spans="1:4" x14ac:dyDescent="0.2">
      <c r="A1242" s="5">
        <v>1181</v>
      </c>
      <c r="B1242" s="1832">
        <f>'Expenditures 15-22'!E151</f>
        <v>641270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544922</v>
      </c>
      <c r="D1245" s="2" t="str">
        <f t="shared" si="18"/>
        <v>Error?</v>
      </c>
    </row>
    <row r="1246" spans="1:4" x14ac:dyDescent="0.2">
      <c r="A1246" s="10">
        <v>1185</v>
      </c>
      <c r="B1246" s="1832"/>
      <c r="D1246" s="2" t="str">
        <f t="shared" si="18"/>
        <v>OK</v>
      </c>
    </row>
    <row r="1247" spans="1:4" x14ac:dyDescent="0.2">
      <c r="A1247" s="5">
        <v>1186</v>
      </c>
      <c r="B1247" s="1832">
        <f>'Expenditures 15-22'!F127</f>
        <v>544922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544922</v>
      </c>
      <c r="C1249" s="2" t="s">
        <v>569</v>
      </c>
      <c r="D1249" s="2" t="str">
        <f t="shared" si="18"/>
        <v>Error?</v>
      </c>
    </row>
    <row r="1250" spans="1:4" x14ac:dyDescent="0.2">
      <c r="A1250" s="5">
        <v>1189</v>
      </c>
      <c r="B1250" s="1832">
        <f>'Expenditures 15-22'!F151</f>
        <v>544922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1138187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1138187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1138187</v>
      </c>
      <c r="C1258" s="2" t="s">
        <v>569</v>
      </c>
      <c r="D1258" s="2" t="str">
        <f t="shared" si="18"/>
        <v>Error?</v>
      </c>
    </row>
    <row r="1259" spans="1:4" x14ac:dyDescent="0.2">
      <c r="A1259" s="5">
        <v>1198</v>
      </c>
      <c r="B1259" s="1832">
        <f>'Expenditures 15-22'!G151</f>
        <v>1138187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3157296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3157296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3157296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3157296</v>
      </c>
      <c r="C1288" s="2" t="s">
        <v>569</v>
      </c>
      <c r="D1288" s="2" t="str">
        <f t="shared" si="19"/>
        <v>Error?</v>
      </c>
    </row>
    <row r="1289" spans="1:4" x14ac:dyDescent="0.2">
      <c r="A1289" s="5">
        <v>1228</v>
      </c>
      <c r="B1289" s="1832">
        <f>'Expenditures 15-22'!K152</f>
        <v>-524836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1275</v>
      </c>
      <c r="D1307" s="2" t="str">
        <f t="shared" si="19"/>
        <v>Error?</v>
      </c>
    </row>
    <row r="1308" spans="1:4" x14ac:dyDescent="0.2">
      <c r="A1308" s="5">
        <v>1247</v>
      </c>
      <c r="B1308" s="1832">
        <f>'Expenditures 15-22'!E172</f>
        <v>1275</v>
      </c>
      <c r="C1308" s="2" t="s">
        <v>569</v>
      </c>
      <c r="D1308" s="2" t="str">
        <f t="shared" si="19"/>
        <v>Error?</v>
      </c>
    </row>
    <row r="1309" spans="1:4" x14ac:dyDescent="0.2">
      <c r="A1309" s="5">
        <v>1248</v>
      </c>
      <c r="B1309" s="1832">
        <f>'Expenditures 15-22'!E174</f>
        <v>1275</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284451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1100000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1384451</v>
      </c>
      <c r="C1317" s="2" t="s">
        <v>569</v>
      </c>
      <c r="D1317" s="2" t="str">
        <f t="shared" si="19"/>
        <v>Error?</v>
      </c>
    </row>
    <row r="1318" spans="1:4" x14ac:dyDescent="0.2">
      <c r="A1318" s="5">
        <v>1257</v>
      </c>
      <c r="B1318" s="1832">
        <f>'Expenditures 15-22'!H174</f>
        <v>1384451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284451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1100000</v>
      </c>
      <c r="C1329" s="2" t="s">
        <v>569</v>
      </c>
      <c r="D1329" s="2" t="str">
        <f t="shared" si="19"/>
        <v>Error?</v>
      </c>
    </row>
    <row r="1330" spans="1:4" x14ac:dyDescent="0.2">
      <c r="A1330" s="5">
        <v>1269</v>
      </c>
      <c r="B1330" s="1832">
        <f>'Expenditures 15-22'!K171</f>
        <v>1275</v>
      </c>
      <c r="C1330" s="2" t="s">
        <v>569</v>
      </c>
      <c r="D1330" s="2" t="str">
        <f t="shared" si="19"/>
        <v>Error?</v>
      </c>
    </row>
    <row r="1331" spans="1:4" x14ac:dyDescent="0.2">
      <c r="A1331" s="5">
        <v>1270</v>
      </c>
      <c r="B1331" s="1832">
        <f>'Expenditures 15-22'!K172</f>
        <v>1385726</v>
      </c>
      <c r="C1331" s="2" t="s">
        <v>569</v>
      </c>
      <c r="D1331" s="2" t="str">
        <f t="shared" si="19"/>
        <v>Error?</v>
      </c>
    </row>
    <row r="1332" spans="1:4" x14ac:dyDescent="0.2">
      <c r="A1332" s="5">
        <v>1271</v>
      </c>
      <c r="B1332" s="1832">
        <f>'Expenditures 15-22'!K174</f>
        <v>1385726</v>
      </c>
      <c r="C1332" s="2" t="s">
        <v>569</v>
      </c>
      <c r="D1332" s="2" t="str">
        <f t="shared" si="19"/>
        <v>Error?</v>
      </c>
    </row>
    <row r="1333" spans="1:4" x14ac:dyDescent="0.2">
      <c r="A1333" s="5">
        <v>1272</v>
      </c>
      <c r="B1333" s="1832">
        <f>'Expenditures 15-22'!K175</f>
        <v>-100852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696542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696542</v>
      </c>
      <c r="C1339" s="2" t="s">
        <v>569</v>
      </c>
      <c r="D1339" s="2" t="str">
        <f t="shared" si="19"/>
        <v>Error?</v>
      </c>
    </row>
    <row r="1340" spans="1:4" x14ac:dyDescent="0.2">
      <c r="A1340" s="5">
        <v>1279</v>
      </c>
      <c r="B1340" s="1832">
        <f>'Expenditures 15-22'!C210</f>
        <v>696542</v>
      </c>
      <c r="C1340" s="2" t="s">
        <v>569</v>
      </c>
      <c r="D1340" s="2" t="str">
        <f t="shared" si="19"/>
        <v>Error?</v>
      </c>
    </row>
    <row r="1341" spans="1:4" x14ac:dyDescent="0.2">
      <c r="A1341" s="5">
        <v>1280</v>
      </c>
      <c r="B1341" s="1832">
        <f>'Expenditures 15-22'!D182</f>
        <v>34686</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34686</v>
      </c>
      <c r="C1345" s="2" t="s">
        <v>569</v>
      </c>
      <c r="D1345" s="2" t="str">
        <f t="shared" si="20"/>
        <v>Error?</v>
      </c>
    </row>
    <row r="1346" spans="1:4" x14ac:dyDescent="0.2">
      <c r="A1346" s="5">
        <v>1285</v>
      </c>
      <c r="B1346" s="1832">
        <f>'Expenditures 15-22'!D210</f>
        <v>34686</v>
      </c>
      <c r="C1346" s="2" t="s">
        <v>569</v>
      </c>
      <c r="D1346" s="2" t="str">
        <f t="shared" si="20"/>
        <v>Error?</v>
      </c>
    </row>
    <row r="1347" spans="1:4" x14ac:dyDescent="0.2">
      <c r="A1347" s="5">
        <v>1286</v>
      </c>
      <c r="B1347" s="1832">
        <f>'Expenditures 15-22'!E182</f>
        <v>75797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75797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75797</v>
      </c>
      <c r="C1353" s="2" t="s">
        <v>569</v>
      </c>
      <c r="D1353" s="2" t="str">
        <f t="shared" si="20"/>
        <v>Error?</v>
      </c>
    </row>
    <row r="1354" spans="1:4" x14ac:dyDescent="0.2">
      <c r="A1354" s="5">
        <v>1293</v>
      </c>
      <c r="B1354" s="1832">
        <f>'Expenditures 15-22'!F182</f>
        <v>218794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218794</v>
      </c>
      <c r="C1358" s="2" t="s">
        <v>569</v>
      </c>
      <c r="D1358" s="2" t="str">
        <f t="shared" si="20"/>
        <v>Error?</v>
      </c>
    </row>
    <row r="1359" spans="1:4" x14ac:dyDescent="0.2">
      <c r="A1359" s="5">
        <v>1298</v>
      </c>
      <c r="B1359" s="1832">
        <f>'Expenditures 15-22'!F210</f>
        <v>218794</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369287</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369287</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369287</v>
      </c>
      <c r="C1376" s="2" t="s">
        <v>569</v>
      </c>
      <c r="D1376" s="2" t="str">
        <f t="shared" si="20"/>
        <v>Error?</v>
      </c>
    </row>
    <row r="1377" spans="1:4" x14ac:dyDescent="0.2">
      <c r="A1377" s="5">
        <v>1316</v>
      </c>
      <c r="B1377" s="1832">
        <f>'Expenditures 15-22'!K182</f>
        <v>1397989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1397989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1397989</v>
      </c>
      <c r="C1388" s="2" t="s">
        <v>569</v>
      </c>
      <c r="D1388" s="2" t="str">
        <f t="shared" si="20"/>
        <v>Error?</v>
      </c>
    </row>
    <row r="1389" spans="1:4" x14ac:dyDescent="0.2">
      <c r="A1389" s="5">
        <v>1328</v>
      </c>
      <c r="B1389" s="1832">
        <f>'Expenditures 15-22'!K211</f>
        <v>105571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733</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2105</v>
      </c>
      <c r="D1408" s="2" t="str">
        <f t="shared" si="21"/>
        <v>Error?</v>
      </c>
    </row>
    <row r="1409" spans="1:4" x14ac:dyDescent="0.2">
      <c r="A1409" s="5">
        <v>1348</v>
      </c>
      <c r="B1409" s="1832">
        <f>'Expenditures 15-22'!D224</f>
        <v>2759</v>
      </c>
      <c r="D1409" s="2" t="str">
        <f t="shared" si="21"/>
        <v>Error?</v>
      </c>
    </row>
    <row r="1410" spans="1:4" x14ac:dyDescent="0.2">
      <c r="A1410" s="5">
        <v>1349</v>
      </c>
      <c r="B1410" s="1832">
        <f>'Expenditures 15-22'!D229</f>
        <v>304101</v>
      </c>
      <c r="C1410" s="2" t="s">
        <v>569</v>
      </c>
      <c r="D1410" s="2" t="str">
        <f t="shared" si="21"/>
        <v>Error?</v>
      </c>
    </row>
    <row r="1411" spans="1:4" x14ac:dyDescent="0.2">
      <c r="A1411" s="5">
        <v>1350</v>
      </c>
      <c r="B1411" s="1832">
        <f>'Expenditures 15-22'!D232</f>
        <v>4096</v>
      </c>
      <c r="D1411" s="2" t="str">
        <f t="shared" si="21"/>
        <v>Error?</v>
      </c>
    </row>
    <row r="1412" spans="1:4" x14ac:dyDescent="0.2">
      <c r="A1412" s="5">
        <v>1351</v>
      </c>
      <c r="B1412" s="1832">
        <f>'Expenditures 15-22'!D233</f>
        <v>11357</v>
      </c>
      <c r="D1412" s="2" t="str">
        <f t="shared" si="21"/>
        <v>Error?</v>
      </c>
    </row>
    <row r="1413" spans="1:4" x14ac:dyDescent="0.2">
      <c r="A1413" s="5">
        <v>1352</v>
      </c>
      <c r="B1413" s="1832">
        <f>'Expenditures 15-22'!D234</f>
        <v>65969</v>
      </c>
      <c r="D1413" s="2" t="str">
        <f t="shared" si="21"/>
        <v>Error?</v>
      </c>
    </row>
    <row r="1414" spans="1:4" x14ac:dyDescent="0.2">
      <c r="A1414" s="5">
        <v>1353</v>
      </c>
      <c r="B1414" s="1832">
        <f>'Expenditures 15-22'!D235</f>
        <v>1949</v>
      </c>
      <c r="D1414" s="2" t="str">
        <f t="shared" si="21"/>
        <v>Error?</v>
      </c>
    </row>
    <row r="1415" spans="1:4" x14ac:dyDescent="0.2">
      <c r="A1415" s="5">
        <v>1354</v>
      </c>
      <c r="B1415" s="1832">
        <f>'Expenditures 15-22'!D236</f>
        <v>4732</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88103</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11029</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11029</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16533</v>
      </c>
      <c r="D1423" s="2" t="str">
        <f t="shared" si="21"/>
        <v>Error?</v>
      </c>
    </row>
    <row r="1424" spans="1:4" x14ac:dyDescent="0.2">
      <c r="A1424" s="5">
        <v>1363</v>
      </c>
      <c r="B1424" s="1832">
        <f>'Expenditures 15-22'!D257</f>
        <v>23173</v>
      </c>
      <c r="C1424" s="2" t="s">
        <v>569</v>
      </c>
      <c r="D1424" s="2" t="str">
        <f t="shared" si="21"/>
        <v>Error?</v>
      </c>
    </row>
    <row r="1425" spans="1:4" x14ac:dyDescent="0.2">
      <c r="A1425" s="5">
        <v>1364</v>
      </c>
      <c r="B1425" s="1832">
        <f>'Expenditures 15-22'!D259</f>
        <v>59327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59327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16336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109076</v>
      </c>
      <c r="D1431" s="2" t="str">
        <f t="shared" si="21"/>
        <v>Error?</v>
      </c>
    </row>
    <row r="1432" spans="1:4" x14ac:dyDescent="0.2">
      <c r="A1432" s="5">
        <v>1371</v>
      </c>
      <c r="B1432" s="1832">
        <f>'Expenditures 15-22'!D267</f>
        <v>109262</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234674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31771</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31771</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448077</v>
      </c>
      <c r="C1446" s="2" t="s">
        <v>569</v>
      </c>
      <c r="D1446" s="2" t="str">
        <f t="shared" si="21"/>
        <v>Error?</v>
      </c>
    </row>
    <row r="1447" spans="1:4" x14ac:dyDescent="0.2">
      <c r="A1447" s="5">
        <v>1386</v>
      </c>
      <c r="B1447" s="1832">
        <f>'Expenditures 15-22'!D280</f>
        <v>1398</v>
      </c>
      <c r="D1447" s="2" t="str">
        <f t="shared" si="21"/>
        <v>Error?</v>
      </c>
    </row>
    <row r="1448" spans="1:4" x14ac:dyDescent="0.2">
      <c r="A1448" s="5">
        <v>1387</v>
      </c>
      <c r="B1448" s="1832">
        <f>'Expenditures 15-22'!D295</f>
        <v>753576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733</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2105</v>
      </c>
      <c r="C1472" s="2" t="s">
        <v>569</v>
      </c>
      <c r="D1472" s="2" t="str">
        <f t="shared" si="22"/>
        <v>Error?</v>
      </c>
    </row>
    <row r="1473" spans="1:4" x14ac:dyDescent="0.2">
      <c r="A1473" s="5">
        <v>1412</v>
      </c>
      <c r="B1473" s="1832">
        <f>'Expenditures 15-22'!K224</f>
        <v>2759</v>
      </c>
      <c r="C1473" s="2" t="s">
        <v>569</v>
      </c>
      <c r="D1473" s="2" t="str">
        <f t="shared" si="22"/>
        <v>Error?</v>
      </c>
    </row>
    <row r="1474" spans="1:4" x14ac:dyDescent="0.2">
      <c r="A1474" s="5">
        <v>1413</v>
      </c>
      <c r="B1474" s="1832">
        <f>'Expenditures 15-22'!K229</f>
        <v>304101</v>
      </c>
      <c r="C1474" s="2" t="s">
        <v>569</v>
      </c>
      <c r="D1474" s="2" t="str">
        <f t="shared" si="22"/>
        <v>Error?</v>
      </c>
    </row>
    <row r="1475" spans="1:4" x14ac:dyDescent="0.2">
      <c r="A1475" s="5">
        <v>1414</v>
      </c>
      <c r="B1475" s="1832">
        <f>'Expenditures 15-22'!K232</f>
        <v>4096</v>
      </c>
      <c r="C1475" s="2" t="s">
        <v>569</v>
      </c>
      <c r="D1475" s="2" t="str">
        <f t="shared" si="22"/>
        <v>Error?</v>
      </c>
    </row>
    <row r="1476" spans="1:4" x14ac:dyDescent="0.2">
      <c r="A1476" s="5">
        <v>1415</v>
      </c>
      <c r="B1476" s="1832">
        <f>'Expenditures 15-22'!K233</f>
        <v>11357</v>
      </c>
      <c r="C1476" s="2" t="s">
        <v>569</v>
      </c>
      <c r="D1476" s="2" t="str">
        <f t="shared" si="22"/>
        <v>Error?</v>
      </c>
    </row>
    <row r="1477" spans="1:4" x14ac:dyDescent="0.2">
      <c r="A1477" s="5">
        <v>1416</v>
      </c>
      <c r="B1477" s="1832">
        <f>'Expenditures 15-22'!K234</f>
        <v>65969</v>
      </c>
      <c r="C1477" s="2" t="s">
        <v>569</v>
      </c>
      <c r="D1477" s="2" t="str">
        <f t="shared" si="22"/>
        <v>Error?</v>
      </c>
    </row>
    <row r="1478" spans="1:4" x14ac:dyDescent="0.2">
      <c r="A1478" s="5">
        <v>1417</v>
      </c>
      <c r="B1478" s="1832">
        <f>'Expenditures 15-22'!K235</f>
        <v>1949</v>
      </c>
      <c r="C1478" s="2" t="s">
        <v>569</v>
      </c>
      <c r="D1478" s="2" t="str">
        <f t="shared" si="22"/>
        <v>Error?</v>
      </c>
    </row>
    <row r="1479" spans="1:4" x14ac:dyDescent="0.2">
      <c r="A1479" s="5">
        <v>1418</v>
      </c>
      <c r="B1479" s="1832">
        <f>'Expenditures 15-22'!K236</f>
        <v>4732</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88103</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11029</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11029</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16533</v>
      </c>
      <c r="C1487" s="2" t="s">
        <v>569</v>
      </c>
      <c r="D1487" s="2" t="str">
        <f t="shared" si="22"/>
        <v>Error?</v>
      </c>
    </row>
    <row r="1488" spans="1:4" x14ac:dyDescent="0.2">
      <c r="A1488" s="5">
        <v>1427</v>
      </c>
      <c r="B1488" s="1832">
        <f>'Expenditures 15-22'!K257</f>
        <v>23173</v>
      </c>
      <c r="C1488" s="2" t="s">
        <v>569</v>
      </c>
      <c r="D1488" s="2" t="str">
        <f t="shared" si="22"/>
        <v>Error?</v>
      </c>
    </row>
    <row r="1489" spans="1:4" x14ac:dyDescent="0.2">
      <c r="A1489" s="5">
        <v>1428</v>
      </c>
      <c r="B1489" s="1832">
        <f>'Expenditures 15-22'!K259</f>
        <v>59327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59327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16336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109076</v>
      </c>
      <c r="C1495" s="2" t="s">
        <v>569</v>
      </c>
      <c r="D1495" s="2" t="str">
        <f t="shared" si="22"/>
        <v>Error?</v>
      </c>
    </row>
    <row r="1496" spans="1:4" x14ac:dyDescent="0.2">
      <c r="A1496" s="5">
        <v>1435</v>
      </c>
      <c r="B1496" s="1832">
        <f>'Expenditures 15-22'!K267</f>
        <v>109262</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234674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31771</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31771</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448077</v>
      </c>
      <c r="C1510" s="2" t="s">
        <v>569</v>
      </c>
      <c r="D1510" s="2" t="str">
        <f t="shared" si="22"/>
        <v>Error?</v>
      </c>
    </row>
    <row r="1511" spans="1:4" x14ac:dyDescent="0.2">
      <c r="A1511" s="5">
        <v>1450</v>
      </c>
      <c r="B1511" s="1832">
        <f>'Expenditures 15-22'!K280</f>
        <v>1398</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753576</v>
      </c>
      <c r="C1517" s="2" t="s">
        <v>569</v>
      </c>
      <c r="D1517" s="2" t="str">
        <f t="shared" si="22"/>
        <v>Error?</v>
      </c>
    </row>
    <row r="1518" spans="1:4" x14ac:dyDescent="0.2">
      <c r="A1518" s="5">
        <v>1457</v>
      </c>
      <c r="B1518" s="1832">
        <f>'Expenditures 15-22'!K296</f>
        <v>28650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6388882</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6388882</v>
      </c>
      <c r="C1547" s="2" t="s">
        <v>569</v>
      </c>
      <c r="D1547" s="2" t="str">
        <f t="shared" si="23"/>
        <v>Error?</v>
      </c>
    </row>
    <row r="1548" spans="1:4" x14ac:dyDescent="0.2">
      <c r="A1548" s="5">
        <v>1487</v>
      </c>
      <c r="B1548" s="1832">
        <f>'Expenditures 15-22'!G312</f>
        <v>6388882</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6388882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6388882</v>
      </c>
      <c r="C1559" s="2" t="s">
        <v>569</v>
      </c>
      <c r="D1559" s="2" t="str">
        <f t="shared" si="23"/>
        <v>Error?</v>
      </c>
    </row>
    <row r="1560" spans="1:4" x14ac:dyDescent="0.2">
      <c r="A1560" s="5">
        <v>1499</v>
      </c>
      <c r="B1560" s="1832">
        <f>'Expenditures 15-22'!K312</f>
        <v>6388882</v>
      </c>
      <c r="C1560" s="2" t="s">
        <v>569</v>
      </c>
      <c r="D1560" s="2" t="str">
        <f t="shared" si="23"/>
        <v>Error?</v>
      </c>
    </row>
    <row r="1561" spans="1:4" x14ac:dyDescent="0.2">
      <c r="A1561" s="5">
        <v>1500</v>
      </c>
      <c r="B1561" s="1832">
        <f>'Expenditures 15-22'!K313</f>
        <v>-6388882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11080304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11501477</v>
      </c>
      <c r="C1630" s="2" t="s">
        <v>569</v>
      </c>
      <c r="D1630" s="2" t="str">
        <f t="shared" si="24"/>
        <v>Error?</v>
      </c>
    </row>
    <row r="1631" spans="1:4" x14ac:dyDescent="0.2">
      <c r="A1631" s="5">
        <v>1570</v>
      </c>
      <c r="B1631" s="1832">
        <f>'Acct Summary 7-8'!D79</f>
        <v>367118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-157718</v>
      </c>
      <c r="C1644" s="2" t="s">
        <v>569</v>
      </c>
      <c r="D1644" s="2" t="str">
        <f t="shared" si="24"/>
        <v>Error?</v>
      </c>
    </row>
    <row r="1645" spans="1:4" x14ac:dyDescent="0.2">
      <c r="A1645" s="5">
        <v>1584</v>
      </c>
      <c r="B1645" s="1832">
        <f>'Acct Summary 7-8'!E79</f>
        <v>864061</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763209</v>
      </c>
      <c r="C1658" s="2" t="s">
        <v>569</v>
      </c>
      <c r="D1658" s="2" t="str">
        <f t="shared" si="24"/>
        <v>Error?</v>
      </c>
    </row>
    <row r="1659" spans="1:4" x14ac:dyDescent="0.2">
      <c r="A1659" s="5">
        <v>1598</v>
      </c>
      <c r="B1659" s="1832">
        <f>'Acct Summary 7-8'!F79</f>
        <v>1709585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1815156</v>
      </c>
      <c r="C1672" s="2" t="s">
        <v>569</v>
      </c>
      <c r="D1672" s="2" t="str">
        <f t="shared" si="25"/>
        <v>Error?</v>
      </c>
    </row>
    <row r="1673" spans="1:4" x14ac:dyDescent="0.2">
      <c r="A1673" s="5">
        <v>1612</v>
      </c>
      <c r="B1673" s="1832">
        <f>'Acct Summary 7-8'!G79</f>
        <v>719487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748137</v>
      </c>
      <c r="C1686" s="2" t="s">
        <v>569</v>
      </c>
      <c r="D1686" s="2" t="str">
        <f t="shared" si="25"/>
        <v>Error?</v>
      </c>
    </row>
    <row r="1687" spans="1:4" x14ac:dyDescent="0.2">
      <c r="A1687" s="5">
        <v>1626</v>
      </c>
      <c r="B1687" s="1832">
        <f>'Acct Summary 7-8'!H79</f>
        <v>5540463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-848419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10196415</v>
      </c>
      <c r="C1744" s="2" t="s">
        <v>569</v>
      </c>
      <c r="D1744" s="2" t="str">
        <f t="shared" si="26"/>
        <v>Error?</v>
      </c>
    </row>
    <row r="1745" spans="1:5" x14ac:dyDescent="0.2">
      <c r="A1745" s="5">
        <v>1684</v>
      </c>
      <c r="B1745" s="1832">
        <f>'Tax Sched 23'!B5</f>
        <v>2134677</v>
      </c>
      <c r="C1745" s="2" t="s">
        <v>569</v>
      </c>
      <c r="D1745" s="2" t="str">
        <f t="shared" si="26"/>
        <v>Error?</v>
      </c>
    </row>
    <row r="1746" spans="1:5" x14ac:dyDescent="0.2">
      <c r="A1746" s="5">
        <v>1685</v>
      </c>
      <c r="B1746" s="1832">
        <f>'Tax Sched 23'!B6</f>
        <v>1282830</v>
      </c>
      <c r="C1746" s="2" t="s">
        <v>569</v>
      </c>
      <c r="D1746" s="2" t="str">
        <f t="shared" si="26"/>
        <v>Error?</v>
      </c>
    </row>
    <row r="1747" spans="1:5" x14ac:dyDescent="0.2">
      <c r="A1747" s="5">
        <v>1686</v>
      </c>
      <c r="B1747" s="1832">
        <f>'Tax Sched 23'!B7</f>
        <v>604233</v>
      </c>
      <c r="C1747" s="2" t="s">
        <v>569</v>
      </c>
      <c r="D1747" s="2" t="str">
        <f t="shared" si="26"/>
        <v>Error?</v>
      </c>
    </row>
    <row r="1748" spans="1:5" x14ac:dyDescent="0.2">
      <c r="A1748" s="5">
        <v>1687</v>
      </c>
      <c r="B1748" s="1832">
        <f>'Tax Sched 23'!B8</f>
        <v>434573</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105919</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15105057</v>
      </c>
      <c r="C1759" s="2" t="s">
        <v>569</v>
      </c>
      <c r="D1759" s="2" t="str">
        <f t="shared" si="26"/>
        <v>Error?</v>
      </c>
    </row>
    <row r="1760" spans="1:5" x14ac:dyDescent="0.2">
      <c r="A1760" s="5">
        <v>1699</v>
      </c>
      <c r="B1760" s="1832">
        <f>'Tax Sched 23'!D4</f>
        <v>-107051</v>
      </c>
      <c r="C1760" s="2" t="s">
        <v>569</v>
      </c>
      <c r="D1760" s="2" t="str">
        <f t="shared" si="26"/>
        <v>Error?</v>
      </c>
    </row>
    <row r="1761" spans="1:7" x14ac:dyDescent="0.2">
      <c r="A1761" s="5">
        <v>1700</v>
      </c>
      <c r="B1761" s="1832">
        <f>'Tax Sched 23'!D5</f>
        <v>-22700</v>
      </c>
      <c r="C1761" s="2" t="s">
        <v>569</v>
      </c>
      <c r="D1761" s="2" t="str">
        <f t="shared" si="26"/>
        <v>Error?</v>
      </c>
    </row>
    <row r="1762" spans="1:7" s="8" customFormat="1" x14ac:dyDescent="0.2">
      <c r="A1762" s="5">
        <v>1701</v>
      </c>
      <c r="B1762" s="1832">
        <f>'Tax Sched 23'!D6</f>
        <v>-12136</v>
      </c>
      <c r="C1762" s="2" t="s">
        <v>569</v>
      </c>
      <c r="D1762" s="2" t="str">
        <f t="shared" si="26"/>
        <v>Error?</v>
      </c>
      <c r="E1762" s="9"/>
      <c r="G1762"/>
    </row>
    <row r="1763" spans="1:7" x14ac:dyDescent="0.2">
      <c r="A1763" s="5">
        <v>1702</v>
      </c>
      <c r="B1763" s="1832">
        <f>'Tax Sched 23'!D7</f>
        <v>-6566</v>
      </c>
      <c r="C1763" s="2" t="s">
        <v>569</v>
      </c>
      <c r="D1763" s="2" t="str">
        <f t="shared" si="26"/>
        <v>Error?</v>
      </c>
    </row>
    <row r="1764" spans="1:7" x14ac:dyDescent="0.2">
      <c r="A1764" s="5">
        <v>1703</v>
      </c>
      <c r="B1764" s="1832">
        <f>'Tax Sched 23'!D8</f>
        <v>-4734</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-1207</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-158170</v>
      </c>
      <c r="C1775" s="2" t="s">
        <v>569</v>
      </c>
      <c r="D1775" s="2" t="str">
        <f t="shared" si="26"/>
        <v>Error?</v>
      </c>
    </row>
    <row r="1776" spans="1:7" x14ac:dyDescent="0.2">
      <c r="A1776" s="5">
        <v>1715</v>
      </c>
      <c r="B1776" s="1832">
        <f>'Tax Sched 23'!C4</f>
        <v>10303466</v>
      </c>
      <c r="D1776" s="2" t="str">
        <f t="shared" si="26"/>
        <v>Error?</v>
      </c>
    </row>
    <row r="1777" spans="1:4" x14ac:dyDescent="0.2">
      <c r="A1777" s="5">
        <v>1716</v>
      </c>
      <c r="B1777" s="1832">
        <f>'Tax Sched 23'!C5</f>
        <v>2157377</v>
      </c>
      <c r="D1777" s="2" t="str">
        <f t="shared" si="26"/>
        <v>Error?</v>
      </c>
    </row>
    <row r="1778" spans="1:4" x14ac:dyDescent="0.2">
      <c r="A1778" s="5">
        <v>1717</v>
      </c>
      <c r="B1778" s="1832">
        <f>'Tax Sched 23'!C6</f>
        <v>1294966</v>
      </c>
      <c r="D1778" s="2" t="str">
        <f t="shared" si="26"/>
        <v>Error?</v>
      </c>
    </row>
    <row r="1779" spans="1:4" x14ac:dyDescent="0.2">
      <c r="A1779" s="5">
        <v>1718</v>
      </c>
      <c r="B1779" s="1832">
        <f>'Tax Sched 23'!C7</f>
        <v>610799</v>
      </c>
      <c r="D1779" s="2" t="str">
        <f t="shared" si="26"/>
        <v>Error?</v>
      </c>
    </row>
    <row r="1780" spans="1:4" x14ac:dyDescent="0.2">
      <c r="A1780" s="5">
        <v>1719</v>
      </c>
      <c r="B1780" s="1832">
        <f>'Tax Sched 23'!C8</f>
        <v>439307</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107126</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15263227</v>
      </c>
      <c r="C1791" s="2" t="s">
        <v>569</v>
      </c>
      <c r="D1791" s="2" t="str">
        <f t="shared" ref="D1791:D1854" si="27">IF(ISBLANK(B1791),"OK",IF(A1791-B1791=0,"OK","Error?"))</f>
        <v>Error?</v>
      </c>
    </row>
    <row r="1792" spans="1:4" x14ac:dyDescent="0.2">
      <c r="A1792" s="5">
        <v>1731</v>
      </c>
      <c r="B1792" s="1832">
        <f>'Tax Sched 23'!F4</f>
        <v>-10303466</v>
      </c>
      <c r="C1792" s="2" t="s">
        <v>569</v>
      </c>
      <c r="D1792" s="2" t="str">
        <f t="shared" si="27"/>
        <v>Error?</v>
      </c>
    </row>
    <row r="1793" spans="1:4" x14ac:dyDescent="0.2">
      <c r="A1793" s="5">
        <v>1732</v>
      </c>
      <c r="B1793" s="1832">
        <f>'Tax Sched 23'!F5</f>
        <v>-2157377</v>
      </c>
      <c r="C1793" s="2" t="s">
        <v>569</v>
      </c>
      <c r="D1793" s="2" t="str">
        <f t="shared" si="27"/>
        <v>Error?</v>
      </c>
    </row>
    <row r="1794" spans="1:4" x14ac:dyDescent="0.2">
      <c r="A1794" s="5">
        <v>1733</v>
      </c>
      <c r="B1794" s="1832">
        <f>'Tax Sched 23'!F6</f>
        <v>-1294966</v>
      </c>
      <c r="C1794" s="2" t="s">
        <v>569</v>
      </c>
      <c r="D1794" s="2" t="str">
        <f t="shared" si="27"/>
        <v>Error?</v>
      </c>
    </row>
    <row r="1795" spans="1:4" x14ac:dyDescent="0.2">
      <c r="A1795" s="5">
        <v>1734</v>
      </c>
      <c r="B1795" s="1832">
        <f>'Tax Sched 23'!F7</f>
        <v>-610799</v>
      </c>
      <c r="C1795" s="2" t="s">
        <v>569</v>
      </c>
      <c r="D1795" s="2" t="str">
        <f t="shared" si="27"/>
        <v>Error?</v>
      </c>
    </row>
    <row r="1796" spans="1:4" x14ac:dyDescent="0.2">
      <c r="A1796" s="5">
        <v>1735</v>
      </c>
      <c r="B1796" s="1832">
        <f>'Tax Sched 23'!F8</f>
        <v>-439307</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-107126</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-15263227</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10890000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1136737</v>
      </c>
      <c r="D2008" s="2" t="str">
        <f t="shared" si="30"/>
        <v>Error?</v>
      </c>
    </row>
    <row r="2009" spans="1:4" x14ac:dyDescent="0.2">
      <c r="A2009" s="5">
        <v>1948</v>
      </c>
      <c r="B2009" s="1832">
        <f>'Cap Outlay Deprec 26'!C8</f>
        <v>39510953</v>
      </c>
      <c r="D2009" s="2" t="str">
        <f t="shared" si="30"/>
        <v>Error?</v>
      </c>
    </row>
    <row r="2010" spans="1:4" x14ac:dyDescent="0.2">
      <c r="A2010" s="5">
        <v>1949</v>
      </c>
      <c r="B2010" s="1832">
        <f>'Cap Outlay Deprec 26'!C10</f>
        <v>2186399</v>
      </c>
      <c r="D2010" s="2" t="str">
        <f t="shared" si="30"/>
        <v>Error?</v>
      </c>
    </row>
    <row r="2011" spans="1:4" x14ac:dyDescent="0.2">
      <c r="A2011" s="5">
        <v>1950</v>
      </c>
      <c r="B2011" s="1832">
        <f>'Cap Outlay Deprec 26'!C12</f>
        <v>7987206</v>
      </c>
      <c r="D2011" s="2" t="str">
        <f t="shared" si="30"/>
        <v>Error?</v>
      </c>
    </row>
    <row r="2012" spans="1:4" x14ac:dyDescent="0.2">
      <c r="A2012" s="5">
        <v>1951</v>
      </c>
      <c r="B2012" s="1832">
        <f>'Cap Outlay Deprec 26'!C13</f>
        <v>3058483</v>
      </c>
      <c r="D2012" s="2" t="str">
        <f t="shared" si="30"/>
        <v>Error?</v>
      </c>
    </row>
    <row r="2013" spans="1:4" x14ac:dyDescent="0.2">
      <c r="A2013" s="5">
        <v>1952</v>
      </c>
      <c r="B2013" s="1832">
        <f>'Cap Outlay Deprec 26'!C16</f>
        <v>53879778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5935915</v>
      </c>
      <c r="D2015" s="2" t="str">
        <f t="shared" si="30"/>
        <v>Error?</v>
      </c>
    </row>
    <row r="2016" spans="1:4" x14ac:dyDescent="0.2">
      <c r="A2016" s="5">
        <v>1955</v>
      </c>
      <c r="B2016" s="1832">
        <f>'Cap Outlay Deprec 26'!D10</f>
        <v>1441682</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7377597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36901</v>
      </c>
      <c r="D2023" s="2" t="str">
        <f t="shared" si="30"/>
        <v>Error?</v>
      </c>
    </row>
    <row r="2024" spans="1:4" x14ac:dyDescent="0.2">
      <c r="A2024" s="5">
        <v>1963</v>
      </c>
      <c r="B2024" s="1832">
        <f>'Cap Outlay Deprec 26'!E13</f>
        <v>1939464</v>
      </c>
      <c r="D2024" s="2" t="str">
        <f t="shared" si="30"/>
        <v>Error?</v>
      </c>
    </row>
    <row r="2025" spans="1:4" x14ac:dyDescent="0.2">
      <c r="A2025" s="5">
        <v>1964</v>
      </c>
      <c r="B2025" s="1832">
        <f>'Cap Outlay Deprec 26'!E16</f>
        <v>1976365</v>
      </c>
      <c r="C2025" s="2" t="s">
        <v>569</v>
      </c>
      <c r="D2025" s="2" t="str">
        <f t="shared" si="30"/>
        <v>Error?</v>
      </c>
    </row>
    <row r="2026" spans="1:4" x14ac:dyDescent="0.2">
      <c r="A2026" s="5">
        <v>1965</v>
      </c>
      <c r="B2026" s="1832">
        <f>'Cap Outlay Deprec 26'!F5</f>
        <v>1136737</v>
      </c>
      <c r="C2026" s="2" t="s">
        <v>569</v>
      </c>
      <c r="D2026" s="2" t="str">
        <f t="shared" si="30"/>
        <v>Error?</v>
      </c>
    </row>
    <row r="2027" spans="1:4" x14ac:dyDescent="0.2">
      <c r="A2027" s="5">
        <v>1966</v>
      </c>
      <c r="B2027" s="1832">
        <f>'Cap Outlay Deprec 26'!F8</f>
        <v>45446868</v>
      </c>
      <c r="C2027" s="2" t="s">
        <v>569</v>
      </c>
      <c r="D2027" s="2" t="str">
        <f t="shared" si="30"/>
        <v>Error?</v>
      </c>
    </row>
    <row r="2028" spans="1:4" x14ac:dyDescent="0.2">
      <c r="A2028" s="5">
        <v>1967</v>
      </c>
      <c r="B2028" s="1832">
        <f>'Cap Outlay Deprec 26'!F10</f>
        <v>3628081</v>
      </c>
      <c r="C2028" s="2" t="s">
        <v>569</v>
      </c>
      <c r="D2028" s="2" t="str">
        <f t="shared" si="30"/>
        <v>Error?</v>
      </c>
    </row>
    <row r="2029" spans="1:4" x14ac:dyDescent="0.2">
      <c r="A2029" s="5">
        <v>1968</v>
      </c>
      <c r="B2029" s="1832">
        <f>'Cap Outlay Deprec 26'!F12</f>
        <v>7950305</v>
      </c>
      <c r="C2029" s="2" t="s">
        <v>569</v>
      </c>
      <c r="D2029" s="2" t="str">
        <f t="shared" si="30"/>
        <v>Error?</v>
      </c>
    </row>
    <row r="2030" spans="1:4" x14ac:dyDescent="0.2">
      <c r="A2030" s="5">
        <v>1969</v>
      </c>
      <c r="B2030" s="1832">
        <f>'Cap Outlay Deprec 26'!F13</f>
        <v>1119019</v>
      </c>
      <c r="C2030" s="2" t="s">
        <v>569</v>
      </c>
      <c r="D2030" s="2" t="str">
        <f t="shared" si="30"/>
        <v>Error?</v>
      </c>
    </row>
    <row r="2031" spans="1:4" x14ac:dyDescent="0.2">
      <c r="A2031" s="5">
        <v>1970</v>
      </c>
      <c r="B2031" s="1832">
        <f>'Cap Outlay Deprec 26'!F16</f>
        <v>59281010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18795645</v>
      </c>
      <c r="D2033" s="2" t="str">
        <f t="shared" si="30"/>
        <v>Error?</v>
      </c>
    </row>
    <row r="2034" spans="1:4" x14ac:dyDescent="0.2">
      <c r="A2034" s="5">
        <v>1973</v>
      </c>
      <c r="B2034" s="1832">
        <f>'Cap Outlay Deprec 26'!H10</f>
        <v>320360</v>
      </c>
      <c r="D2034" s="2" t="str">
        <f t="shared" si="30"/>
        <v>Error?</v>
      </c>
    </row>
    <row r="2035" spans="1:4" x14ac:dyDescent="0.2">
      <c r="A2035" s="5">
        <v>1974</v>
      </c>
      <c r="B2035" s="1832">
        <f>'Cap Outlay Deprec 26'!H12</f>
        <v>7156351</v>
      </c>
      <c r="D2035" s="2" t="str">
        <f t="shared" si="30"/>
        <v>Error?</v>
      </c>
    </row>
    <row r="2036" spans="1:4" x14ac:dyDescent="0.2">
      <c r="A2036" s="5">
        <v>1975</v>
      </c>
      <c r="B2036" s="1832">
        <f>'Cap Outlay Deprec 26'!H13</f>
        <v>3022288</v>
      </c>
      <c r="D2036" s="2" t="str">
        <f t="shared" si="30"/>
        <v>Error?</v>
      </c>
    </row>
    <row r="2037" spans="1:4" x14ac:dyDescent="0.2">
      <c r="A2037" s="5">
        <v>1976</v>
      </c>
      <c r="B2037" s="1832">
        <f>'Cap Outlay Deprec 26'!H16</f>
        <v>29294644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1023418</v>
      </c>
      <c r="D2039" s="2" t="str">
        <f t="shared" si="30"/>
        <v>Error?</v>
      </c>
    </row>
    <row r="2040" spans="1:4" x14ac:dyDescent="0.2">
      <c r="A2040" s="5">
        <v>1979</v>
      </c>
      <c r="B2040" s="1832">
        <f>'Cap Outlay Deprec 26'!I10</f>
        <v>124160</v>
      </c>
      <c r="D2040" s="2" t="str">
        <f t="shared" si="30"/>
        <v>Error?</v>
      </c>
    </row>
    <row r="2041" spans="1:4" x14ac:dyDescent="0.2">
      <c r="A2041" s="5">
        <v>1980</v>
      </c>
      <c r="B2041" s="1832">
        <f>'Cap Outlay Deprec 26'!I12</f>
        <v>259795</v>
      </c>
      <c r="D2041" s="2" t="str">
        <f t="shared" si="30"/>
        <v>Error?</v>
      </c>
    </row>
    <row r="2042" spans="1:4" x14ac:dyDescent="0.2">
      <c r="A2042" s="5">
        <v>1981</v>
      </c>
      <c r="B2042" s="1832">
        <f>'Cap Outlay Deprec 26'!I13</f>
        <v>32062</v>
      </c>
      <c r="D2042" s="2" t="str">
        <f t="shared" si="30"/>
        <v>Error?</v>
      </c>
    </row>
    <row r="2043" spans="1:4" x14ac:dyDescent="0.2">
      <c r="A2043" s="5">
        <v>1982</v>
      </c>
      <c r="B2043" s="1832">
        <f>'Cap Outlay Deprec 26'!I16</f>
        <v>1439435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2017137</v>
      </c>
      <c r="D2048" s="2" t="str">
        <f t="shared" si="31"/>
        <v>Error?</v>
      </c>
    </row>
    <row r="2049" spans="1:4" x14ac:dyDescent="0.2">
      <c r="A2049" s="5">
        <v>1988</v>
      </c>
      <c r="B2049" s="1832">
        <f>'Cap Outlay Deprec 26'!J16</f>
        <v>2017137</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19819063</v>
      </c>
      <c r="C2051" s="2" t="s">
        <v>569</v>
      </c>
      <c r="D2051" s="2" t="str">
        <f t="shared" si="31"/>
        <v>Error?</v>
      </c>
    </row>
    <row r="2052" spans="1:4" x14ac:dyDescent="0.2">
      <c r="A2052" s="5">
        <v>1991</v>
      </c>
      <c r="B2052" s="1832">
        <f>'Cap Outlay Deprec 26'!K10</f>
        <v>444520</v>
      </c>
      <c r="C2052" s="2" t="s">
        <v>569</v>
      </c>
      <c r="D2052" s="2" t="str">
        <f t="shared" si="31"/>
        <v>Error?</v>
      </c>
    </row>
    <row r="2053" spans="1:4" x14ac:dyDescent="0.2">
      <c r="A2053" s="5">
        <v>1992</v>
      </c>
      <c r="B2053" s="1832">
        <f>'Cap Outlay Deprec 26'!K12</f>
        <v>7416146</v>
      </c>
      <c r="C2053" s="2" t="s">
        <v>569</v>
      </c>
      <c r="D2053" s="2" t="str">
        <f t="shared" si="31"/>
        <v>Error?</v>
      </c>
    </row>
    <row r="2054" spans="1:4" x14ac:dyDescent="0.2">
      <c r="A2054" s="5">
        <v>1993</v>
      </c>
      <c r="B2054" s="1832">
        <f>'Cap Outlay Deprec 26'!K13</f>
        <v>1037213</v>
      </c>
      <c r="C2054" s="2" t="s">
        <v>569</v>
      </c>
      <c r="D2054" s="2" t="str">
        <f t="shared" si="31"/>
        <v>Error?</v>
      </c>
    </row>
    <row r="2055" spans="1:4" x14ac:dyDescent="0.2">
      <c r="A2055" s="5">
        <v>1994</v>
      </c>
      <c r="B2055" s="1832">
        <f>'Cap Outlay Deprec 26'!K16</f>
        <v>28716942</v>
      </c>
      <c r="C2055" s="2" t="s">
        <v>569</v>
      </c>
      <c r="D2055" s="2" t="str">
        <f t="shared" si="31"/>
        <v>Error?</v>
      </c>
    </row>
    <row r="2056" spans="1:4" x14ac:dyDescent="0.2">
      <c r="A2056" s="5">
        <v>1995</v>
      </c>
      <c r="B2056" s="1832">
        <f>'Cap Outlay Deprec 26'!L5</f>
        <v>1136737</v>
      </c>
      <c r="C2056" s="2" t="s">
        <v>569</v>
      </c>
      <c r="D2056" s="2" t="str">
        <f t="shared" si="31"/>
        <v>Error?</v>
      </c>
    </row>
    <row r="2057" spans="1:4" x14ac:dyDescent="0.2">
      <c r="A2057" s="5">
        <v>1996</v>
      </c>
      <c r="B2057" s="1832">
        <f>'Cap Outlay Deprec 26'!L8</f>
        <v>25627805</v>
      </c>
      <c r="C2057" s="2" t="s">
        <v>569</v>
      </c>
      <c r="D2057" s="2" t="str">
        <f t="shared" si="31"/>
        <v>Error?</v>
      </c>
    </row>
    <row r="2058" spans="1:4" x14ac:dyDescent="0.2">
      <c r="A2058" s="5">
        <v>1997</v>
      </c>
      <c r="B2058" s="1832">
        <f>'Cap Outlay Deprec 26'!L10</f>
        <v>3183561</v>
      </c>
      <c r="C2058" s="2" t="s">
        <v>569</v>
      </c>
      <c r="D2058" s="2" t="str">
        <f t="shared" si="31"/>
        <v>Error?</v>
      </c>
    </row>
    <row r="2059" spans="1:4" x14ac:dyDescent="0.2">
      <c r="A2059" s="5">
        <v>1998</v>
      </c>
      <c r="B2059" s="1832">
        <f>'Cap Outlay Deprec 26'!L12</f>
        <v>534159</v>
      </c>
      <c r="C2059" s="2" t="s">
        <v>569</v>
      </c>
      <c r="D2059" s="2" t="str">
        <f t="shared" si="31"/>
        <v>Error?</v>
      </c>
    </row>
    <row r="2060" spans="1:4" x14ac:dyDescent="0.2">
      <c r="A2060" s="5">
        <v>1999</v>
      </c>
      <c r="B2060" s="1832">
        <f>'Cap Outlay Deprec 26'!L13</f>
        <v>81806</v>
      </c>
      <c r="C2060" s="2" t="s">
        <v>569</v>
      </c>
      <c r="D2060" s="2" t="str">
        <f t="shared" si="31"/>
        <v>Error?</v>
      </c>
    </row>
    <row r="2061" spans="1:4" x14ac:dyDescent="0.2">
      <c r="A2061" s="5">
        <v>2000</v>
      </c>
      <c r="B2061" s="1832">
        <f>'Cap Outlay Deprec 26'!L16</f>
        <v>30564068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143839</v>
      </c>
      <c r="D2435" s="2" t="str">
        <f t="shared" si="37"/>
        <v>Error?</v>
      </c>
    </row>
    <row r="2436" spans="1:4" x14ac:dyDescent="0.2">
      <c r="A2436" s="10">
        <v>2375</v>
      </c>
      <c r="B2436" s="1832"/>
      <c r="D2436" s="2" t="str">
        <f t="shared" si="37"/>
        <v>OK</v>
      </c>
    </row>
    <row r="2437" spans="1:4" x14ac:dyDescent="0.2">
      <c r="A2437" s="5">
        <v>2376</v>
      </c>
      <c r="B2437" s="1832">
        <f>'Assets-Liab 5-6'!D38</f>
        <v>50312</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1815156</v>
      </c>
      <c r="D2475" s="2" t="str">
        <f t="shared" si="37"/>
        <v>Error?</v>
      </c>
    </row>
    <row r="2476" spans="1:4" x14ac:dyDescent="0.2">
      <c r="A2476" s="10">
        <v>2415</v>
      </c>
      <c r="B2476" s="1832"/>
      <c r="D2476" s="2" t="str">
        <f t="shared" si="37"/>
        <v>OK</v>
      </c>
    </row>
    <row r="2477" spans="1:4" x14ac:dyDescent="0.2">
      <c r="A2477" s="5">
        <v>2416</v>
      </c>
      <c r="B2477" s="1832">
        <f>'Assets-Liab 5-6'!G38</f>
        <v>748137</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763209</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-848419</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10780278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7378129</v>
      </c>
      <c r="C2553" s="2" t="s">
        <v>569</v>
      </c>
      <c r="D2553" s="2" t="str">
        <f t="shared" si="38"/>
        <v>Error?</v>
      </c>
    </row>
    <row r="2554" spans="1:4" x14ac:dyDescent="0.2">
      <c r="A2554" s="5">
        <v>2493</v>
      </c>
      <c r="B2554" s="1832">
        <f>'Acct Summary 7-8'!C7</f>
        <v>1989390</v>
      </c>
      <c r="C2554" s="2" t="s">
        <v>569</v>
      </c>
      <c r="D2554" s="2" t="str">
        <f t="shared" si="38"/>
        <v>Error?</v>
      </c>
    </row>
    <row r="2555" spans="1:4" x14ac:dyDescent="0.2">
      <c r="A2555" s="5">
        <v>2494</v>
      </c>
      <c r="B2555" s="1832">
        <f>'Acct Summary 7-8'!C8</f>
        <v>20147797</v>
      </c>
      <c r="C2555" s="2" t="s">
        <v>569</v>
      </c>
      <c r="D2555" s="2" t="str">
        <f t="shared" si="38"/>
        <v>Error?</v>
      </c>
    </row>
    <row r="2556" spans="1:4" x14ac:dyDescent="0.2">
      <c r="A2556" s="5">
        <v>2495</v>
      </c>
      <c r="B2556" s="1832">
        <f>'Acct Summary 7-8'!C12</f>
        <v>13471108</v>
      </c>
      <c r="C2556" s="2" t="s">
        <v>569</v>
      </c>
      <c r="D2556" s="2" t="str">
        <f t="shared" si="38"/>
        <v>Error?</v>
      </c>
    </row>
    <row r="2557" spans="1:4" x14ac:dyDescent="0.2">
      <c r="A2557" s="5">
        <v>2496</v>
      </c>
      <c r="B2557" s="1832">
        <f>'Acct Summary 7-8'!C13</f>
        <v>6188916</v>
      </c>
      <c r="C2557" s="2" t="s">
        <v>569</v>
      </c>
      <c r="D2557" s="2" t="str">
        <f t="shared" si="38"/>
        <v>Error?</v>
      </c>
    </row>
    <row r="2558" spans="1:4" x14ac:dyDescent="0.2">
      <c r="A2558" s="5">
        <v>2497</v>
      </c>
      <c r="B2558" s="1832">
        <f>'Acct Summary 7-8'!C14</f>
        <v>66600</v>
      </c>
      <c r="C2558" s="2" t="s">
        <v>569</v>
      </c>
      <c r="D2558" s="2" t="str">
        <f t="shared" si="38"/>
        <v>Error?</v>
      </c>
    </row>
    <row r="2559" spans="1:4" x14ac:dyDescent="0.2">
      <c r="A2559" s="5">
        <v>2498</v>
      </c>
      <c r="B2559" s="1832">
        <f>'Acct Summary 7-8'!C15</f>
        <v>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19726624</v>
      </c>
      <c r="C2561" s="2" t="s">
        <v>569</v>
      </c>
      <c r="D2561" s="2" t="str">
        <f t="shared" si="39"/>
        <v>Error?</v>
      </c>
    </row>
    <row r="2562" spans="1:4" x14ac:dyDescent="0.2">
      <c r="A2562" s="5">
        <v>2501</v>
      </c>
      <c r="B2562" s="1832">
        <f>'Acct Summary 7-8'!C20</f>
        <v>421173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2632460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2632460</v>
      </c>
      <c r="C2568" s="2" t="s">
        <v>569</v>
      </c>
      <c r="D2568" s="2" t="str">
        <f t="shared" si="39"/>
        <v>Error?</v>
      </c>
    </row>
    <row r="2569" spans="1:4" x14ac:dyDescent="0.2">
      <c r="A2569" s="5">
        <v>2508</v>
      </c>
      <c r="B2569" s="1832">
        <f>'Acct Summary 7-8'!D13</f>
        <v>3157296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3157296</v>
      </c>
      <c r="C2573" s="2" t="s">
        <v>569</v>
      </c>
      <c r="D2573" s="2" t="str">
        <f t="shared" si="39"/>
        <v>Error?</v>
      </c>
    </row>
    <row r="2574" spans="1:4" x14ac:dyDescent="0.2">
      <c r="A2574" s="5">
        <v>2513</v>
      </c>
      <c r="B2574" s="1832">
        <f>'Acct Summary 7-8'!D20</f>
        <v>-524836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700768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802792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1503560</v>
      </c>
      <c r="C2595" s="2" t="s">
        <v>569</v>
      </c>
      <c r="D2595" s="2" t="str">
        <f t="shared" si="39"/>
        <v>Error?</v>
      </c>
    </row>
    <row r="2596" spans="1:4" x14ac:dyDescent="0.2">
      <c r="A2596" s="5">
        <v>2535</v>
      </c>
      <c r="B2596" s="1832">
        <f>'Acct Summary 7-8'!F13</f>
        <v>1397989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1397989</v>
      </c>
      <c r="C2600" s="2" t="s">
        <v>569</v>
      </c>
      <c r="D2600" s="2" t="str">
        <f t="shared" si="39"/>
        <v>Error?</v>
      </c>
    </row>
    <row r="2601" spans="1:4" x14ac:dyDescent="0.2">
      <c r="A2601" s="5">
        <v>2540</v>
      </c>
      <c r="B2601" s="1832">
        <f>'Acct Summary 7-8'!F20</f>
        <v>105571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782226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782226</v>
      </c>
      <c r="C2606" s="2" t="s">
        <v>569</v>
      </c>
      <c r="D2606" s="2" t="str">
        <f t="shared" si="39"/>
        <v>Error?</v>
      </c>
    </row>
    <row r="2607" spans="1:4" x14ac:dyDescent="0.2">
      <c r="A2607" s="5">
        <v>2546</v>
      </c>
      <c r="B2607" s="1832">
        <f>'Acct Summary 7-8'!G12</f>
        <v>304101</v>
      </c>
      <c r="C2607" s="2" t="s">
        <v>569</v>
      </c>
      <c r="D2607" s="2" t="str">
        <f t="shared" si="39"/>
        <v>Error?</v>
      </c>
    </row>
    <row r="2608" spans="1:4" x14ac:dyDescent="0.2">
      <c r="A2608" s="5">
        <v>2547</v>
      </c>
      <c r="B2608" s="1832">
        <f>'Acct Summary 7-8'!G13</f>
        <v>448077</v>
      </c>
      <c r="C2608" s="2" t="s">
        <v>569</v>
      </c>
      <c r="D2608" s="2" t="str">
        <f t="shared" si="39"/>
        <v>Error?</v>
      </c>
    </row>
    <row r="2609" spans="1:4" x14ac:dyDescent="0.2">
      <c r="A2609" s="5">
        <v>2548</v>
      </c>
      <c r="B2609" s="1832">
        <f>'Acct Summary 7-8'!G14</f>
        <v>1398</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753576</v>
      </c>
      <c r="C2612" s="2" t="s">
        <v>569</v>
      </c>
      <c r="D2612" s="2" t="str">
        <f t="shared" si="39"/>
        <v>Error?</v>
      </c>
    </row>
    <row r="2613" spans="1:4" x14ac:dyDescent="0.2">
      <c r="A2613" s="5">
        <v>2552</v>
      </c>
      <c r="B2613" s="1832">
        <f>'Acct Summary 7-8'!G20</f>
        <v>28650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1284874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1284874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1385726</v>
      </c>
      <c r="C2634" s="2" t="s">
        <v>569</v>
      </c>
      <c r="D2634" s="2" t="str">
        <f t="shared" si="40"/>
        <v>Error?</v>
      </c>
    </row>
    <row r="2635" spans="1:4" x14ac:dyDescent="0.2">
      <c r="A2635" s="5">
        <v>2574</v>
      </c>
      <c r="B2635" s="1832">
        <f>'Acct Summary 7-8'!E17</f>
        <v>1385726</v>
      </c>
      <c r="C2635" s="2" t="s">
        <v>569</v>
      </c>
      <c r="D2635" s="2" t="str">
        <f t="shared" si="40"/>
        <v>Error?</v>
      </c>
    </row>
    <row r="2636" spans="1:4" x14ac:dyDescent="0.2">
      <c r="A2636" s="5">
        <v>2575</v>
      </c>
      <c r="B2636" s="1832">
        <f>'Acct Summary 7-8'!E20</f>
        <v>-100852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6388882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6388882</v>
      </c>
      <c r="C2661" s="2" t="s">
        <v>569</v>
      </c>
      <c r="D2661" s="2" t="str">
        <f t="shared" si="40"/>
        <v>Error?</v>
      </c>
    </row>
    <row r="2662" spans="1:4" x14ac:dyDescent="0.2">
      <c r="A2662" s="5">
        <v>2601</v>
      </c>
      <c r="B2662" s="1832">
        <f>'Acct Summary 7-8'!H20</f>
        <v>-6388882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124988</v>
      </c>
      <c r="D2718" s="2" t="str">
        <f t="shared" si="41"/>
        <v>Error?</v>
      </c>
    </row>
    <row r="2719" spans="1:4" x14ac:dyDescent="0.2">
      <c r="A2719" s="5">
        <v>2658</v>
      </c>
      <c r="B2719" s="1832">
        <f>'Expenditures 15-22'!D51</f>
        <v>14756</v>
      </c>
      <c r="D2719" s="2" t="str">
        <f t="shared" si="41"/>
        <v>Error?</v>
      </c>
    </row>
    <row r="2720" spans="1:4" x14ac:dyDescent="0.2">
      <c r="A2720" s="5">
        <v>2659</v>
      </c>
      <c r="B2720" s="1832">
        <f>'Expenditures 15-22'!E51</f>
        <v>13300</v>
      </c>
      <c r="D2720" s="2" t="str">
        <f t="shared" si="41"/>
        <v>Error?</v>
      </c>
    </row>
    <row r="2721" spans="1:4" x14ac:dyDescent="0.2">
      <c r="A2721" s="5">
        <v>2660</v>
      </c>
      <c r="B2721" s="1832">
        <f>'Expenditures 15-22'!F51</f>
        <v>1626</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154670</v>
      </c>
      <c r="C2724" s="2" t="s">
        <v>569</v>
      </c>
      <c r="D2724" s="2" t="str">
        <f t="shared" si="41"/>
        <v>Error?</v>
      </c>
    </row>
    <row r="2725" spans="1:4" x14ac:dyDescent="0.2">
      <c r="A2725" s="5">
        <v>2664</v>
      </c>
      <c r="B2725" s="1832">
        <f>'Expenditures 15-22'!D247</f>
        <v>6640</v>
      </c>
      <c r="D2725" s="2" t="str">
        <f t="shared" si="41"/>
        <v>Error?</v>
      </c>
    </row>
    <row r="2726" spans="1:4" x14ac:dyDescent="0.2">
      <c r="A2726" s="5">
        <v>2665</v>
      </c>
      <c r="B2726" s="1832">
        <f>'Expenditures 15-22'!K247</f>
        <v>6640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318417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1553421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318417</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318417</v>
      </c>
      <c r="C2913" s="2" t="s">
        <v>569</v>
      </c>
      <c r="D2913" s="2" t="str">
        <f t="shared" si="44"/>
        <v>Error?</v>
      </c>
    </row>
    <row r="2914" spans="1:4" x14ac:dyDescent="0.2">
      <c r="A2914" s="5">
        <v>2853</v>
      </c>
      <c r="B2914" s="1832">
        <f>'Assets-Liab 5-6'!L33</f>
        <v>1553421</v>
      </c>
      <c r="D2914" s="2" t="str">
        <f t="shared" si="44"/>
        <v>Error?</v>
      </c>
    </row>
    <row r="2915" spans="1:4" x14ac:dyDescent="0.2">
      <c r="A2915" s="10">
        <v>2854</v>
      </c>
      <c r="B2915" s="1832"/>
      <c r="D2915" s="2" t="str">
        <f t="shared" si="44"/>
        <v>OK</v>
      </c>
    </row>
    <row r="2916" spans="1:4" x14ac:dyDescent="0.2">
      <c r="A2916" s="5">
        <v>2855</v>
      </c>
      <c r="B2916" s="1832">
        <f>'Assets-Liab 5-6'!L34</f>
        <v>1553421</v>
      </c>
      <c r="C2916" s="2" t="s">
        <v>569</v>
      </c>
      <c r="D2916" s="2" t="str">
        <f t="shared" si="44"/>
        <v>Error?</v>
      </c>
    </row>
    <row r="2917" spans="1:4" x14ac:dyDescent="0.2">
      <c r="A2917" s="5">
        <v>2856</v>
      </c>
      <c r="B2917" s="1832">
        <f>'Assets-Liab 5-6'!L41</f>
        <v>1553421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158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158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421173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-524836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105571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28650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-100852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-6388882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318417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318417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2358373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732844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99283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16379</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2756</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3209635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142642</v>
      </c>
      <c r="D3387" s="2" t="str">
        <f t="shared" si="51"/>
        <v>Error?</v>
      </c>
    </row>
    <row r="3388" spans="1:4" x14ac:dyDescent="0.2">
      <c r="A3388" s="5">
        <v>3327</v>
      </c>
      <c r="B3388" s="1832">
        <f>'Expenditures 15-22'!D217</f>
        <v>155862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142642</v>
      </c>
      <c r="C3390" s="2" t="s">
        <v>569</v>
      </c>
      <c r="D3390" s="2" t="str">
        <f t="shared" si="51"/>
        <v>Error?</v>
      </c>
    </row>
    <row r="3391" spans="1:4" x14ac:dyDescent="0.2">
      <c r="A3391" s="5">
        <v>3330</v>
      </c>
      <c r="B3391" s="1832">
        <f>'Expenditures 15-22'!K217</f>
        <v>155862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8971042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115726</v>
      </c>
      <c r="D3417" s="2" t="str">
        <f t="shared" si="52"/>
        <v>Error?</v>
      </c>
    </row>
    <row r="3418" spans="1:4" x14ac:dyDescent="0.2">
      <c r="A3418" s="10">
        <v>3357</v>
      </c>
      <c r="B3418" s="1832"/>
      <c r="D3418" s="2" t="str">
        <f t="shared" si="52"/>
        <v>OK</v>
      </c>
    </row>
    <row r="3419" spans="1:4" x14ac:dyDescent="0.2">
      <c r="A3419" s="5">
        <v>3358</v>
      </c>
      <c r="B3419" s="1832">
        <f>'Assets-Liab 5-6'!F4</f>
        <v>478282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409363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318417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1553421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346410</v>
      </c>
      <c r="C3446" s="2" t="s">
        <v>569</v>
      </c>
      <c r="D3446" s="2" t="str">
        <f t="shared" si="52"/>
        <v>Error?</v>
      </c>
    </row>
    <row r="3447" spans="1:4" x14ac:dyDescent="0.2">
      <c r="A3447" s="5">
        <v>3386</v>
      </c>
      <c r="B3447" s="1832">
        <f>'Tax Sched 23'!D16</f>
        <v>-3776</v>
      </c>
      <c r="C3447" s="2" t="s">
        <v>569</v>
      </c>
      <c r="D3447" s="2" t="str">
        <f t="shared" si="52"/>
        <v>Error?</v>
      </c>
    </row>
    <row r="3448" spans="1:4" x14ac:dyDescent="0.2">
      <c r="A3448" s="5">
        <v>3387</v>
      </c>
      <c r="B3448" s="1832">
        <f>'Tax Sched 23'!C16</f>
        <v>350186</v>
      </c>
      <c r="D3448" s="2" t="str">
        <f t="shared" si="52"/>
        <v>Error?</v>
      </c>
    </row>
    <row r="3449" spans="1:4" x14ac:dyDescent="0.2">
      <c r="A3449" s="5">
        <v>3388</v>
      </c>
      <c r="B3449" s="1832">
        <f>'Tax Sched 23'!F16</f>
        <v>-350186</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23289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23289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23289</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23289</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23289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23289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8381598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28529395</v>
      </c>
      <c r="C4122" s="2" t="s">
        <v>569</v>
      </c>
      <c r="D4122" s="2" t="str">
        <f t="shared" si="63"/>
        <v>Error?</v>
      </c>
    </row>
    <row r="4123" spans="1:4" x14ac:dyDescent="0.2">
      <c r="A4123" s="5">
        <v>4062</v>
      </c>
      <c r="B4123" s="1832">
        <f>'Acct Summary 7-8'!D10</f>
        <v>2632460</v>
      </c>
      <c r="C4123" s="2" t="s">
        <v>569</v>
      </c>
      <c r="D4123" s="2" t="str">
        <f t="shared" si="63"/>
        <v>Error?</v>
      </c>
    </row>
    <row r="4124" spans="1:4" x14ac:dyDescent="0.2">
      <c r="A4124" s="5">
        <v>4063</v>
      </c>
      <c r="B4124" s="1832">
        <f>'Acct Summary 7-8'!E10</f>
        <v>1284874</v>
      </c>
      <c r="C4124" s="2" t="s">
        <v>569</v>
      </c>
      <c r="D4124" s="2" t="str">
        <f t="shared" si="63"/>
        <v>Error?</v>
      </c>
    </row>
    <row r="4125" spans="1:4" x14ac:dyDescent="0.2">
      <c r="A4125" s="5">
        <v>4064</v>
      </c>
      <c r="B4125" s="1832">
        <f>'Acct Summary 7-8'!F10</f>
        <v>1503560</v>
      </c>
      <c r="C4125" s="2" t="s">
        <v>569</v>
      </c>
      <c r="D4125" s="2" t="str">
        <f t="shared" si="63"/>
        <v>Error?</v>
      </c>
    </row>
    <row r="4126" spans="1:4" x14ac:dyDescent="0.2">
      <c r="A4126" s="5">
        <v>4065</v>
      </c>
      <c r="B4126" s="1832">
        <f>'Acct Summary 7-8'!G10</f>
        <v>782226</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8381598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28108222</v>
      </c>
      <c r="C4136" s="2" t="s">
        <v>569</v>
      </c>
      <c r="D4136" s="2" t="str">
        <f t="shared" si="63"/>
        <v>Error?</v>
      </c>
    </row>
    <row r="4137" spans="1:4" x14ac:dyDescent="0.2">
      <c r="A4137" s="5">
        <v>4076</v>
      </c>
      <c r="B4137" s="1832">
        <f>'Acct Summary 7-8'!D19</f>
        <v>3157296</v>
      </c>
      <c r="C4137" s="2" t="s">
        <v>569</v>
      </c>
      <c r="D4137" s="2" t="str">
        <f t="shared" si="63"/>
        <v>Error?</v>
      </c>
    </row>
    <row r="4138" spans="1:4" x14ac:dyDescent="0.2">
      <c r="A4138" s="5">
        <v>4077</v>
      </c>
      <c r="B4138" s="1832">
        <f>'Acct Summary 7-8'!E19</f>
        <v>1385726</v>
      </c>
      <c r="C4138" s="2" t="s">
        <v>569</v>
      </c>
      <c r="D4138" s="2" t="str">
        <f t="shared" si="63"/>
        <v>Error?</v>
      </c>
    </row>
    <row r="4139" spans="1:4" x14ac:dyDescent="0.2">
      <c r="A4139" s="5">
        <v>4078</v>
      </c>
      <c r="B4139" s="1832">
        <f>'Acct Summary 7-8'!F19</f>
        <v>1397989</v>
      </c>
      <c r="C4139" s="2" t="s">
        <v>569</v>
      </c>
      <c r="D4139" s="2" t="str">
        <f t="shared" si="63"/>
        <v>Error?</v>
      </c>
    </row>
    <row r="4140" spans="1:4" x14ac:dyDescent="0.2">
      <c r="A4140" s="5">
        <v>4079</v>
      </c>
      <c r="B4140" s="1832">
        <f>'Acct Summary 7-8'!G19</f>
        <v>753576</v>
      </c>
      <c r="C4140" s="2" t="s">
        <v>569</v>
      </c>
      <c r="D4140" s="2" t="str">
        <f t="shared" si="63"/>
        <v>Error?</v>
      </c>
    </row>
    <row r="4141" spans="1:4" x14ac:dyDescent="0.2">
      <c r="A4141" s="5">
        <v>4080</v>
      </c>
      <c r="B4141" s="1832">
        <f>'Acct Summary 7-8'!H19</f>
        <v>6388882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9790000</v>
      </c>
      <c r="C4171" s="2" t="s">
        <v>569</v>
      </c>
      <c r="D4171" s="2" t="str">
        <f t="shared" si="64"/>
        <v>Error?</v>
      </c>
    </row>
    <row r="4172" spans="1:4" x14ac:dyDescent="0.2">
      <c r="A4172" s="5">
        <v>4111</v>
      </c>
      <c r="B4172" s="1832">
        <f>'Short-Term Long-Term Debt 24'!J49</f>
        <v>9790000</v>
      </c>
      <c r="C4172" s="2" t="s">
        <v>569</v>
      </c>
      <c r="D4172" s="2" t="str">
        <f t="shared" si="64"/>
        <v>Error?</v>
      </c>
    </row>
    <row r="4173" spans="1:4" x14ac:dyDescent="0.2">
      <c r="A4173" s="5">
        <v>4112</v>
      </c>
      <c r="B4173" s="1832">
        <f>'Short-Term Long-Term Debt 24'!H49</f>
        <v>1100000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2289.1000000000004</v>
      </c>
      <c r="C4265" s="2" t="s">
        <v>569</v>
      </c>
      <c r="D4265" s="2" t="str">
        <f t="shared" si="65"/>
        <v>Error?</v>
      </c>
      <c r="E4265" s="125"/>
    </row>
    <row r="4266" spans="1:5" x14ac:dyDescent="0.2">
      <c r="A4266" s="12">
        <v>4205</v>
      </c>
      <c r="B4266" s="1832">
        <f>('FP Info 3'!F10)*100000</f>
        <v>479.3</v>
      </c>
      <c r="C4266" s="2" t="s">
        <v>569</v>
      </c>
      <c r="D4266" s="2" t="str">
        <f t="shared" si="65"/>
        <v>Error?</v>
      </c>
      <c r="E4266" s="125"/>
    </row>
    <row r="4267" spans="1:5" x14ac:dyDescent="0.2">
      <c r="A4267" s="12">
        <v>4206</v>
      </c>
      <c r="B4267" s="1832">
        <f>('FP Info 3'!H10)*100000</f>
        <v>135.69999999999999</v>
      </c>
      <c r="C4267" s="2" t="s">
        <v>569</v>
      </c>
      <c r="D4267" s="2" t="str">
        <f t="shared" si="65"/>
        <v>Error?</v>
      </c>
      <c r="E4267" s="125"/>
    </row>
    <row r="4268" spans="1:5" x14ac:dyDescent="0.2">
      <c r="A4268" s="12">
        <v>4207</v>
      </c>
      <c r="B4268" s="1832">
        <f>('FP Info 3'!J10)*100000</f>
        <v>2904</v>
      </c>
      <c r="C4268" s="2" t="s">
        <v>569</v>
      </c>
      <c r="D4268" s="2" t="str">
        <f t="shared" si="65"/>
        <v>Error?</v>
      </c>
    </row>
    <row r="4269" spans="1:5" x14ac:dyDescent="0.2">
      <c r="A4269" s="12">
        <v>4208</v>
      </c>
      <c r="B4269" s="1832">
        <f>'FP Info 3'!J16</f>
        <v>13477332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61528</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72296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36631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41464</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59856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450109928</v>
      </c>
      <c r="D4995" s="2" t="str">
        <f t="shared" si="77"/>
        <v>Error?</v>
      </c>
    </row>
    <row r="4996" spans="1:4" x14ac:dyDescent="0.2">
      <c r="A4996" s="12">
        <v>4935</v>
      </c>
      <c r="B4996" s="1832">
        <f>'FP Info 3'!H31</f>
        <v>31057585.032000002</v>
      </c>
      <c r="D4996" s="2" t="str">
        <f t="shared" si="77"/>
        <v>Error?</v>
      </c>
    </row>
    <row r="4997" spans="1:4" x14ac:dyDescent="0.2">
      <c r="A4997" s="12">
        <v>4936</v>
      </c>
      <c r="B4997" s="1832">
        <f>'FP Info 3'!H37</f>
        <v>9790000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10196415</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10196415</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185815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185815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322708</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8541</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8541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66799</v>
      </c>
      <c r="D5119" s="2" t="str">
        <f t="shared" ref="D5119:D5182" si="79">IF(ISBLANK(B5119),"OK",IF(A5119-B5119=0,"OK","Error?"))</f>
        <v>Error?</v>
      </c>
    </row>
    <row r="5120" spans="1:4" x14ac:dyDescent="0.2">
      <c r="A5120" s="5">
        <v>5059</v>
      </c>
      <c r="B5120" s="1832">
        <f>'Revenues 9-14'!C108</f>
        <v>66799</v>
      </c>
      <c r="C5120" s="2" t="s">
        <v>569</v>
      </c>
      <c r="D5120" s="2" t="str">
        <f t="shared" si="79"/>
        <v>Error?</v>
      </c>
    </row>
    <row r="5121" spans="1:4" x14ac:dyDescent="0.2">
      <c r="A5121" s="5">
        <v>5060</v>
      </c>
      <c r="B5121" s="1832">
        <f>'Revenues 9-14'!C109</f>
        <v>10780278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6963679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6963679</v>
      </c>
      <c r="C5132" s="2" t="s">
        <v>569</v>
      </c>
      <c r="D5132" s="2" t="str">
        <f t="shared" si="79"/>
        <v>Error?</v>
      </c>
    </row>
    <row r="5133" spans="1:4" x14ac:dyDescent="0.2">
      <c r="A5133" s="5">
        <v>5072</v>
      </c>
      <c r="B5133" s="1832">
        <f>'Revenues 9-14'!C125</f>
        <v>195597</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24533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220130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6672</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187648</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414450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7378129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368089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114827</v>
      </c>
      <c r="D5241" s="2" t="str">
        <f t="shared" si="80"/>
        <v>Error?</v>
      </c>
    </row>
    <row r="5242" spans="1:4" x14ac:dyDescent="0.2">
      <c r="A5242" s="5">
        <v>5181</v>
      </c>
      <c r="B5242" s="1832">
        <f>'Revenues 9-14'!C194</f>
        <v>49704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532620</v>
      </c>
      <c r="C5246" s="2" t="s">
        <v>569</v>
      </c>
      <c r="D5246" s="2" t="str">
        <f t="shared" si="80"/>
        <v>Error?</v>
      </c>
    </row>
    <row r="5247" spans="1:4" x14ac:dyDescent="0.2">
      <c r="A5247" s="5">
        <v>5186</v>
      </c>
      <c r="B5247" s="1832">
        <f>'Revenues 9-14'!C200</f>
        <v>650092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41464</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711620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6711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528192</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534903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1989390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1989390</v>
      </c>
      <c r="C5326" s="2" t="s">
        <v>569</v>
      </c>
      <c r="D5326" s="2" t="str">
        <f t="shared" si="82"/>
        <v>Error?</v>
      </c>
    </row>
    <row r="5327" spans="1:5" x14ac:dyDescent="0.2">
      <c r="A5327" s="5">
        <v>5266</v>
      </c>
      <c r="B5327" s="1832">
        <f>'Revenues 9-14'!C268</f>
        <v>20147797</v>
      </c>
      <c r="C5327" s="2" t="s">
        <v>569</v>
      </c>
      <c r="D5327" s="2" t="str">
        <f t="shared" si="82"/>
        <v>Error?</v>
      </c>
    </row>
    <row r="5328" spans="1:5" x14ac:dyDescent="0.2">
      <c r="A5328" s="5">
        <v>5267</v>
      </c>
      <c r="B5328" s="1832">
        <f>'Revenues 9-14'!D5</f>
        <v>2134677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2134677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337807</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337807</v>
      </c>
      <c r="C5339" s="2" t="s">
        <v>569</v>
      </c>
      <c r="D5339" s="2" t="str">
        <f t="shared" si="82"/>
        <v>Error?</v>
      </c>
    </row>
    <row r="5340" spans="1:4" x14ac:dyDescent="0.2">
      <c r="A5340" s="5">
        <v>5279</v>
      </c>
      <c r="B5340" s="1832">
        <f>'Revenues 9-14'!D65</f>
        <v>3398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3398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156578</v>
      </c>
      <c r="D5354" s="2" t="str">
        <f t="shared" si="82"/>
        <v>Error?</v>
      </c>
    </row>
    <row r="5355" spans="1:4" x14ac:dyDescent="0.2">
      <c r="A5355" s="5">
        <v>5294</v>
      </c>
      <c r="B5355" s="1832">
        <f>'Revenues 9-14'!D108</f>
        <v>156578</v>
      </c>
      <c r="C5355" s="2" t="s">
        <v>569</v>
      </c>
      <c r="D5355" s="2" t="str">
        <f t="shared" si="82"/>
        <v>Error?</v>
      </c>
    </row>
    <row r="5356" spans="1:4" x14ac:dyDescent="0.2">
      <c r="A5356" s="5">
        <v>5295</v>
      </c>
      <c r="B5356" s="1832">
        <f>'Revenues 9-14'!D109</f>
        <v>2632460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2632460</v>
      </c>
      <c r="C5508" s="2" t="s">
        <v>569</v>
      </c>
      <c r="D5508" s="2" t="str">
        <f t="shared" si="85"/>
        <v>Error?</v>
      </c>
    </row>
    <row r="5509" spans="1:4" x14ac:dyDescent="0.2">
      <c r="A5509" s="5">
        <v>5448</v>
      </c>
      <c r="B5509" s="1832">
        <f>'Revenues 9-14'!E5</f>
        <v>1282830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1282830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2044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2044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1284874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1284874</v>
      </c>
      <c r="C5552" s="2" t="s">
        <v>569</v>
      </c>
      <c r="D5552" s="2" t="str">
        <f t="shared" si="85"/>
        <v>Error?</v>
      </c>
    </row>
    <row r="5553" spans="1:4" x14ac:dyDescent="0.2">
      <c r="A5553" s="5">
        <v>5492</v>
      </c>
      <c r="B5553" s="1832">
        <f>'Revenues 9-14'!F5</f>
        <v>604233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604233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962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962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95573</v>
      </c>
      <c r="D5586" s="2" t="str">
        <f t="shared" si="86"/>
        <v>Error?</v>
      </c>
    </row>
    <row r="5587" spans="1:4" x14ac:dyDescent="0.2">
      <c r="A5587" s="5">
        <v>5526</v>
      </c>
      <c r="B5587" s="1832">
        <f>'Revenues 9-14'!F108</f>
        <v>95573</v>
      </c>
      <c r="C5587" s="2" t="s">
        <v>569</v>
      </c>
      <c r="D5587" s="2" t="str">
        <f t="shared" si="86"/>
        <v>Error?</v>
      </c>
    </row>
    <row r="5588" spans="1:4" x14ac:dyDescent="0.2">
      <c r="A5588" s="5">
        <v>5527</v>
      </c>
      <c r="B5588" s="1832">
        <f>'Revenues 9-14'!F109</f>
        <v>700768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495659</v>
      </c>
      <c r="D5615" s="2" t="str">
        <f t="shared" si="86"/>
        <v>Error?</v>
      </c>
    </row>
    <row r="5616" spans="1:4" x14ac:dyDescent="0.2">
      <c r="A5616" s="10">
        <v>5555</v>
      </c>
      <c r="B5616" s="1832"/>
      <c r="D5616" s="2" t="str">
        <f t="shared" si="86"/>
        <v>OK</v>
      </c>
    </row>
    <row r="5617" spans="1:5" x14ac:dyDescent="0.2">
      <c r="A5617" s="5">
        <v>5556</v>
      </c>
      <c r="B5617" s="1832">
        <f>'Revenues 9-14'!F153</f>
        <v>307133</v>
      </c>
      <c r="D5617" s="2" t="str">
        <f t="shared" si="86"/>
        <v>Error?</v>
      </c>
    </row>
    <row r="5618" spans="1:5" x14ac:dyDescent="0.2">
      <c r="A5618" s="5">
        <v>5557</v>
      </c>
      <c r="B5618" s="1832">
        <f>'Revenues 9-14'!F155</f>
        <v>802792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802792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802792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1503560</v>
      </c>
      <c r="C5720" s="2" t="s">
        <v>569</v>
      </c>
      <c r="D5720" s="2" t="str">
        <f t="shared" si="88"/>
        <v>Error?</v>
      </c>
    </row>
    <row r="5721" spans="1:4" x14ac:dyDescent="0.2">
      <c r="A5721" s="5">
        <v>5660</v>
      </c>
      <c r="B5721" s="1832">
        <f>'Revenues 9-14'!G5</f>
        <v>434573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346410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780983</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1243</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1243</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782226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782226</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322708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52007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2247.54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120569</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200568</v>
      </c>
      <c r="D6093" s="2" t="str">
        <f t="shared" si="94"/>
        <v>Error?</v>
      </c>
      <c r="E6093" s="2" t="s">
        <v>189</v>
      </c>
    </row>
    <row r="6094" spans="1:5" x14ac:dyDescent="0.2">
      <c r="A6094">
        <v>6033</v>
      </c>
      <c r="B6094" s="1832">
        <f>'Assets-Liab 5-6'!G8</f>
        <v>789494</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143839</v>
      </c>
      <c r="D6113" s="2" t="str">
        <f t="shared" si="94"/>
        <v>Error?</v>
      </c>
      <c r="E6113" s="2" t="s">
        <v>189</v>
      </c>
    </row>
    <row r="6114" spans="1:5" x14ac:dyDescent="0.2">
      <c r="A6114">
        <v>6053</v>
      </c>
      <c r="B6114" s="1832">
        <f>'Assets-Liab 5-6'!D11</f>
        <v>50312</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426796</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87125</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315450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415643</v>
      </c>
      <c r="D6142" s="2" t="str">
        <f t="shared" si="94"/>
        <v>Error?</v>
      </c>
      <c r="E6142" s="2" t="s">
        <v>189</v>
      </c>
    </row>
    <row r="6143" spans="1:5" x14ac:dyDescent="0.2">
      <c r="A6143">
        <v>6082</v>
      </c>
      <c r="B6143" s="1832">
        <f>'Assets-Liab 5-6'!D27</f>
        <v>1242658</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83</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848419</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1934544</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126016</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126016</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189434</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315450</v>
      </c>
      <c r="D6216" s="2" t="str">
        <f t="shared" si="96"/>
        <v>Error?</v>
      </c>
      <c r="E6216" s="2" t="s">
        <v>189</v>
      </c>
    </row>
    <row r="6217" spans="1:5" x14ac:dyDescent="0.2">
      <c r="A6217">
        <v>6156</v>
      </c>
      <c r="B6217" s="1832">
        <f>'Assets-Liab 5-6'!J4</f>
        <v>121199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107126</v>
      </c>
      <c r="D6219" s="2" t="str">
        <f t="shared" si="96"/>
        <v>Error?</v>
      </c>
      <c r="E6219" s="2" t="s">
        <v>189</v>
      </c>
    </row>
    <row r="6220" spans="1:5" x14ac:dyDescent="0.2">
      <c r="A6220">
        <v>6159</v>
      </c>
      <c r="B6220" s="1832">
        <f>'Acct Summary 7-8'!J4</f>
        <v>106087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106087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106087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104076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104076</v>
      </c>
      <c r="D6229" s="2" t="str">
        <f t="shared" si="96"/>
        <v>Error?</v>
      </c>
      <c r="E6229" s="2" t="s">
        <v>189</v>
      </c>
    </row>
    <row r="6230" spans="1:5" x14ac:dyDescent="0.2">
      <c r="A6230">
        <v>6169</v>
      </c>
      <c r="B6230" s="1832">
        <f>'Acct Summary 7-8'!J20</f>
        <v>2011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2011</v>
      </c>
      <c r="D6263" s="2" t="str">
        <f t="shared" si="96"/>
        <v>Error?</v>
      </c>
      <c r="E6263" s="2" t="s">
        <v>189</v>
      </c>
    </row>
    <row r="6264" spans="1:5" x14ac:dyDescent="0.2">
      <c r="A6264">
        <v>6203</v>
      </c>
      <c r="B6264" s="1832">
        <f>'Acct Summary 7-8'!J79</f>
        <v>187423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189434</v>
      </c>
      <c r="D6266" s="2" t="str">
        <f t="shared" si="96"/>
        <v>Error?</v>
      </c>
      <c r="E6266" s="2" t="s">
        <v>189</v>
      </c>
    </row>
    <row r="6267" spans="1:5" x14ac:dyDescent="0.2">
      <c r="A6267">
        <v>6206</v>
      </c>
      <c r="B6267" s="1832">
        <f>'Acct Summary 7-8'!C82</f>
        <v>421173</v>
      </c>
      <c r="D6267" s="2" t="str">
        <f t="shared" si="96"/>
        <v>Error?</v>
      </c>
      <c r="E6267" s="2" t="s">
        <v>189</v>
      </c>
    </row>
    <row r="6268" spans="1:5" x14ac:dyDescent="0.2">
      <c r="A6268">
        <v>6207</v>
      </c>
      <c r="B6268" s="1832">
        <f>'Acct Summary 7-8'!D82</f>
        <v>-524836</v>
      </c>
      <c r="D6268" s="2" t="str">
        <f t="shared" si="96"/>
        <v>Error?</v>
      </c>
      <c r="E6268" s="2" t="s">
        <v>189</v>
      </c>
    </row>
    <row r="6269" spans="1:5" x14ac:dyDescent="0.2">
      <c r="A6269">
        <v>6208</v>
      </c>
      <c r="B6269" s="1832">
        <f>'Acct Summary 7-8'!E82</f>
        <v>-100852</v>
      </c>
      <c r="D6269" s="2" t="str">
        <f t="shared" si="96"/>
        <v>Error?</v>
      </c>
      <c r="E6269" s="2" t="s">
        <v>189</v>
      </c>
    </row>
    <row r="6270" spans="1:5" x14ac:dyDescent="0.2">
      <c r="A6270">
        <v>6209</v>
      </c>
      <c r="B6270" s="1832">
        <f>'Acct Summary 7-8'!F82</f>
        <v>105571</v>
      </c>
      <c r="D6270" s="2" t="str">
        <f t="shared" si="96"/>
        <v>Error?</v>
      </c>
      <c r="E6270" s="2" t="s">
        <v>189</v>
      </c>
    </row>
    <row r="6271" spans="1:5" x14ac:dyDescent="0.2">
      <c r="A6271">
        <v>6210</v>
      </c>
      <c r="B6271" s="1832">
        <f>'Acct Summary 7-8'!G82</f>
        <v>28650</v>
      </c>
      <c r="D6271" s="2" t="str">
        <f t="shared" ref="D6271:D6334" si="97">IF(ISBLANK(B6271),"OK",IF(A6271-B6271=0,"OK","Error?"))</f>
        <v>Error?</v>
      </c>
      <c r="E6271" s="2" t="s">
        <v>189</v>
      </c>
    </row>
    <row r="6272" spans="1:5" x14ac:dyDescent="0.2">
      <c r="A6272">
        <v>6211</v>
      </c>
      <c r="B6272" s="1832">
        <f>'Acct Summary 7-8'!H82</f>
        <v>-6388882</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2011</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3.6619035972510317E-2</v>
      </c>
      <c r="D6276" s="2" t="str">
        <f t="shared" si="97"/>
        <v>Error?</v>
      </c>
      <c r="E6276" s="2" t="s">
        <v>189</v>
      </c>
    </row>
    <row r="6277" spans="1:5" x14ac:dyDescent="0.2">
      <c r="A6277">
        <v>6216</v>
      </c>
      <c r="B6277" s="1832">
        <f>'Acct Summary 7-8'!D83</f>
        <v>3.3276861233340518</v>
      </c>
      <c r="D6277" s="2" t="str">
        <f t="shared" si="97"/>
        <v>Error?</v>
      </c>
      <c r="E6277" s="2" t="s">
        <v>189</v>
      </c>
    </row>
    <row r="6278" spans="1:5" x14ac:dyDescent="0.2">
      <c r="A6278">
        <v>6217</v>
      </c>
      <c r="B6278" s="1832">
        <f>'Acct Summary 7-8'!E83</f>
        <v>-0.13214204759115786</v>
      </c>
      <c r="D6278" s="2" t="str">
        <f t="shared" si="97"/>
        <v>Error?</v>
      </c>
      <c r="E6278" s="2" t="s">
        <v>189</v>
      </c>
    </row>
    <row r="6279" spans="1:5" x14ac:dyDescent="0.2">
      <c r="A6279">
        <v>6218</v>
      </c>
      <c r="B6279" s="1832">
        <f>'Acct Summary 7-8'!F83</f>
        <v>5.816084127204494E-2</v>
      </c>
      <c r="D6279" s="2" t="str">
        <f t="shared" si="97"/>
        <v>Error?</v>
      </c>
      <c r="E6279" s="2" t="s">
        <v>189</v>
      </c>
    </row>
    <row r="6280" spans="1:5" x14ac:dyDescent="0.2">
      <c r="A6280">
        <v>6219</v>
      </c>
      <c r="B6280" s="1832">
        <f>'Acct Summary 7-8'!G83</f>
        <v>3.8295125090725364E-2</v>
      </c>
      <c r="D6280" s="2" t="str">
        <f t="shared" si="97"/>
        <v>Error?</v>
      </c>
      <c r="E6280" s="2" t="s">
        <v>189</v>
      </c>
    </row>
    <row r="6281" spans="1:5" x14ac:dyDescent="0.2">
      <c r="A6281">
        <v>6220</v>
      </c>
      <c r="B6281" s="1832">
        <f>'Acct Summary 7-8'!H83</f>
        <v>7.5303381937462506</v>
      </c>
      <c r="D6281" s="2" t="str">
        <f t="shared" si="97"/>
        <v>Error?</v>
      </c>
      <c r="E6281" s="2" t="s">
        <v>189</v>
      </c>
    </row>
    <row r="6282" spans="1:5" x14ac:dyDescent="0.2">
      <c r="A6282">
        <v>6221</v>
      </c>
      <c r="B6282" s="1832">
        <f>'Acct Summary 7-8'!I83</f>
        <v>0</v>
      </c>
      <c r="D6282" s="2" t="str">
        <f t="shared" si="97"/>
        <v>Error?</v>
      </c>
      <c r="E6282" s="2" t="s">
        <v>189</v>
      </c>
    </row>
    <row r="6283" spans="1:5" x14ac:dyDescent="0.2">
      <c r="A6283">
        <v>6222</v>
      </c>
      <c r="B6283" s="1832">
        <f>'Acct Summary 7-8'!J83</f>
        <v>1.0615834538678379E-2</v>
      </c>
      <c r="D6283" s="2" t="str">
        <f t="shared" si="97"/>
        <v>Error?</v>
      </c>
      <c r="E6283" s="2" t="s">
        <v>189</v>
      </c>
    </row>
    <row r="6284" spans="1:5" x14ac:dyDescent="0.2">
      <c r="A6284">
        <v>6223</v>
      </c>
      <c r="B6284" s="1832">
        <f>'Acct Summary 7-8'!K83</f>
        <v>0</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105919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105919</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168</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168</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106087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118824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2645</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169316</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662137</v>
      </c>
      <c r="D6878" s="2" t="str">
        <f t="shared" si="106"/>
        <v>Error?</v>
      </c>
    </row>
    <row r="6879" spans="1:4" x14ac:dyDescent="0.2">
      <c r="A6879">
        <v>6818</v>
      </c>
      <c r="B6879" s="1832">
        <f>'Expenditures 15-22'!K21</f>
        <v>662137</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2645</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5437</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5437</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500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500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5937</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8582</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104076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106087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2883</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2883</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2883</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104076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104076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104076</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104076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104076</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104076</v>
      </c>
      <c r="D7224" s="2" t="str">
        <f t="shared" si="111"/>
        <v>Error?</v>
      </c>
    </row>
    <row r="7225" spans="1:4" x14ac:dyDescent="0.2">
      <c r="A7225">
        <v>7164</v>
      </c>
      <c r="B7225" s="1832">
        <f>'Expenditures 15-22'!K343</f>
        <v>2011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49247</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1245</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11465</v>
      </c>
      <c r="D7624" s="2" t="str">
        <f t="shared" si="124"/>
        <v>Error?</v>
      </c>
      <c r="E7624" s="2" t="s">
        <v>19</v>
      </c>
    </row>
    <row r="7625" spans="1:5" x14ac:dyDescent="0.2">
      <c r="A7625">
        <f t="shared" si="123"/>
        <v>7564</v>
      </c>
      <c r="B7625" s="1832">
        <f>'Cap Outlay Deprec 26'!I17</f>
        <v>1146.5</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1440581.5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14910000</v>
      </c>
      <c r="D7817" s="2" t="str">
        <f t="shared" si="128"/>
        <v>Error?</v>
      </c>
      <c r="E7817" s="4" t="s">
        <v>1963</v>
      </c>
    </row>
    <row r="7818" spans="1:5" x14ac:dyDescent="0.2">
      <c r="A7818">
        <v>7757</v>
      </c>
      <c r="B7818" s="1832">
        <f>'PCTC-OEPP 27-28'!F172</f>
        <v>882548</v>
      </c>
      <c r="D7818" s="2" t="str">
        <f t="shared" si="128"/>
        <v>Error?</v>
      </c>
      <c r="E7818" s="4" t="s">
        <v>1977</v>
      </c>
    </row>
    <row r="7819" spans="1:5" x14ac:dyDescent="0.2">
      <c r="A7819">
        <v>7758</v>
      </c>
      <c r="B7819" s="1832">
        <f>'PCTC-OEPP 27-28'!F173</f>
        <v>31386</v>
      </c>
      <c r="D7819" s="2" t="str">
        <f t="shared" si="128"/>
        <v>Error?</v>
      </c>
      <c r="E7819" s="4" t="s">
        <v>1977</v>
      </c>
    </row>
    <row r="7820" spans="1:5" x14ac:dyDescent="0.2">
      <c r="A7820">
        <v>7759</v>
      </c>
      <c r="B7820" s="1832">
        <f>'ICR Computation 30'!E40</f>
        <v>-2696390</v>
      </c>
      <c r="D7820" s="2" t="str">
        <f t="shared" si="128"/>
        <v>Error?</v>
      </c>
    </row>
    <row r="7821" spans="1:5" x14ac:dyDescent="0.2">
      <c r="A7821">
        <v>7760</v>
      </c>
      <c r="B7821" s="1832">
        <f>'ICR Computation 30'!G40</f>
        <v>-2696390</v>
      </c>
      <c r="D7821" s="2" t="str">
        <f t="shared" si="128"/>
        <v>Error?</v>
      </c>
    </row>
    <row r="7822" spans="1:5" x14ac:dyDescent="0.2">
      <c r="A7822" s="1">
        <v>7761</v>
      </c>
      <c r="B7822" s="1832">
        <f>'PCTC-OEPP 27-28'!F14</f>
        <v>26525287</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169316</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61316</v>
      </c>
      <c r="D7830" s="2" t="str">
        <f t="shared" si="129"/>
        <v>Error?</v>
      </c>
      <c r="E7830" s="4" t="s">
        <v>1995</v>
      </c>
    </row>
    <row r="7831" spans="1:5" x14ac:dyDescent="0.2">
      <c r="A7831">
        <v>7770</v>
      </c>
      <c r="B7831" s="1832">
        <f>'PCTC-OEPP 27-28'!F52</f>
        <v>66600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3548584</v>
      </c>
      <c r="D7834" s="2" t="str">
        <f t="shared" si="129"/>
        <v>Error?</v>
      </c>
      <c r="E7834" s="4" t="s">
        <v>1995</v>
      </c>
    </row>
    <row r="7835" spans="1:5" x14ac:dyDescent="0.2">
      <c r="A7835">
        <v>7774</v>
      </c>
      <c r="B7835" s="1832">
        <f>'PCTC-OEPP 27-28'!F78</f>
        <v>22976703</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10223.04519608105</v>
      </c>
      <c r="D7837" s="2" t="str">
        <f t="shared" si="129"/>
        <v>Error?</v>
      </c>
      <c r="E7837" s="4" t="s">
        <v>1995</v>
      </c>
    </row>
    <row r="7838" spans="1:5" x14ac:dyDescent="0.2">
      <c r="A7838">
        <v>7777</v>
      </c>
      <c r="B7838" s="1832">
        <f>'PCTC-OEPP 27-28'!F96</f>
        <v>0</v>
      </c>
      <c r="D7838" s="2" t="str">
        <f t="shared" si="129"/>
        <v>Error?</v>
      </c>
      <c r="E7838" s="4" t="s">
        <v>1995</v>
      </c>
    </row>
    <row r="7839" spans="1:5" x14ac:dyDescent="0.2">
      <c r="A7839">
        <v>7778</v>
      </c>
      <c r="B7839" s="1832">
        <f>'PCTC-OEPP 27-28'!F102</f>
        <v>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220130</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802792</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532620</v>
      </c>
      <c r="D7858" s="2" t="str">
        <f t="shared" si="129"/>
        <v>Error?</v>
      </c>
      <c r="E7858" s="4" t="s">
        <v>1995</v>
      </c>
    </row>
    <row r="7859" spans="1:5" x14ac:dyDescent="0.2">
      <c r="A7859">
        <v>7798</v>
      </c>
      <c r="B7859" s="1832">
        <f>'PCTC-OEPP 27-28'!F127</f>
        <v>711620</v>
      </c>
      <c r="D7859" s="2" t="str">
        <f t="shared" si="129"/>
        <v>Error?</v>
      </c>
      <c r="E7859" s="4" t="s">
        <v>1995</v>
      </c>
    </row>
    <row r="7860" spans="1:5" x14ac:dyDescent="0.2">
      <c r="A7860">
        <v>7799</v>
      </c>
      <c r="B7860" s="1832">
        <f>'PCTC-OEPP 27-28'!F128</f>
        <v>41464</v>
      </c>
      <c r="D7860" s="2" t="str">
        <f t="shared" si="129"/>
        <v>Error?</v>
      </c>
      <c r="E7860" s="4" t="s">
        <v>1995</v>
      </c>
    </row>
    <row r="7861" spans="1:5" x14ac:dyDescent="0.2">
      <c r="A7861">
        <v>7800</v>
      </c>
      <c r="B7861" s="1832">
        <f>'PCTC-OEPP 27-28'!F129</f>
        <v>528192</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59856</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72296</v>
      </c>
      <c r="D7874" s="2" t="str">
        <f t="shared" si="129"/>
        <v>Error?</v>
      </c>
      <c r="E7874" s="4" t="s">
        <v>1995</v>
      </c>
    </row>
    <row r="7875" spans="1:5" x14ac:dyDescent="0.2">
      <c r="A7875">
        <v>7814</v>
      </c>
      <c r="B7875" s="1832">
        <f>'PCTC-OEPP 27-28'!F170</f>
        <v>36631</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4257456</v>
      </c>
      <c r="D7877" s="2" t="str">
        <f t="shared" si="129"/>
        <v>Error?</v>
      </c>
      <c r="E7877" s="4" t="s">
        <v>1995</v>
      </c>
    </row>
    <row r="7878" spans="1:5" x14ac:dyDescent="0.2">
      <c r="A7878">
        <v>7817</v>
      </c>
      <c r="B7878" s="1832">
        <f>'PCTC-OEPP 27-28'!F176</f>
        <v>18719247</v>
      </c>
      <c r="D7878" s="2" t="str">
        <f t="shared" si="129"/>
        <v>Error?</v>
      </c>
      <c r="E7878" s="4" t="s">
        <v>1995</v>
      </c>
    </row>
    <row r="7879" spans="1:5" x14ac:dyDescent="0.2">
      <c r="A7879">
        <v>7818</v>
      </c>
      <c r="B7879" s="1832">
        <f>'PCTC-OEPP 27-28'!F178</f>
        <v>20159828.5</v>
      </c>
      <c r="D7879" s="2" t="str">
        <f t="shared" si="129"/>
        <v>Error?</v>
      </c>
      <c r="E7879" s="4" t="s">
        <v>1995</v>
      </c>
    </row>
    <row r="7880" spans="1:5" x14ac:dyDescent="0.2">
      <c r="A7880">
        <v>7819</v>
      </c>
      <c r="B7880" s="1832">
        <f>'PCTC-OEPP 27-28'!F180</f>
        <v>8969.7306833248804</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B48" sqref="B4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0" t="s">
        <v>1181</v>
      </c>
      <c r="B2" s="2520"/>
      <c r="C2" s="2520"/>
      <c r="D2" s="2520"/>
      <c r="E2" s="2520"/>
      <c r="F2" s="2520"/>
      <c r="G2" s="2520"/>
      <c r="H2" s="2520"/>
      <c r="I2" s="2520"/>
      <c r="J2" s="2520"/>
      <c r="K2" s="2520"/>
      <c r="L2" s="2520"/>
    </row>
    <row r="3" spans="1:29" ht="13.5" customHeight="1" x14ac:dyDescent="0.2">
      <c r="A3" s="2552" t="s">
        <v>1180</v>
      </c>
      <c r="B3" s="2552"/>
      <c r="C3" s="2552"/>
      <c r="D3" s="2552"/>
      <c r="E3" s="2552"/>
      <c r="F3" s="2552"/>
      <c r="G3" s="2552"/>
      <c r="H3" s="2552"/>
      <c r="I3" s="2552"/>
      <c r="J3" s="2552"/>
      <c r="K3" s="2552"/>
      <c r="L3" s="2552"/>
    </row>
    <row r="4" spans="1:29" ht="13.5" customHeight="1" x14ac:dyDescent="0.2">
      <c r="A4" s="2541" t="str">
        <f>"Year Ending June 30, "&amp;'AFR20'!E2</f>
        <v>Year Ending June 30, 2020</v>
      </c>
      <c r="B4" s="2542"/>
      <c r="C4" s="2542"/>
      <c r="D4" s="2542"/>
      <c r="E4" s="2542"/>
      <c r="F4" s="2542"/>
      <c r="G4" s="2542"/>
      <c r="H4" s="2542"/>
      <c r="I4" s="2542"/>
      <c r="J4" s="2542"/>
      <c r="K4" s="2542"/>
      <c r="L4" s="254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3" t="str">
        <f>COVER!A17</f>
        <v xml:space="preserve"> Bourbonnais SD 53</v>
      </c>
      <c r="B7" s="2544"/>
      <c r="C7" s="2544"/>
      <c r="D7" s="2545"/>
      <c r="E7" s="2546">
        <f>COVER!A13</f>
        <v>32046053002</v>
      </c>
      <c r="F7" s="2547"/>
      <c r="G7" s="2553">
        <f>COVER!T23</f>
        <v>65.023278000000005</v>
      </c>
      <c r="H7" s="2554"/>
      <c r="I7" s="2554"/>
      <c r="J7" s="2554"/>
      <c r="K7" s="2554"/>
      <c r="L7" s="255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6"/>
      <c r="B9" s="2557"/>
      <c r="C9" s="2557"/>
      <c r="D9" s="2557"/>
      <c r="E9" s="2557"/>
      <c r="F9" s="2558"/>
      <c r="G9" s="2526" t="str">
        <f>COVER!T13</f>
        <v>Jodi K. Gill, CPA</v>
      </c>
      <c r="H9" s="2559"/>
      <c r="I9" s="2559"/>
      <c r="J9" s="2559"/>
      <c r="K9" s="2559"/>
      <c r="L9" s="2560"/>
    </row>
    <row r="10" spans="1:29" ht="13.5" customHeight="1" x14ac:dyDescent="0.2">
      <c r="A10" s="2532" t="str">
        <f>COVER!A38</f>
        <v>Dr. Adam Ehrman</v>
      </c>
      <c r="B10" s="2533"/>
      <c r="C10" s="2533"/>
      <c r="D10" s="2533"/>
      <c r="E10" s="2533"/>
      <c r="F10" s="2534"/>
      <c r="G10" s="2526" t="str">
        <f>COVER!T17</f>
        <v>33 N. Main Street, Ste. #2</v>
      </c>
      <c r="H10" s="2527"/>
      <c r="I10" s="2527"/>
      <c r="J10" s="2527"/>
      <c r="K10" s="2527"/>
      <c r="L10" s="2528"/>
    </row>
    <row r="11" spans="1:29" ht="13.5" customHeight="1" x14ac:dyDescent="0.2">
      <c r="A11" s="963" t="s">
        <v>1502</v>
      </c>
      <c r="B11" s="964"/>
      <c r="C11" s="965"/>
      <c r="D11" s="970"/>
      <c r="E11" s="965"/>
      <c r="F11" s="969"/>
      <c r="G11" s="2526" t="str">
        <f>COVER!T19</f>
        <v>Manteno</v>
      </c>
      <c r="H11" s="2527"/>
      <c r="I11" s="2527"/>
      <c r="J11" s="2527"/>
      <c r="K11" s="2527"/>
      <c r="L11" s="2528"/>
    </row>
    <row r="12" spans="1:29" ht="13.5" customHeight="1" x14ac:dyDescent="0.2">
      <c r="A12" s="2535" t="s">
        <v>1501</v>
      </c>
      <c r="B12" s="2536"/>
      <c r="C12" s="2536"/>
      <c r="D12" s="2536"/>
      <c r="E12" s="2536"/>
      <c r="F12" s="2537"/>
      <c r="G12" s="2529"/>
      <c r="H12" s="2530"/>
      <c r="I12" s="2530"/>
      <c r="J12" s="2530"/>
      <c r="K12" s="2530"/>
      <c r="L12" s="2531"/>
    </row>
    <row r="13" spans="1:29" ht="13.5" customHeight="1" x14ac:dyDescent="0.2">
      <c r="A13" s="2526"/>
      <c r="B13" s="2527"/>
      <c r="C13" s="2527"/>
      <c r="D13" s="2527"/>
      <c r="E13" s="2527"/>
      <c r="F13" s="2528"/>
      <c r="G13" s="2521" t="s">
        <v>1503</v>
      </c>
      <c r="H13" s="2522"/>
      <c r="I13" s="2538" t="str">
        <f>COVER!T25</f>
        <v>jodi@jodigillcpa.com</v>
      </c>
      <c r="J13" s="2539"/>
      <c r="K13" s="2539"/>
      <c r="L13" s="2540"/>
    </row>
    <row r="14" spans="1:29" ht="13.5" customHeight="1" x14ac:dyDescent="0.2">
      <c r="A14" s="2526" t="str">
        <f>COVER!A19</f>
        <v>281 John Casey Road</v>
      </c>
      <c r="B14" s="2527"/>
      <c r="C14" s="2527"/>
      <c r="D14" s="2527"/>
      <c r="E14" s="2527"/>
      <c r="F14" s="2528"/>
      <c r="G14" s="974" t="s">
        <v>1175</v>
      </c>
      <c r="H14" s="972"/>
      <c r="I14" s="972"/>
      <c r="J14" s="972"/>
      <c r="K14" s="972"/>
      <c r="L14" s="973"/>
    </row>
    <row r="15" spans="1:29" ht="13.5" customHeight="1" x14ac:dyDescent="0.2">
      <c r="A15" s="2526" t="str">
        <f>COVER!A21</f>
        <v xml:space="preserve">Bourbonnais </v>
      </c>
      <c r="B15" s="2527"/>
      <c r="C15" s="2527"/>
      <c r="D15" s="2527"/>
      <c r="E15" s="2527"/>
      <c r="F15" s="2528"/>
      <c r="G15" s="2523" t="str">
        <f>COVER!T15</f>
        <v>Jodi K. Gill</v>
      </c>
      <c r="H15" s="2524"/>
      <c r="I15" s="2524"/>
      <c r="J15" s="2524"/>
      <c r="K15" s="2524"/>
      <c r="L15" s="2525"/>
    </row>
    <row r="16" spans="1:29" ht="12.2" customHeight="1" x14ac:dyDescent="0.2">
      <c r="A16" s="2549">
        <f>COVER!A25</f>
        <v>60914</v>
      </c>
      <c r="B16" s="2550"/>
      <c r="C16" s="2550"/>
      <c r="D16" s="2550"/>
      <c r="E16" s="2550"/>
      <c r="F16" s="2551"/>
      <c r="G16" s="2561"/>
      <c r="H16" s="2562"/>
      <c r="I16" s="2562"/>
      <c r="J16" s="2562"/>
      <c r="K16" s="2562"/>
      <c r="L16" s="2563"/>
    </row>
    <row r="17" spans="1:13" ht="12.2" customHeight="1" x14ac:dyDescent="0.2">
      <c r="A17" s="2564"/>
      <c r="B17" s="2550"/>
      <c r="C17" s="2550"/>
      <c r="D17" s="2550"/>
      <c r="E17" s="2550"/>
      <c r="F17" s="2551"/>
      <c r="G17" s="974" t="s">
        <v>1174</v>
      </c>
      <c r="H17" s="972"/>
      <c r="I17" s="972"/>
      <c r="J17" s="972"/>
      <c r="K17" s="976" t="s">
        <v>1173</v>
      </c>
      <c r="L17" s="969"/>
      <c r="M17" s="962"/>
    </row>
    <row r="18" spans="1:13" ht="12.2" customHeight="1" x14ac:dyDescent="0.2">
      <c r="A18" s="2532"/>
      <c r="B18" s="2533"/>
      <c r="C18" s="2533"/>
      <c r="D18" s="2533"/>
      <c r="E18" s="2533"/>
      <c r="F18" s="2534"/>
      <c r="G18" s="2543" t="str">
        <f>COVER!T21</f>
        <v>815-468-8802</v>
      </c>
      <c r="H18" s="2544"/>
      <c r="I18" s="2544"/>
      <c r="J18" s="2544"/>
      <c r="K18" s="2543" t="str">
        <f>COVER!X21</f>
        <v>815-468-8805</v>
      </c>
      <c r="L18" s="254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2048</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2048</v>
      </c>
      <c r="C26" s="981" t="s">
        <v>1677</v>
      </c>
    </row>
    <row r="27" spans="1:13" s="977" customFormat="1" ht="9" customHeight="1" x14ac:dyDescent="0.2">
      <c r="B27" s="982"/>
      <c r="C27" s="981"/>
    </row>
    <row r="28" spans="1:13" s="977" customFormat="1" ht="12.2" customHeight="1" x14ac:dyDescent="0.2">
      <c r="A28" s="984"/>
      <c r="B28" s="980" t="s">
        <v>2048</v>
      </c>
      <c r="C28" s="981" t="s">
        <v>1678</v>
      </c>
    </row>
    <row r="29" spans="1:13" s="977" customFormat="1" ht="9" customHeight="1" x14ac:dyDescent="0.2">
      <c r="A29" s="984"/>
      <c r="B29" s="982"/>
      <c r="C29" s="981"/>
    </row>
    <row r="30" spans="1:13" s="977" customFormat="1" ht="12.2" customHeight="1" x14ac:dyDescent="0.2">
      <c r="B30" s="980" t="s">
        <v>2048</v>
      </c>
      <c r="C30" s="981" t="s">
        <v>1545</v>
      </c>
      <c r="D30" s="975"/>
      <c r="E30" s="975"/>
    </row>
    <row r="31" spans="1:13" s="977" customFormat="1" ht="9" customHeight="1" x14ac:dyDescent="0.2">
      <c r="B31" s="982"/>
      <c r="C31" s="981"/>
      <c r="D31" s="975"/>
      <c r="E31" s="975"/>
    </row>
    <row r="32" spans="1:13" s="977" customFormat="1" ht="12.2" customHeight="1" x14ac:dyDescent="0.2">
      <c r="B32" s="980" t="s">
        <v>2048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2048</v>
      </c>
      <c r="C38" s="981" t="s">
        <v>1549</v>
      </c>
    </row>
    <row r="39" spans="1:8" ht="9" customHeight="1" x14ac:dyDescent="0.2">
      <c r="B39" s="982"/>
      <c r="C39" s="985"/>
    </row>
    <row r="40" spans="1:8" s="977" customFormat="1" ht="13.5" customHeight="1" x14ac:dyDescent="0.2">
      <c r="B40" s="980" t="s">
        <v>2048</v>
      </c>
      <c r="C40" s="981" t="s">
        <v>1550</v>
      </c>
    </row>
    <row r="41" spans="1:8" ht="9" customHeight="1" x14ac:dyDescent="0.2">
      <c r="A41" s="986"/>
      <c r="B41" s="982"/>
      <c r="C41" s="985"/>
    </row>
    <row r="42" spans="1:8" s="977" customFormat="1" ht="13.5" customHeight="1" x14ac:dyDescent="0.2">
      <c r="B42" s="980" t="s">
        <v>2048</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2048</v>
      </c>
      <c r="C46" s="988" t="s">
        <v>1551</v>
      </c>
      <c r="D46" s="975"/>
      <c r="E46" s="975"/>
      <c r="F46" s="975"/>
      <c r="G46" s="975"/>
      <c r="H46" s="975"/>
    </row>
    <row r="47" spans="1:8" ht="9" customHeight="1" x14ac:dyDescent="0.2"/>
    <row r="48" spans="1:8" ht="12.2" customHeight="1" x14ac:dyDescent="0.2">
      <c r="B48" s="1541" t="s">
        <v>2048</v>
      </c>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52" zoomScale="125" zoomScaleNormal="125" workbookViewId="0">
      <selection activeCell="B102" sqref="B102"/>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5" t="str">
        <f>'Single Audit Cover'!A7</f>
        <v xml:space="preserve"> Bourbonnais SD 53</v>
      </c>
      <c r="B1" s="2566"/>
      <c r="C1" s="2566"/>
      <c r="D1" s="2566"/>
    </row>
    <row r="2" spans="1:11" s="991" customFormat="1" ht="12.75" x14ac:dyDescent="0.2">
      <c r="A2" s="2567">
        <f>'Single Audit Cover'!E7</f>
        <v>32046053002</v>
      </c>
      <c r="B2" s="2568"/>
      <c r="C2" s="2568"/>
      <c r="D2" s="2568"/>
    </row>
    <row r="3" spans="1:11" s="991" customFormat="1" ht="12.75" x14ac:dyDescent="0.2">
      <c r="A3" s="2565" t="s">
        <v>1496</v>
      </c>
      <c r="B3" s="2566"/>
      <c r="C3" s="2566"/>
      <c r="D3" s="2566"/>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2048</v>
      </c>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2048</v>
      </c>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2048</v>
      </c>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2048</v>
      </c>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2048</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2048</v>
      </c>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2048</v>
      </c>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2048</v>
      </c>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t="s">
        <v>2048</v>
      </c>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t="s">
        <v>2067</v>
      </c>
      <c r="C42" s="1008">
        <v>11</v>
      </c>
      <c r="D42" s="1019" t="s">
        <v>1557</v>
      </c>
      <c r="E42" s="290"/>
    </row>
    <row r="43" spans="1:5" ht="3" customHeight="1" x14ac:dyDescent="0.2">
      <c r="A43" s="998"/>
      <c r="B43" s="1015"/>
      <c r="C43" s="1016"/>
      <c r="D43" s="997"/>
    </row>
    <row r="44" spans="1:5" x14ac:dyDescent="0.2">
      <c r="A44" s="998"/>
      <c r="B44" s="1001" t="s">
        <v>2048</v>
      </c>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2048</v>
      </c>
      <c r="C48" s="1002">
        <f>C44+1</f>
        <v>13</v>
      </c>
      <c r="D48" s="1013" t="s">
        <v>1558</v>
      </c>
    </row>
    <row r="49" spans="1:4" ht="3" customHeight="1" x14ac:dyDescent="0.2">
      <c r="A49" s="998"/>
      <c r="B49" s="1005"/>
      <c r="C49" s="1002"/>
      <c r="D49" s="1013"/>
    </row>
    <row r="50" spans="1:4" x14ac:dyDescent="0.2">
      <c r="A50" s="998"/>
      <c r="B50" s="1001" t="s">
        <v>2048</v>
      </c>
      <c r="C50" s="1002">
        <f>C48+1</f>
        <v>14</v>
      </c>
      <c r="D50" s="1013" t="s">
        <v>1202</v>
      </c>
    </row>
    <row r="51" spans="1:4" ht="3" customHeight="1" x14ac:dyDescent="0.2">
      <c r="A51" s="998"/>
      <c r="B51" s="1005"/>
      <c r="C51" s="1002"/>
      <c r="D51" s="1013"/>
    </row>
    <row r="52" spans="1:4" x14ac:dyDescent="0.2">
      <c r="A52" s="998"/>
      <c r="B52" s="1001" t="s">
        <v>2048</v>
      </c>
      <c r="C52" s="1002">
        <f>C50+1</f>
        <v>15</v>
      </c>
      <c r="D52" s="1013" t="s">
        <v>1201</v>
      </c>
    </row>
    <row r="53" spans="1:4" ht="3" customHeight="1" x14ac:dyDescent="0.2">
      <c r="A53" s="998"/>
      <c r="B53" s="1005"/>
      <c r="C53" s="1002"/>
      <c r="D53" s="1013"/>
    </row>
    <row r="54" spans="1:4" x14ac:dyDescent="0.2">
      <c r="A54" s="998"/>
      <c r="B54" s="1001" t="s">
        <v>2067</v>
      </c>
      <c r="C54" s="1002">
        <f>C52+1</f>
        <v>16</v>
      </c>
      <c r="D54" s="1013" t="s">
        <v>1200</v>
      </c>
    </row>
    <row r="55" spans="1:4" ht="3" customHeight="1" x14ac:dyDescent="0.2">
      <c r="A55" s="998"/>
      <c r="B55" s="1005"/>
      <c r="C55" s="1002"/>
      <c r="D55" s="1013"/>
    </row>
    <row r="56" spans="1:4" x14ac:dyDescent="0.2">
      <c r="A56" s="998"/>
      <c r="B56" s="1001" t="s">
        <v>2048</v>
      </c>
      <c r="C56" s="1002">
        <f>C54+1</f>
        <v>17</v>
      </c>
      <c r="D56" s="997" t="s">
        <v>1686</v>
      </c>
    </row>
    <row r="57" spans="1:4" ht="10.5" customHeight="1" x14ac:dyDescent="0.2">
      <c r="A57" s="998"/>
      <c r="D57" s="1013" t="s">
        <v>1687</v>
      </c>
    </row>
    <row r="58" spans="1:4" x14ac:dyDescent="0.2">
      <c r="A58" s="998"/>
      <c r="C58" s="1020" t="s">
        <v>2048</v>
      </c>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t="s">
        <v>2048</v>
      </c>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t="s">
        <v>2048</v>
      </c>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t="s">
        <v>2048</v>
      </c>
      <c r="D69" s="1013" t="s">
        <v>1691</v>
      </c>
    </row>
    <row r="70" spans="1:4" x14ac:dyDescent="0.2">
      <c r="A70" s="998"/>
      <c r="D70" s="1022" t="s">
        <v>1196</v>
      </c>
    </row>
    <row r="71" spans="1:4" ht="3" customHeight="1" x14ac:dyDescent="0.2">
      <c r="A71" s="998"/>
      <c r="D71" s="997"/>
    </row>
    <row r="72" spans="1:4" x14ac:dyDescent="0.2">
      <c r="A72" s="998"/>
      <c r="B72" s="1001" t="s">
        <v>2048</v>
      </c>
      <c r="C72" s="1002">
        <f>C56+1</f>
        <v>18</v>
      </c>
      <c r="D72" s="1023" t="s">
        <v>1692</v>
      </c>
    </row>
    <row r="73" spans="1:4" ht="3" customHeight="1" x14ac:dyDescent="0.2">
      <c r="A73" s="998"/>
      <c r="B73" s="1005"/>
      <c r="C73" s="1002"/>
      <c r="D73" s="1023"/>
    </row>
    <row r="74" spans="1:4" x14ac:dyDescent="0.2">
      <c r="A74" s="998"/>
      <c r="B74" s="1001" t="s">
        <v>2067</v>
      </c>
      <c r="C74" s="1002">
        <f>C72+1</f>
        <v>19</v>
      </c>
      <c r="D74" s="1013" t="s">
        <v>1195</v>
      </c>
    </row>
    <row r="75" spans="1:4" ht="3" customHeight="1" x14ac:dyDescent="0.2">
      <c r="A75" s="998"/>
      <c r="B75" s="1005"/>
      <c r="C75" s="1002"/>
      <c r="D75" s="1013"/>
    </row>
    <row r="76" spans="1:4" x14ac:dyDescent="0.2">
      <c r="A76" s="998"/>
      <c r="B76" s="1001" t="s">
        <v>2048</v>
      </c>
      <c r="C76" s="1002">
        <f>C74+1</f>
        <v>20</v>
      </c>
      <c r="D76" s="1024" t="s">
        <v>1693</v>
      </c>
    </row>
    <row r="77" spans="1:4" ht="3" customHeight="1" x14ac:dyDescent="0.2">
      <c r="A77" s="998"/>
      <c r="B77" s="1005"/>
      <c r="C77" s="1002"/>
      <c r="D77" s="1024"/>
    </row>
    <row r="78" spans="1:4" x14ac:dyDescent="0.2">
      <c r="A78" s="998"/>
      <c r="B78" s="1001" t="s">
        <v>2048</v>
      </c>
      <c r="C78" s="1002">
        <f>C76+1</f>
        <v>21</v>
      </c>
      <c r="D78" s="997" t="s">
        <v>1694</v>
      </c>
    </row>
    <row r="79" spans="1:4" ht="3" customHeight="1" x14ac:dyDescent="0.2">
      <c r="A79" s="998"/>
      <c r="B79" s="1005"/>
      <c r="C79" s="1002"/>
      <c r="D79" s="997"/>
    </row>
    <row r="80" spans="1:4" x14ac:dyDescent="0.2">
      <c r="A80" s="998"/>
      <c r="B80" s="1001" t="s">
        <v>2048</v>
      </c>
      <c r="C80" s="1002">
        <f>C78+1</f>
        <v>22</v>
      </c>
      <c r="D80" s="1025" t="s">
        <v>1695</v>
      </c>
    </row>
    <row r="81" spans="1:4" ht="3" customHeight="1" x14ac:dyDescent="0.2">
      <c r="A81" s="998"/>
      <c r="B81" s="1005"/>
      <c r="C81" s="1002"/>
      <c r="D81" s="1025"/>
    </row>
    <row r="82" spans="1:4" x14ac:dyDescent="0.2">
      <c r="A82" s="998"/>
      <c r="B82" s="1001" t="s">
        <v>2048</v>
      </c>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t="s">
        <v>2048</v>
      </c>
      <c r="C85" s="1002">
        <f>C82+1</f>
        <v>24</v>
      </c>
      <c r="D85" s="1013" t="s">
        <v>1193</v>
      </c>
    </row>
    <row r="86" spans="1:4" ht="3" customHeight="1" x14ac:dyDescent="0.2">
      <c r="A86" s="998"/>
      <c r="B86" s="1005"/>
      <c r="C86" s="1002"/>
      <c r="D86" s="1013"/>
    </row>
    <row r="87" spans="1:4" x14ac:dyDescent="0.2">
      <c r="A87" s="998"/>
      <c r="B87" s="1001" t="s">
        <v>2048</v>
      </c>
      <c r="C87" s="1002">
        <f>C85+1</f>
        <v>25</v>
      </c>
      <c r="D87" s="1013" t="s">
        <v>1192</v>
      </c>
    </row>
    <row r="88" spans="1:4" ht="3" customHeight="1" x14ac:dyDescent="0.2">
      <c r="A88" s="998"/>
      <c r="B88" s="1005"/>
      <c r="C88" s="1002"/>
      <c r="D88" s="1013"/>
    </row>
    <row r="89" spans="1:4" x14ac:dyDescent="0.2">
      <c r="A89" s="998"/>
      <c r="B89" s="1001" t="s">
        <v>2048</v>
      </c>
      <c r="C89" s="1002">
        <f>C87+1</f>
        <v>26</v>
      </c>
      <c r="D89" s="1013" t="s">
        <v>1191</v>
      </c>
    </row>
    <row r="90" spans="1:4" ht="3" customHeight="1" x14ac:dyDescent="0.2">
      <c r="A90" s="998"/>
      <c r="B90" s="1005"/>
      <c r="C90" s="1002"/>
      <c r="D90" s="1013"/>
    </row>
    <row r="91" spans="1:4" x14ac:dyDescent="0.2">
      <c r="A91" s="998"/>
      <c r="B91" s="1001" t="s">
        <v>2067</v>
      </c>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t="s">
        <v>2048</v>
      </c>
      <c r="C96" s="1002">
        <f>C91+1</f>
        <v>28</v>
      </c>
      <c r="D96" s="1013" t="s">
        <v>1698</v>
      </c>
    </row>
    <row r="97" spans="1:4" ht="3" customHeight="1" x14ac:dyDescent="0.2">
      <c r="A97" s="998"/>
      <c r="B97" s="1005"/>
      <c r="C97" s="1002"/>
      <c r="D97" s="1013"/>
    </row>
    <row r="98" spans="1:4" x14ac:dyDescent="0.2">
      <c r="A98" s="998"/>
      <c r="B98" s="1001" t="s">
        <v>2048</v>
      </c>
      <c r="C98" s="1002">
        <f>C96+1</f>
        <v>29</v>
      </c>
      <c r="D98" s="1027" t="s">
        <v>1699</v>
      </c>
    </row>
    <row r="99" spans="1:4" ht="3" customHeight="1" x14ac:dyDescent="0.2">
      <c r="A99" s="998"/>
      <c r="B99" s="1005"/>
      <c r="C99" s="1002"/>
      <c r="D99" s="1027"/>
    </row>
    <row r="100" spans="1:4" x14ac:dyDescent="0.2">
      <c r="A100" s="998"/>
      <c r="B100" s="1001" t="s">
        <v>2048</v>
      </c>
      <c r="C100" s="1002">
        <f>C98+1</f>
        <v>30</v>
      </c>
      <c r="D100" s="1013" t="s">
        <v>1700</v>
      </c>
    </row>
    <row r="101" spans="1:4" ht="3" customHeight="1" x14ac:dyDescent="0.2">
      <c r="A101" s="998"/>
      <c r="B101" s="1005"/>
      <c r="C101" s="1002"/>
      <c r="D101" s="1028"/>
    </row>
    <row r="102" spans="1:4" x14ac:dyDescent="0.2">
      <c r="A102" s="998"/>
      <c r="B102" s="1001" t="s">
        <v>2048</v>
      </c>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0" t="str">
        <f>'Single Audit Cover'!A7</f>
        <v xml:space="preserve"> Bourbonnais SD 53</v>
      </c>
      <c r="B1" s="2570"/>
      <c r="C1" s="2570"/>
      <c r="D1" s="2570"/>
      <c r="E1" s="2570"/>
    </row>
    <row r="2" spans="1:5" x14ac:dyDescent="0.2">
      <c r="A2" s="2571">
        <f>'Single Audit Cover'!E7</f>
        <v>32046053002</v>
      </c>
      <c r="B2" s="2571"/>
      <c r="C2" s="2571"/>
      <c r="D2" s="2571"/>
      <c r="E2" s="2571"/>
    </row>
    <row r="3" spans="1:5" ht="4.5" customHeight="1" x14ac:dyDescent="0.2"/>
    <row r="4" spans="1:5" x14ac:dyDescent="0.2">
      <c r="A4" s="2570" t="s">
        <v>1234</v>
      </c>
      <c r="B4" s="2570"/>
      <c r="C4" s="2570"/>
      <c r="D4" s="2570"/>
      <c r="E4" s="2570"/>
    </row>
    <row r="5" spans="1:5" x14ac:dyDescent="0.2">
      <c r="A5" s="2573" t="str">
        <f>'Single Audit Cover'!A4</f>
        <v>Year Ending June 30, 2020</v>
      </c>
      <c r="B5" s="2573"/>
      <c r="C5" s="2573"/>
      <c r="D5" s="2573"/>
      <c r="E5" s="2573"/>
    </row>
    <row r="6" spans="1:5" x14ac:dyDescent="0.2">
      <c r="A6" s="2570" t="s">
        <v>1233</v>
      </c>
      <c r="B6" s="2570"/>
      <c r="C6" s="2570"/>
      <c r="D6" s="2570"/>
      <c r="E6" s="2570"/>
    </row>
    <row r="8" spans="1:5" x14ac:dyDescent="0.2">
      <c r="A8" s="1036" t="s">
        <v>1232</v>
      </c>
    </row>
    <row r="10" spans="1:5" x14ac:dyDescent="0.2">
      <c r="A10" s="1037" t="s">
        <v>1231</v>
      </c>
      <c r="B10" s="1038" t="s">
        <v>1230</v>
      </c>
      <c r="C10" s="1038"/>
      <c r="D10" s="1039">
        <f>SUM('Acct Summary 7-8'!C7:K7)</f>
        <v>1989390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52007</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-36631</v>
      </c>
    </row>
    <row r="19" spans="1:4" ht="13.5" thickBot="1" x14ac:dyDescent="0.25">
      <c r="A19" s="1041" t="s">
        <v>1224</v>
      </c>
      <c r="D19" s="1042">
        <f>SUM(D10:D17)</f>
        <v>2004766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2"/>
      <c r="B24" s="2572"/>
      <c r="D24" s="1044"/>
    </row>
    <row r="25" spans="1:4" x14ac:dyDescent="0.2">
      <c r="A25" s="2569"/>
      <c r="B25" s="2569"/>
      <c r="D25" s="1044"/>
    </row>
    <row r="26" spans="1:4" x14ac:dyDescent="0.2">
      <c r="A26" s="2569"/>
      <c r="B26" s="2569"/>
      <c r="D26" s="1044"/>
    </row>
    <row r="27" spans="1:4" x14ac:dyDescent="0.2">
      <c r="A27" s="2569"/>
      <c r="B27" s="2569"/>
      <c r="D27" s="1044"/>
    </row>
    <row r="28" spans="1:4" x14ac:dyDescent="0.2">
      <c r="A28" s="2569"/>
      <c r="B28" s="2569"/>
      <c r="D28" s="1044"/>
    </row>
    <row r="29" spans="1:4" x14ac:dyDescent="0.2">
      <c r="A29" s="2569"/>
      <c r="B29" s="2569"/>
      <c r="D29" s="1044"/>
    </row>
    <row r="30" spans="1:4" x14ac:dyDescent="0.2">
      <c r="A30" s="2569"/>
      <c r="B30" s="2569"/>
      <c r="D30" s="1044"/>
    </row>
    <row r="32" spans="1:4" x14ac:dyDescent="0.2">
      <c r="A32" s="1036" t="s">
        <v>1222</v>
      </c>
      <c r="D32" s="1039">
        <f>SUM(D19:D30)</f>
        <v>2004766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9"/>
      <c r="B40" s="2569"/>
      <c r="D40" s="1044"/>
    </row>
    <row r="41" spans="1:4" x14ac:dyDescent="0.2">
      <c r="A41" s="2569"/>
      <c r="B41" s="2569"/>
      <c r="D41" s="1047"/>
    </row>
    <row r="42" spans="1:4" x14ac:dyDescent="0.2">
      <c r="A42" s="2569"/>
      <c r="B42" s="2569"/>
      <c r="D42" s="1047"/>
    </row>
    <row r="43" spans="1:4" x14ac:dyDescent="0.2">
      <c r="A43" s="2569"/>
      <c r="B43" s="2569"/>
      <c r="D43" s="1047"/>
    </row>
    <row r="44" spans="1:4" x14ac:dyDescent="0.2">
      <c r="A44" s="2569"/>
      <c r="B44" s="2569"/>
      <c r="D44" s="1047"/>
    </row>
    <row r="45" spans="1:4" x14ac:dyDescent="0.2">
      <c r="A45" s="2569"/>
      <c r="B45" s="2569"/>
      <c r="D45" s="1047"/>
    </row>
    <row r="47" spans="1:4" x14ac:dyDescent="0.2">
      <c r="B47" s="1048" t="s">
        <v>1216</v>
      </c>
      <c r="C47" s="1048"/>
      <c r="D47" s="1049">
        <v>2004766</v>
      </c>
    </row>
    <row r="49" spans="2:4" x14ac:dyDescent="0.2">
      <c r="B49" s="1048" t="s">
        <v>1215</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66"/>
  <sheetViews>
    <sheetView showGridLines="0" topLeftCell="A16" zoomScaleNormal="100" workbookViewId="0">
      <selection activeCell="P39" sqref="P39"/>
    </sheetView>
  </sheetViews>
  <sheetFormatPr defaultColWidth="33.5703125" defaultRowHeight="12.75" x14ac:dyDescent="0.2"/>
  <cols>
    <col min="1" max="1" width="0.140625" style="295" customWidth="1"/>
    <col min="2" max="2" width="35.28515625" style="295" customWidth="1"/>
    <col min="3" max="3" width="8.7109375" style="1127" customWidth="1"/>
    <col min="4" max="4" width="1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2" t="str">
        <f>'Single Audit Cover'!A7</f>
        <v xml:space="preserve"> Bourbonnais SD 53</v>
      </c>
      <c r="C1" s="2574"/>
      <c r="D1" s="2574"/>
      <c r="E1" s="2574"/>
      <c r="F1" s="2574"/>
      <c r="G1" s="2574"/>
      <c r="H1" s="2574"/>
      <c r="I1" s="2574"/>
      <c r="J1" s="2574"/>
      <c r="K1" s="2574"/>
      <c r="L1" s="2574"/>
      <c r="M1" s="2574"/>
    </row>
    <row r="2" spans="2:14" ht="15" x14ac:dyDescent="0.2">
      <c r="B2" s="2575">
        <f>'Single Audit Cover'!E7</f>
        <v>32046053002</v>
      </c>
      <c r="C2" s="2575"/>
      <c r="D2" s="2575"/>
      <c r="E2" s="2575"/>
      <c r="F2" s="2575"/>
      <c r="G2" s="2575"/>
      <c r="H2" s="2575"/>
      <c r="I2" s="2575"/>
      <c r="J2" s="2575"/>
      <c r="K2" s="2575"/>
      <c r="L2" s="2575"/>
      <c r="M2" s="2575"/>
      <c r="N2" s="1078"/>
    </row>
    <row r="3" spans="2:14" ht="15" x14ac:dyDescent="0.2">
      <c r="B3" s="2576" t="s">
        <v>1208</v>
      </c>
      <c r="C3" s="2576"/>
      <c r="D3" s="2576"/>
      <c r="E3" s="2576"/>
      <c r="F3" s="2576"/>
      <c r="G3" s="2576"/>
      <c r="H3" s="2576"/>
      <c r="I3" s="2576"/>
      <c r="J3" s="2576"/>
      <c r="K3" s="2576"/>
      <c r="L3" s="2576"/>
      <c r="M3" s="2576"/>
      <c r="N3" s="1078"/>
    </row>
    <row r="4" spans="2:14" ht="15" x14ac:dyDescent="0.2">
      <c r="B4" s="2577" t="str">
        <f>'Single Audit Cover'!A4</f>
        <v>Year Ending June 30, 2020</v>
      </c>
      <c r="C4" s="2577"/>
      <c r="D4" s="2577"/>
      <c r="E4" s="2577"/>
      <c r="F4" s="2577"/>
      <c r="G4" s="2577"/>
      <c r="H4" s="2577"/>
      <c r="I4" s="2577"/>
      <c r="J4" s="2577"/>
      <c r="K4" s="2577"/>
      <c r="L4" s="2577"/>
      <c r="M4" s="2577"/>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2068</v>
      </c>
      <c r="C11" s="1821"/>
      <c r="D11" s="1822"/>
      <c r="E11" s="1823"/>
      <c r="F11" s="1823"/>
      <c r="G11" s="1823"/>
      <c r="H11" s="1823"/>
      <c r="I11" s="1823"/>
      <c r="J11" s="1823"/>
      <c r="K11" s="1823"/>
      <c r="L11" s="1823"/>
      <c r="M11" s="1823"/>
    </row>
    <row r="12" spans="2:14" ht="20.100000000000001" customHeight="1" x14ac:dyDescent="0.2">
      <c r="B12" s="1113" t="s">
        <v>2073</v>
      </c>
      <c r="C12" s="1824" t="s">
        <v>2069</v>
      </c>
      <c r="D12" s="1825" t="s">
        <v>2070</v>
      </c>
      <c r="E12" s="1826">
        <v>396075</v>
      </c>
      <c r="F12" s="1826">
        <v>214967</v>
      </c>
      <c r="G12" s="1826">
        <f>+E12+F12</f>
        <v>611042</v>
      </c>
      <c r="H12" s="1826"/>
      <c r="I12" s="1826"/>
      <c r="J12" s="1826"/>
      <c r="K12" s="1826"/>
      <c r="L12" s="1823">
        <f>+G12:G12</f>
        <v>611042</v>
      </c>
      <c r="M12" s="1826">
        <v>670397</v>
      </c>
    </row>
    <row r="13" spans="2:14" ht="20.100000000000001" customHeight="1" x14ac:dyDescent="0.2">
      <c r="B13" s="1113" t="s">
        <v>2073</v>
      </c>
      <c r="C13" s="1824" t="s">
        <v>2069</v>
      </c>
      <c r="D13" s="1825" t="s">
        <v>2071</v>
      </c>
      <c r="E13" s="1826"/>
      <c r="F13" s="1826">
        <v>435125</v>
      </c>
      <c r="G13" s="1826"/>
      <c r="H13" s="1826"/>
      <c r="I13" s="1826">
        <v>610661</v>
      </c>
      <c r="J13" s="1826"/>
      <c r="K13" s="1826"/>
      <c r="L13" s="1823">
        <v>610661</v>
      </c>
      <c r="M13" s="1826">
        <v>656480</v>
      </c>
    </row>
    <row r="14" spans="2:14" ht="20.100000000000001" customHeight="1" x14ac:dyDescent="0.2">
      <c r="B14" s="1113" t="s">
        <v>2072</v>
      </c>
      <c r="C14" s="1824" t="s">
        <v>2069</v>
      </c>
      <c r="D14" s="1825" t="s">
        <v>2074</v>
      </c>
      <c r="E14" s="1826">
        <v>11050</v>
      </c>
      <c r="F14" s="1826">
        <v>48333</v>
      </c>
      <c r="G14" s="1826">
        <f>+E14+F14</f>
        <v>59383</v>
      </c>
      <c r="H14" s="1826"/>
      <c r="I14" s="1826"/>
      <c r="J14" s="1826"/>
      <c r="K14" s="1826"/>
      <c r="L14" s="1823">
        <f>+G14</f>
        <v>59383</v>
      </c>
      <c r="M14" s="1826">
        <v>60463</v>
      </c>
    </row>
    <row r="15" spans="2:14" ht="20.100000000000001" customHeight="1" x14ac:dyDescent="0.2">
      <c r="B15" s="1113" t="s">
        <v>2072</v>
      </c>
      <c r="C15" s="1824" t="s">
        <v>2069</v>
      </c>
      <c r="D15" s="1825" t="s">
        <v>2075</v>
      </c>
      <c r="E15" s="1826"/>
      <c r="F15" s="1826">
        <v>13195</v>
      </c>
      <c r="G15" s="1826"/>
      <c r="H15" s="1826"/>
      <c r="I15" s="1826">
        <v>29995</v>
      </c>
      <c r="J15" s="1826"/>
      <c r="K15" s="1826"/>
      <c r="L15" s="1823">
        <v>29995</v>
      </c>
      <c r="M15" s="1826">
        <v>30000</v>
      </c>
    </row>
    <row r="16" spans="2:14" ht="20.100000000000001" customHeight="1" x14ac:dyDescent="0.2">
      <c r="B16" s="1113" t="s">
        <v>2113</v>
      </c>
      <c r="C16" s="1824" t="s">
        <v>2079</v>
      </c>
      <c r="D16" s="1825" t="s">
        <v>2076</v>
      </c>
      <c r="E16" s="1826">
        <v>31508</v>
      </c>
      <c r="F16" s="1826">
        <v>17420</v>
      </c>
      <c r="G16" s="1826">
        <f>+E16+F16</f>
        <v>48928</v>
      </c>
      <c r="H16" s="1826"/>
      <c r="I16" s="1826"/>
      <c r="J16" s="1826"/>
      <c r="K16" s="1826"/>
      <c r="L16" s="1823">
        <f>+G16</f>
        <v>48928</v>
      </c>
      <c r="M16" s="1826">
        <v>55429</v>
      </c>
    </row>
    <row r="17" spans="2:13" ht="20.100000000000001" customHeight="1" x14ac:dyDescent="0.2">
      <c r="B17" s="1113" t="s">
        <v>2113</v>
      </c>
      <c r="C17" s="1824" t="s">
        <v>2079</v>
      </c>
      <c r="D17" s="1825" t="s">
        <v>2077</v>
      </c>
      <c r="E17" s="1826"/>
      <c r="F17" s="1826">
        <v>42436</v>
      </c>
      <c r="G17" s="1826"/>
      <c r="H17" s="1826"/>
      <c r="I17" s="1826">
        <v>70439</v>
      </c>
      <c r="J17" s="1826"/>
      <c r="K17" s="1826"/>
      <c r="L17" s="1823">
        <v>70439</v>
      </c>
      <c r="M17" s="1826">
        <v>76689</v>
      </c>
    </row>
    <row r="18" spans="2:13" ht="20.100000000000001" customHeight="1" x14ac:dyDescent="0.2">
      <c r="B18" s="1113" t="s">
        <v>2078</v>
      </c>
      <c r="C18" s="1824" t="s">
        <v>2156</v>
      </c>
      <c r="D18" s="1825" t="s">
        <v>2080</v>
      </c>
      <c r="E18" s="1826">
        <v>28373</v>
      </c>
      <c r="F18" s="1826">
        <v>17122</v>
      </c>
      <c r="G18" s="1826">
        <f>+E18+F18</f>
        <v>45495</v>
      </c>
      <c r="H18" s="1826"/>
      <c r="I18" s="1826"/>
      <c r="J18" s="1826"/>
      <c r="K18" s="1826"/>
      <c r="L18" s="1823">
        <f>+G18</f>
        <v>45495</v>
      </c>
      <c r="M18" s="1826">
        <v>49802</v>
      </c>
    </row>
    <row r="19" spans="2:13" ht="20.100000000000001" customHeight="1" x14ac:dyDescent="0.2">
      <c r="B19" s="1113" t="s">
        <v>2078</v>
      </c>
      <c r="C19" s="1824" t="s">
        <v>2156</v>
      </c>
      <c r="D19" s="1825" t="s">
        <v>2081</v>
      </c>
      <c r="E19" s="1826"/>
      <c r="F19" s="1826">
        <v>24342</v>
      </c>
      <c r="G19" s="1826"/>
      <c r="H19" s="1826"/>
      <c r="I19" s="1826">
        <v>22602</v>
      </c>
      <c r="J19" s="1826"/>
      <c r="K19" s="1826"/>
      <c r="L19" s="1823">
        <v>22602</v>
      </c>
      <c r="M19" s="1826">
        <v>37180</v>
      </c>
    </row>
    <row r="20" spans="2:13" ht="20.100000000000001" customHeight="1" x14ac:dyDescent="0.2">
      <c r="B20" s="1113" t="s">
        <v>2114</v>
      </c>
      <c r="C20" s="1824" t="s">
        <v>2082</v>
      </c>
      <c r="D20" s="1825" t="s">
        <v>2106</v>
      </c>
      <c r="E20" s="1826">
        <v>12288</v>
      </c>
      <c r="F20" s="1826">
        <v>6711</v>
      </c>
      <c r="G20" s="1826">
        <f>+E20+F20</f>
        <v>18999</v>
      </c>
      <c r="H20" s="1826"/>
      <c r="I20" s="1826"/>
      <c r="J20" s="1826"/>
      <c r="K20" s="1826"/>
      <c r="L20" s="1823">
        <f>+G20</f>
        <v>18999</v>
      </c>
      <c r="M20" s="1826">
        <v>18999</v>
      </c>
    </row>
    <row r="21" spans="2:13" ht="20.100000000000001" customHeight="1" x14ac:dyDescent="0.2">
      <c r="B21" s="1113" t="s">
        <v>2114</v>
      </c>
      <c r="C21" s="1824" t="s">
        <v>2082</v>
      </c>
      <c r="D21" s="1825" t="s">
        <v>2107</v>
      </c>
      <c r="E21" s="1826"/>
      <c r="F21" s="1826"/>
      <c r="G21" s="1826"/>
      <c r="H21" s="1826"/>
      <c r="I21" s="1826">
        <v>16333</v>
      </c>
      <c r="J21" s="1826"/>
      <c r="K21" s="1826"/>
      <c r="L21" s="1823">
        <v>16333</v>
      </c>
      <c r="M21" s="1826">
        <v>17483</v>
      </c>
    </row>
    <row r="22" spans="2:13" ht="20.100000000000001" customHeight="1" x14ac:dyDescent="0.2">
      <c r="B22" s="1113" t="s">
        <v>2115</v>
      </c>
      <c r="C22" s="1824" t="s">
        <v>2083</v>
      </c>
      <c r="D22" s="1825" t="s">
        <v>2084</v>
      </c>
      <c r="E22" s="2041">
        <v>350599</v>
      </c>
      <c r="F22" s="2041">
        <v>164080</v>
      </c>
      <c r="G22" s="2041">
        <f>+E22+F22</f>
        <v>514679</v>
      </c>
      <c r="H22" s="2041"/>
      <c r="I22" s="2041"/>
      <c r="J22" s="2041"/>
      <c r="K22" s="2041"/>
      <c r="L22" s="2041">
        <f>+G22</f>
        <v>514679</v>
      </c>
      <c r="M22" s="2041">
        <v>532541</v>
      </c>
    </row>
    <row r="23" spans="2:13" ht="20.100000000000001" customHeight="1" x14ac:dyDescent="0.2">
      <c r="B23" s="1113" t="s">
        <v>2115</v>
      </c>
      <c r="C23" s="1824" t="s">
        <v>2083</v>
      </c>
      <c r="D23" s="1825" t="s">
        <v>2085</v>
      </c>
      <c r="E23" s="2041"/>
      <c r="F23" s="2041">
        <v>364112</v>
      </c>
      <c r="G23" s="2041"/>
      <c r="H23" s="2041"/>
      <c r="I23" s="2041">
        <v>401988</v>
      </c>
      <c r="J23" s="2041"/>
      <c r="K23" s="2041"/>
      <c r="L23" s="2041">
        <f t="shared" ref="L23" si="0">+G23+I23+K23</f>
        <v>401988</v>
      </c>
      <c r="M23" s="2041">
        <v>446560</v>
      </c>
    </row>
    <row r="24" spans="2:13" ht="20.100000000000001" customHeight="1" thickBot="1" x14ac:dyDescent="0.25">
      <c r="B24" s="1113" t="s">
        <v>2103</v>
      </c>
      <c r="C24" s="1824" t="s">
        <v>2104</v>
      </c>
      <c r="D24" s="1822" t="s">
        <v>2105</v>
      </c>
      <c r="E24" s="2037"/>
      <c r="F24" s="2037"/>
      <c r="G24" s="2037"/>
      <c r="H24" s="2037"/>
      <c r="I24" s="2037">
        <v>29970</v>
      </c>
      <c r="J24" s="2037"/>
      <c r="K24" s="2037"/>
      <c r="L24" s="2042"/>
      <c r="M24" s="2037">
        <v>474958</v>
      </c>
    </row>
    <row r="25" spans="2:13" ht="20.100000000000001" customHeight="1" thickBot="1" x14ac:dyDescent="0.25">
      <c r="B25" s="2038" t="s">
        <v>2086</v>
      </c>
      <c r="C25" s="1824"/>
      <c r="D25" s="1825"/>
      <c r="E25" s="2037">
        <f>SUM(E12:E24)</f>
        <v>829893</v>
      </c>
      <c r="F25" s="2037">
        <f t="shared" ref="F25:M25" si="1">SUM(F12:F24)</f>
        <v>1347843</v>
      </c>
      <c r="G25" s="2037">
        <f t="shared" si="1"/>
        <v>1298526</v>
      </c>
      <c r="H25" s="2037">
        <f t="shared" si="1"/>
        <v>0</v>
      </c>
      <c r="I25" s="2037">
        <f t="shared" si="1"/>
        <v>1181988</v>
      </c>
      <c r="J25" s="2037">
        <f t="shared" si="1"/>
        <v>0</v>
      </c>
      <c r="K25" s="2037">
        <f t="shared" si="1"/>
        <v>0</v>
      </c>
      <c r="L25" s="2037">
        <f t="shared" si="1"/>
        <v>2450544</v>
      </c>
      <c r="M25" s="2037">
        <f t="shared" si="1"/>
        <v>3126981</v>
      </c>
    </row>
    <row r="26" spans="2:13" ht="20.100000000000001" customHeight="1" x14ac:dyDescent="0.2">
      <c r="B26" s="1113"/>
      <c r="C26" s="1824"/>
      <c r="D26" s="1825"/>
      <c r="E26" s="1823"/>
      <c r="F26" s="1823"/>
      <c r="G26" s="1823"/>
      <c r="H26" s="1823"/>
      <c r="I26" s="1823"/>
      <c r="J26" s="1823"/>
      <c r="K26" s="1823"/>
      <c r="L26" s="1823"/>
      <c r="M26" s="1823"/>
    </row>
    <row r="27" spans="2:13" ht="20.100000000000001" customHeight="1" x14ac:dyDescent="0.2">
      <c r="B27" s="1113" t="s">
        <v>2098</v>
      </c>
      <c r="C27" s="1824"/>
      <c r="D27" s="1825"/>
      <c r="E27" s="1823"/>
      <c r="F27" s="1823"/>
      <c r="G27" s="1823"/>
      <c r="H27" s="1823"/>
      <c r="I27" s="1823"/>
      <c r="J27" s="1823"/>
      <c r="K27" s="1823"/>
      <c r="L27" s="1823"/>
      <c r="M27" s="1823"/>
    </row>
    <row r="28" spans="2:13" ht="20.100000000000001" customHeight="1" x14ac:dyDescent="0.2">
      <c r="B28" s="1113" t="s">
        <v>2087</v>
      </c>
      <c r="C28" s="1824">
        <v>10.555</v>
      </c>
      <c r="D28" s="1825" t="s">
        <v>2088</v>
      </c>
      <c r="E28" s="1823">
        <v>399226</v>
      </c>
      <c r="F28" s="1823">
        <v>78949</v>
      </c>
      <c r="G28" s="1823">
        <f>+E28</f>
        <v>399226</v>
      </c>
      <c r="H28" s="1823"/>
      <c r="I28" s="1823">
        <f t="shared" ref="I28:I34" si="2">+F28</f>
        <v>78949</v>
      </c>
      <c r="J28" s="1823"/>
      <c r="K28" s="1823"/>
      <c r="L28" s="1823">
        <f t="shared" ref="L28:L37" si="3">+G28+I28+K28</f>
        <v>478175</v>
      </c>
      <c r="M28" s="1823"/>
    </row>
    <row r="29" spans="2:13" ht="20.100000000000001" customHeight="1" x14ac:dyDescent="0.2">
      <c r="B29" s="1113" t="s">
        <v>2087</v>
      </c>
      <c r="C29" s="1824">
        <v>10.555</v>
      </c>
      <c r="D29" s="1825" t="s">
        <v>2089</v>
      </c>
      <c r="E29" s="1823"/>
      <c r="F29" s="1823">
        <v>289140</v>
      </c>
      <c r="G29" s="1823"/>
      <c r="H29" s="1823"/>
      <c r="I29" s="1823">
        <f t="shared" si="2"/>
        <v>289140</v>
      </c>
      <c r="J29" s="1823"/>
      <c r="K29" s="1823"/>
      <c r="L29" s="1823">
        <f t="shared" si="3"/>
        <v>289140</v>
      </c>
      <c r="M29" s="1823"/>
    </row>
    <row r="30" spans="2:13" ht="20.100000000000001" customHeight="1" x14ac:dyDescent="0.2">
      <c r="B30" s="1113" t="s">
        <v>2090</v>
      </c>
      <c r="C30" s="1824">
        <v>10.553000000000001</v>
      </c>
      <c r="D30" s="1825" t="s">
        <v>2091</v>
      </c>
      <c r="E30" s="1823">
        <v>122598</v>
      </c>
      <c r="F30" s="1823">
        <v>23025</v>
      </c>
      <c r="G30" s="1823">
        <f>+E30</f>
        <v>122598</v>
      </c>
      <c r="H30" s="1823"/>
      <c r="I30" s="1823">
        <f t="shared" si="2"/>
        <v>23025</v>
      </c>
      <c r="J30" s="1823"/>
      <c r="K30" s="1823"/>
      <c r="L30" s="1823">
        <f t="shared" si="3"/>
        <v>145623</v>
      </c>
      <c r="M30" s="1823"/>
    </row>
    <row r="31" spans="2:13" ht="20.100000000000001" customHeight="1" x14ac:dyDescent="0.2">
      <c r="B31" s="1113" t="s">
        <v>2090</v>
      </c>
      <c r="C31" s="1824">
        <v>10.553000000000001</v>
      </c>
      <c r="D31" s="1825" t="s">
        <v>2092</v>
      </c>
      <c r="E31" s="1823"/>
      <c r="F31" s="1823">
        <v>91803</v>
      </c>
      <c r="G31" s="1823"/>
      <c r="H31" s="1823"/>
      <c r="I31" s="1823">
        <f t="shared" si="2"/>
        <v>91803</v>
      </c>
      <c r="J31" s="1823"/>
      <c r="K31" s="1823"/>
      <c r="L31" s="1823">
        <f t="shared" si="3"/>
        <v>91803</v>
      </c>
      <c r="M31" s="1823"/>
    </row>
    <row r="32" spans="2:13" ht="20.100000000000001" customHeight="1" x14ac:dyDescent="0.2">
      <c r="B32" s="1113" t="s">
        <v>2093</v>
      </c>
      <c r="C32" s="1824">
        <v>10.558999999999999</v>
      </c>
      <c r="D32" s="1825" t="s">
        <v>2094</v>
      </c>
      <c r="E32" s="1823"/>
      <c r="F32" s="1823">
        <v>49703</v>
      </c>
      <c r="G32" s="1823"/>
      <c r="H32" s="1823"/>
      <c r="I32" s="1823">
        <f t="shared" si="2"/>
        <v>49703</v>
      </c>
      <c r="J32" s="1823"/>
      <c r="K32" s="1823"/>
      <c r="L32" s="1823">
        <f t="shared" si="3"/>
        <v>49703</v>
      </c>
      <c r="M32" s="1823"/>
    </row>
    <row r="33" spans="2:14" ht="20.100000000000001" customHeight="1" x14ac:dyDescent="0.2">
      <c r="B33" s="1113" t="s">
        <v>2095</v>
      </c>
      <c r="C33" s="1824">
        <v>10.582000000000001</v>
      </c>
      <c r="D33" s="1825"/>
      <c r="E33" s="1823"/>
      <c r="F33" s="1823">
        <v>11595</v>
      </c>
      <c r="G33" s="1823"/>
      <c r="H33" s="1823"/>
      <c r="I33" s="1823">
        <f t="shared" si="2"/>
        <v>11595</v>
      </c>
      <c r="J33" s="1823"/>
      <c r="K33" s="1823"/>
      <c r="L33" s="1823">
        <f t="shared" si="3"/>
        <v>11595</v>
      </c>
      <c r="M33" s="1823"/>
    </row>
    <row r="34" spans="2:14" ht="20.100000000000001" customHeight="1" thickBot="1" x14ac:dyDescent="0.25">
      <c r="B34" s="1113" t="s">
        <v>2096</v>
      </c>
      <c r="C34" s="1824">
        <v>10.569000000000001</v>
      </c>
      <c r="D34" s="1825"/>
      <c r="E34" s="2035"/>
      <c r="F34" s="2035">
        <v>40412</v>
      </c>
      <c r="G34" s="2035"/>
      <c r="H34" s="2035"/>
      <c r="I34" s="2035">
        <f t="shared" si="2"/>
        <v>40412</v>
      </c>
      <c r="J34" s="2035"/>
      <c r="K34" s="2035"/>
      <c r="L34" s="1823">
        <f t="shared" si="3"/>
        <v>40412</v>
      </c>
      <c r="M34" s="2035"/>
    </row>
    <row r="35" spans="2:14" ht="20.100000000000001" customHeight="1" thickBot="1" x14ac:dyDescent="0.25">
      <c r="B35" s="2038" t="s">
        <v>2097</v>
      </c>
      <c r="C35" s="1824"/>
      <c r="D35" s="1825"/>
      <c r="E35" s="2036">
        <f>SUM(E28:E34)</f>
        <v>521824</v>
      </c>
      <c r="F35" s="2036">
        <f t="shared" ref="F35:M35" si="4">SUM(F28:F34)</f>
        <v>584627</v>
      </c>
      <c r="G35" s="2036">
        <f t="shared" si="4"/>
        <v>521824</v>
      </c>
      <c r="H35" s="2036">
        <f t="shared" si="4"/>
        <v>0</v>
      </c>
      <c r="I35" s="2036">
        <f t="shared" si="4"/>
        <v>584627</v>
      </c>
      <c r="J35" s="2036">
        <f t="shared" si="4"/>
        <v>0</v>
      </c>
      <c r="K35" s="2036">
        <f t="shared" si="4"/>
        <v>0</v>
      </c>
      <c r="L35" s="2036">
        <f t="shared" si="4"/>
        <v>1106451</v>
      </c>
      <c r="M35" s="2036">
        <f t="shared" si="4"/>
        <v>0</v>
      </c>
    </row>
    <row r="36" spans="2:14" ht="20.100000000000001" customHeight="1" x14ac:dyDescent="0.2">
      <c r="B36" s="1113"/>
      <c r="C36" s="1824"/>
      <c r="D36" s="1825"/>
      <c r="E36" s="1823"/>
      <c r="F36" s="1823"/>
      <c r="G36" s="1823"/>
      <c r="H36" s="1823"/>
      <c r="I36" s="1823"/>
      <c r="J36" s="1823"/>
      <c r="K36" s="1823"/>
      <c r="L36" s="1823">
        <f t="shared" si="3"/>
        <v>0</v>
      </c>
      <c r="M36" s="1823"/>
    </row>
    <row r="37" spans="2:14" ht="20.100000000000001" customHeight="1" x14ac:dyDescent="0.2">
      <c r="B37" s="1113" t="s">
        <v>2099</v>
      </c>
      <c r="C37" s="1824"/>
      <c r="D37" s="1825"/>
      <c r="E37" s="1826"/>
      <c r="F37" s="1826"/>
      <c r="G37" s="1826"/>
      <c r="H37" s="1826"/>
      <c r="I37" s="1826"/>
      <c r="J37" s="1826"/>
      <c r="K37" s="1826"/>
      <c r="L37" s="1823">
        <f t="shared" si="3"/>
        <v>0</v>
      </c>
      <c r="M37" s="1826"/>
    </row>
    <row r="38" spans="2:14" ht="20.100000000000001" customHeight="1" thickBot="1" x14ac:dyDescent="0.25">
      <c r="B38" s="1113" t="s">
        <v>2100</v>
      </c>
      <c r="C38" s="1824">
        <v>93.778000000000006</v>
      </c>
      <c r="D38" s="1825" t="s">
        <v>2108</v>
      </c>
      <c r="E38" s="2035"/>
      <c r="F38" s="2035">
        <v>72296</v>
      </c>
      <c r="G38" s="2035"/>
      <c r="H38" s="2035"/>
      <c r="I38" s="2035">
        <f>+F38</f>
        <v>72296</v>
      </c>
      <c r="J38" s="2035"/>
      <c r="K38" s="2035"/>
      <c r="L38" s="2035">
        <f>+I38</f>
        <v>72296</v>
      </c>
      <c r="M38" s="2035"/>
    </row>
    <row r="39" spans="2:14" ht="20.100000000000001" customHeight="1" thickBot="1" x14ac:dyDescent="0.25">
      <c r="B39" s="2038" t="s">
        <v>2101</v>
      </c>
      <c r="C39" s="1824"/>
      <c r="D39" s="1825"/>
      <c r="E39" s="2036">
        <f>+E38</f>
        <v>0</v>
      </c>
      <c r="F39" s="2036">
        <f t="shared" ref="F39:M39" si="5">+F38</f>
        <v>72296</v>
      </c>
      <c r="G39" s="2036">
        <f t="shared" si="5"/>
        <v>0</v>
      </c>
      <c r="H39" s="2036">
        <f t="shared" si="5"/>
        <v>0</v>
      </c>
      <c r="I39" s="2036">
        <f t="shared" si="5"/>
        <v>72296</v>
      </c>
      <c r="J39" s="2036">
        <f t="shared" si="5"/>
        <v>0</v>
      </c>
      <c r="K39" s="2036">
        <f t="shared" si="5"/>
        <v>0</v>
      </c>
      <c r="L39" s="2036">
        <f t="shared" si="5"/>
        <v>72296</v>
      </c>
      <c r="M39" s="2036">
        <f t="shared" si="5"/>
        <v>0</v>
      </c>
    </row>
    <row r="40" spans="2:14" ht="20.100000000000001" customHeight="1" x14ac:dyDescent="0.2">
      <c r="B40" s="1113"/>
      <c r="C40" s="1824"/>
      <c r="D40" s="1825"/>
      <c r="E40" s="1823"/>
      <c r="F40" s="1823"/>
      <c r="G40" s="1823"/>
      <c r="H40" s="1823"/>
      <c r="I40" s="1823"/>
      <c r="J40" s="1823"/>
      <c r="K40" s="1823"/>
      <c r="L40" s="1823"/>
      <c r="M40" s="1823"/>
    </row>
    <row r="41" spans="2:14" ht="20.100000000000001" customHeight="1" thickBot="1" x14ac:dyDescent="0.25">
      <c r="B41" s="2039" t="s">
        <v>2102</v>
      </c>
      <c r="C41" s="1824"/>
      <c r="D41" s="1825"/>
      <c r="E41" s="2040">
        <f>+E25+E35+E39</f>
        <v>1351717</v>
      </c>
      <c r="F41" s="2040">
        <f t="shared" ref="F41:M41" si="6">+F25+F35+F39</f>
        <v>2004766</v>
      </c>
      <c r="G41" s="2040">
        <f t="shared" si="6"/>
        <v>1820350</v>
      </c>
      <c r="H41" s="2040">
        <f t="shared" si="6"/>
        <v>0</v>
      </c>
      <c r="I41" s="2040">
        <f t="shared" si="6"/>
        <v>1838911</v>
      </c>
      <c r="J41" s="2040">
        <f t="shared" si="6"/>
        <v>0</v>
      </c>
      <c r="K41" s="2040">
        <f t="shared" si="6"/>
        <v>0</v>
      </c>
      <c r="L41" s="2040">
        <f t="shared" si="6"/>
        <v>3629291</v>
      </c>
      <c r="M41" s="2040">
        <f t="shared" si="6"/>
        <v>3126981</v>
      </c>
      <c r="N41" s="1114"/>
    </row>
    <row r="42" spans="2:14" ht="12.75" customHeight="1" thickTop="1" x14ac:dyDescent="0.2">
      <c r="B42" s="1115"/>
      <c r="C42" s="1116"/>
      <c r="D42" s="1117"/>
      <c r="E42" s="1118"/>
      <c r="F42" s="1118"/>
      <c r="G42" s="1118"/>
      <c r="H42" s="1118"/>
      <c r="I42" s="1118"/>
      <c r="J42" s="1118"/>
      <c r="K42" s="1118"/>
      <c r="L42" s="1118"/>
      <c r="M42" s="1118"/>
      <c r="N42" s="1114"/>
    </row>
    <row r="43" spans="2:14" x14ac:dyDescent="0.2">
      <c r="B43" s="1033"/>
      <c r="C43" s="1119"/>
      <c r="D43" s="1120"/>
      <c r="E43" s="1033"/>
      <c r="F43" s="1033"/>
      <c r="G43" s="1026"/>
      <c r="H43" s="1026"/>
      <c r="I43" s="1026"/>
      <c r="J43" s="1026"/>
      <c r="K43" s="1026"/>
      <c r="L43" s="1026"/>
      <c r="M43" s="1033"/>
      <c r="N43" s="1114"/>
    </row>
    <row r="44" spans="2:14" ht="13.5" customHeight="1" x14ac:dyDescent="0.2">
      <c r="B44" s="1058" t="s">
        <v>1711</v>
      </c>
      <c r="C44" s="1119"/>
      <c r="D44" s="1120"/>
      <c r="E44" s="1033"/>
      <c r="F44" s="1033"/>
      <c r="G44" s="1026"/>
      <c r="H44" s="1026"/>
      <c r="I44" s="1026"/>
      <c r="J44" s="1026"/>
      <c r="K44" s="1026"/>
      <c r="L44" s="1026"/>
      <c r="M44" s="1033"/>
      <c r="N44" s="1114"/>
    </row>
    <row r="45" spans="2:14" ht="8.25" customHeight="1" x14ac:dyDescent="0.2">
      <c r="B45" s="1058"/>
      <c r="C45" s="1119"/>
      <c r="D45" s="1120"/>
      <c r="E45" s="1033"/>
      <c r="F45" s="1033"/>
      <c r="G45" s="1026"/>
      <c r="H45" s="1026"/>
      <c r="I45" s="1026"/>
      <c r="J45" s="1026"/>
      <c r="K45" s="1026"/>
      <c r="L45" s="1026"/>
      <c r="M45" s="1033"/>
      <c r="N45" s="1114"/>
    </row>
    <row r="46" spans="2:14" x14ac:dyDescent="0.2">
      <c r="B46" s="1121" t="s">
        <v>1809</v>
      </c>
      <c r="C46" s="1122"/>
      <c r="D46" s="1123"/>
      <c r="E46" s="1124"/>
      <c r="F46" s="1124"/>
      <c r="G46" s="1124"/>
      <c r="H46" s="1124"/>
      <c r="I46" s="295"/>
      <c r="J46" s="295"/>
    </row>
    <row r="47" spans="2:14" x14ac:dyDescent="0.2">
      <c r="B47" s="1053"/>
      <c r="C47" s="1125"/>
      <c r="D47" s="1126"/>
      <c r="E47" s="1054"/>
      <c r="F47" s="1054"/>
      <c r="G47" s="295"/>
      <c r="H47" s="295"/>
      <c r="I47" s="295"/>
      <c r="J47" s="295"/>
    </row>
    <row r="48" spans="2:14" ht="13.5" customHeight="1" x14ac:dyDescent="0.2">
      <c r="B48" s="1052" t="s">
        <v>1235</v>
      </c>
      <c r="G48" s="295"/>
      <c r="H48" s="295"/>
      <c r="I48" s="295"/>
      <c r="J48" s="295"/>
    </row>
    <row r="49" spans="2:13" ht="13.5" customHeight="1" x14ac:dyDescent="0.2">
      <c r="B49" s="1129"/>
      <c r="C49" s="1130"/>
      <c r="D49" s="1131"/>
      <c r="E49" s="1073"/>
      <c r="F49" s="1073"/>
      <c r="G49" s="1073"/>
      <c r="H49" s="1073"/>
      <c r="I49" s="1073"/>
      <c r="J49" s="1073"/>
      <c r="K49" s="1132"/>
      <c r="L49" s="1132"/>
      <c r="M49" s="1073"/>
    </row>
    <row r="50" spans="2:13" ht="9.6" customHeight="1" x14ac:dyDescent="0.2">
      <c r="B50" s="1133"/>
      <c r="G50" s="295"/>
      <c r="H50" s="295"/>
      <c r="I50" s="295"/>
      <c r="J50" s="295"/>
    </row>
    <row r="51" spans="2:13" ht="11.25" customHeight="1" x14ac:dyDescent="0.2">
      <c r="B51" s="1134" t="s">
        <v>1712</v>
      </c>
      <c r="C51" s="1135"/>
      <c r="D51" s="1135"/>
      <c r="E51" s="1135"/>
      <c r="F51" s="1135"/>
      <c r="G51" s="1135"/>
      <c r="H51" s="1135"/>
      <c r="I51" s="1136"/>
      <c r="J51" s="1136"/>
      <c r="K51" s="1136"/>
      <c r="L51" s="1136"/>
      <c r="M51" s="1136"/>
    </row>
    <row r="52" spans="2:13" ht="11.25" customHeight="1" x14ac:dyDescent="0.2">
      <c r="B52" s="1137" t="s">
        <v>1567</v>
      </c>
      <c r="C52" s="1136"/>
      <c r="D52" s="1136"/>
      <c r="E52" s="1136"/>
      <c r="F52" s="1136"/>
      <c r="G52" s="1136"/>
      <c r="H52" s="1136"/>
      <c r="I52" s="1136"/>
      <c r="J52" s="1136"/>
      <c r="K52" s="1136"/>
      <c r="L52" s="1136"/>
      <c r="M52" s="1136"/>
    </row>
    <row r="53" spans="2:13" ht="3.95" customHeight="1" x14ac:dyDescent="0.2">
      <c r="B53" s="1137"/>
      <c r="C53" s="1136"/>
      <c r="D53" s="1136"/>
      <c r="E53" s="1136"/>
      <c r="F53" s="1136"/>
      <c r="G53" s="1136"/>
      <c r="H53" s="1136"/>
      <c r="I53" s="1136"/>
      <c r="J53" s="1136"/>
      <c r="K53" s="1136"/>
      <c r="L53" s="1136"/>
      <c r="M53" s="1136"/>
    </row>
    <row r="54" spans="2:13" ht="11.25" customHeight="1" x14ac:dyDescent="0.2">
      <c r="B54" s="1134" t="s">
        <v>1713</v>
      </c>
      <c r="C54" s="1136"/>
      <c r="D54" s="1136"/>
      <c r="E54" s="1136"/>
      <c r="F54" s="1136"/>
      <c r="G54" s="1136"/>
      <c r="H54" s="1136"/>
      <c r="I54" s="1136"/>
      <c r="J54" s="1136"/>
      <c r="K54" s="1136"/>
      <c r="L54" s="1136"/>
      <c r="M54" s="1136"/>
    </row>
    <row r="55" spans="2:13" ht="11.25" customHeight="1" x14ac:dyDescent="0.2">
      <c r="B55" s="1076" t="s">
        <v>1568</v>
      </c>
      <c r="C55" s="1138"/>
      <c r="D55" s="1139"/>
      <c r="E55" s="1076"/>
      <c r="F55" s="1076"/>
      <c r="G55" s="1076"/>
      <c r="H55" s="1076"/>
      <c r="I55" s="1076"/>
      <c r="J55" s="1076"/>
      <c r="K55" s="1140"/>
      <c r="L55" s="1140"/>
      <c r="M55" s="1076"/>
    </row>
    <row r="56" spans="2:13" ht="3.95" customHeight="1" x14ac:dyDescent="0.2">
      <c r="B56" s="1076"/>
      <c r="C56" s="1138"/>
      <c r="D56" s="1139"/>
      <c r="E56" s="1076"/>
      <c r="F56" s="1076"/>
      <c r="G56" s="1076"/>
      <c r="H56" s="1076"/>
      <c r="I56" s="1076"/>
      <c r="J56" s="1076"/>
      <c r="K56" s="1140"/>
      <c r="L56" s="1140"/>
      <c r="M56" s="1076"/>
    </row>
    <row r="57" spans="2:13" ht="11.25" customHeight="1" x14ac:dyDescent="0.2">
      <c r="B57" s="1141" t="s">
        <v>1714</v>
      </c>
      <c r="C57" s="1138"/>
      <c r="D57" s="1139"/>
      <c r="E57" s="1076"/>
      <c r="F57" s="1076"/>
      <c r="G57" s="1076"/>
      <c r="H57" s="1076"/>
      <c r="I57" s="1076"/>
      <c r="J57" s="1076"/>
      <c r="K57" s="1140"/>
      <c r="L57" s="1140"/>
      <c r="M57" s="1076"/>
    </row>
    <row r="58" spans="2:13" ht="3.95" customHeight="1" x14ac:dyDescent="0.2">
      <c r="B58" s="1141"/>
      <c r="C58" s="1138"/>
      <c r="D58" s="1139"/>
      <c r="E58" s="1076"/>
      <c r="F58" s="1076"/>
      <c r="G58" s="1076"/>
      <c r="H58" s="1076"/>
      <c r="I58" s="1076"/>
      <c r="J58" s="1076"/>
      <c r="K58" s="1140"/>
      <c r="L58" s="1140"/>
      <c r="M58" s="1076"/>
    </row>
    <row r="59" spans="2:13" ht="11.25" customHeight="1" x14ac:dyDescent="0.2">
      <c r="B59" s="1142" t="s">
        <v>1715</v>
      </c>
      <c r="C59" s="1138"/>
      <c r="D59" s="1139"/>
      <c r="E59" s="1076"/>
      <c r="F59" s="1076"/>
      <c r="G59" s="1076"/>
      <c r="H59" s="1076"/>
      <c r="I59" s="1076"/>
      <c r="J59" s="1076"/>
      <c r="K59" s="1140"/>
      <c r="L59" s="1140"/>
      <c r="M59" s="1076"/>
    </row>
    <row r="60" spans="2:13" ht="11.25" customHeight="1" x14ac:dyDescent="0.2">
      <c r="B60" s="1076" t="s">
        <v>1569</v>
      </c>
      <c r="G60" s="295"/>
      <c r="H60" s="295"/>
      <c r="I60" s="295"/>
      <c r="J60" s="295"/>
    </row>
    <row r="61" spans="2:13" ht="11.1" customHeight="1" x14ac:dyDescent="0.2">
      <c r="B61" s="1076"/>
      <c r="G61" s="295"/>
      <c r="H61" s="295"/>
      <c r="I61" s="295"/>
      <c r="J61" s="295"/>
    </row>
    <row r="62" spans="2:13" ht="11.1" customHeight="1" x14ac:dyDescent="0.2">
      <c r="B62" s="1076"/>
      <c r="G62" s="295"/>
      <c r="H62" s="295"/>
      <c r="I62" s="295"/>
      <c r="J62" s="295"/>
    </row>
    <row r="63" spans="2:13" ht="13.5" customHeight="1" x14ac:dyDescent="0.2">
      <c r="M63" s="1143"/>
    </row>
    <row r="64" spans="2:13" ht="13.5" customHeight="1" x14ac:dyDescent="0.2">
      <c r="M64" s="1143"/>
    </row>
    <row r="65" spans="7:13" ht="13.5" customHeight="1" x14ac:dyDescent="0.2">
      <c r="M65" s="1143"/>
    </row>
    <row r="66" spans="7:13" ht="13.5" customHeight="1" x14ac:dyDescent="0.2">
      <c r="G66" s="295"/>
      <c r="H66" s="295"/>
      <c r="I66" s="295"/>
      <c r="J66" s="295"/>
    </row>
    <row r="67" spans="7:13" ht="13.5" customHeight="1" x14ac:dyDescent="0.2">
      <c r="G67" s="295"/>
      <c r="H67" s="295"/>
      <c r="I67" s="295"/>
      <c r="J67" s="295"/>
    </row>
    <row r="68" spans="7:13" ht="13.5" customHeight="1" x14ac:dyDescent="0.2">
      <c r="G68" s="295"/>
      <c r="H68" s="295"/>
      <c r="I68" s="295"/>
      <c r="J68" s="295"/>
    </row>
    <row r="69" spans="7:13" ht="13.5" customHeight="1" x14ac:dyDescent="0.2">
      <c r="G69" s="295"/>
      <c r="H69" s="295"/>
      <c r="I69" s="295"/>
      <c r="J69" s="295"/>
    </row>
    <row r="70" spans="7:13" ht="13.5" customHeight="1" x14ac:dyDescent="0.2">
      <c r="G70" s="295"/>
      <c r="H70" s="295"/>
      <c r="I70" s="295"/>
      <c r="J70" s="295"/>
    </row>
    <row r="71" spans="7:13" ht="13.5" customHeight="1" x14ac:dyDescent="0.2">
      <c r="G71" s="295"/>
      <c r="H71" s="295"/>
      <c r="I71" s="295"/>
      <c r="J71" s="295"/>
    </row>
    <row r="72" spans="7:13" ht="13.5" customHeight="1" x14ac:dyDescent="0.2">
      <c r="G72" s="295"/>
      <c r="H72" s="295"/>
      <c r="I72" s="295"/>
      <c r="J72" s="295"/>
    </row>
    <row r="73" spans="7:13" ht="13.5" customHeight="1" x14ac:dyDescent="0.2"/>
    <row r="74" spans="7:13" ht="13.5" customHeight="1" x14ac:dyDescent="0.2"/>
    <row r="75" spans="7:13" ht="13.5" customHeight="1" x14ac:dyDescent="0.2"/>
    <row r="76" spans="7:13" ht="25.5" customHeight="1" x14ac:dyDescent="0.2"/>
    <row r="77" spans="7:13" ht="25.5" customHeight="1" x14ac:dyDescent="0.2"/>
    <row r="78" spans="7:13" ht="25.5" customHeight="1" x14ac:dyDescent="0.2"/>
    <row r="79" spans="7:13" ht="25.5" customHeight="1" x14ac:dyDescent="0.2"/>
    <row r="80" spans="7: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4.7" customHeight="1" x14ac:dyDescent="0.2"/>
    <row r="126" ht="12.2"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4.7" customHeight="1" x14ac:dyDescent="0.2"/>
    <row r="166" ht="12.2" customHeight="1" x14ac:dyDescent="0.2"/>
  </sheetData>
  <mergeCells count="4">
    <mergeCell ref="B1:M1"/>
    <mergeCell ref="B2:M2"/>
    <mergeCell ref="B3:M3"/>
    <mergeCell ref="B4:M4"/>
  </mergeCells>
  <pageMargins left="0.09" right="0" top="0.5" bottom="0.5" header="0.25" footer="0.25"/>
  <pageSetup scale="7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7" t="str">
        <f>'Single Audit Cover'!A7</f>
        <v xml:space="preserve"> Bourbonnais SD 53</v>
      </c>
      <c r="B1" s="2587"/>
      <c r="C1" s="2587"/>
      <c r="D1" s="2587"/>
      <c r="E1" s="2587"/>
      <c r="F1" s="2587"/>
    </row>
    <row r="2" spans="1:7" ht="13.5" customHeight="1" x14ac:dyDescent="0.2">
      <c r="A2" s="2575">
        <f>'Single Audit Cover'!E7</f>
        <v>32046053002</v>
      </c>
      <c r="B2" s="2575"/>
      <c r="C2" s="2575"/>
      <c r="D2" s="2575"/>
      <c r="E2" s="2575"/>
      <c r="F2" s="2575"/>
      <c r="G2" s="1051"/>
    </row>
    <row r="3" spans="1:7" ht="15.75" customHeight="1" x14ac:dyDescent="0.2">
      <c r="A3" s="2588" t="s">
        <v>1260</v>
      </c>
      <c r="B3" s="2588"/>
      <c r="C3" s="2588"/>
      <c r="D3" s="2588"/>
      <c r="E3" s="2588"/>
      <c r="F3" s="2588"/>
    </row>
    <row r="4" spans="1:7" ht="13.5" customHeight="1" x14ac:dyDescent="0.2">
      <c r="A4" s="2589" t="str">
        <f>'Single Audit Cover'!A4</f>
        <v>Year Ending June 30, 2020</v>
      </c>
      <c r="B4" s="2589"/>
      <c r="C4" s="2589"/>
      <c r="D4" s="2589"/>
      <c r="E4" s="2589"/>
      <c r="F4" s="2589"/>
    </row>
    <row r="5" spans="1:7" ht="8.25" customHeight="1" x14ac:dyDescent="0.2">
      <c r="C5" s="295"/>
      <c r="D5" s="295"/>
    </row>
    <row r="6" spans="1:7" ht="13.5" customHeight="1" x14ac:dyDescent="0.2">
      <c r="A6" s="1052" t="s">
        <v>1705</v>
      </c>
      <c r="C6" s="295"/>
      <c r="D6" s="295"/>
    </row>
    <row r="7" spans="1:7" ht="60.95" customHeight="1" x14ac:dyDescent="0.2">
      <c r="A7" s="2586" t="s">
        <v>2116</v>
      </c>
      <c r="B7" s="2586"/>
      <c r="C7" s="2586"/>
      <c r="D7" s="2586"/>
      <c r="E7" s="2586"/>
      <c r="F7" s="2586"/>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2117</v>
      </c>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6" t="s">
        <v>2119</v>
      </c>
      <c r="B13" s="2586"/>
      <c r="C13" s="2586"/>
      <c r="D13" s="2586"/>
      <c r="E13" s="2586"/>
      <c r="F13" s="2586"/>
    </row>
    <row r="14" spans="1:7" ht="9.75" customHeight="1" x14ac:dyDescent="0.2">
      <c r="C14" s="1036"/>
      <c r="D14" s="1036"/>
    </row>
    <row r="15" spans="1:7" ht="13.5" customHeight="1" x14ac:dyDescent="0.2">
      <c r="C15" s="1476" t="s">
        <v>1259</v>
      </c>
      <c r="D15" s="2584" t="s">
        <v>1258</v>
      </c>
      <c r="E15" s="2584"/>
      <c r="F15" s="2584"/>
    </row>
    <row r="16" spans="1:7" ht="13.5" customHeight="1" x14ac:dyDescent="0.2">
      <c r="A16" s="1058"/>
      <c r="B16" s="1052" t="s">
        <v>1257</v>
      </c>
      <c r="C16" s="1476" t="s">
        <v>1256</v>
      </c>
      <c r="D16" s="2585" t="s">
        <v>1571</v>
      </c>
      <c r="E16" s="2585"/>
      <c r="F16" s="2585"/>
    </row>
    <row r="17" spans="1:6" ht="20.45" customHeight="1" x14ac:dyDescent="0.2">
      <c r="A17" s="1059"/>
      <c r="B17" s="1060" t="s">
        <v>2118</v>
      </c>
      <c r="C17" s="1061"/>
      <c r="D17" s="2579"/>
      <c r="E17" s="2579"/>
      <c r="F17" s="2579"/>
    </row>
    <row r="18" spans="1:6" ht="20.65" customHeight="1" x14ac:dyDescent="0.2">
      <c r="A18" s="1059"/>
      <c r="B18" s="1060"/>
      <c r="C18" s="1061"/>
      <c r="D18" s="2579"/>
      <c r="E18" s="2579"/>
      <c r="F18" s="2579"/>
    </row>
    <row r="19" spans="1:6" ht="20.65" customHeight="1" x14ac:dyDescent="0.2">
      <c r="A19" s="1059"/>
      <c r="B19" s="1060"/>
      <c r="C19" s="1061"/>
      <c r="D19" s="2579"/>
      <c r="E19" s="2579"/>
      <c r="F19" s="2579"/>
    </row>
    <row r="20" spans="1:6" ht="20.65" customHeight="1" x14ac:dyDescent="0.2">
      <c r="A20" s="1059"/>
      <c r="B20" s="1060"/>
      <c r="C20" s="1061"/>
      <c r="D20" s="2579"/>
      <c r="E20" s="2579"/>
      <c r="F20" s="2579"/>
    </row>
    <row r="21" spans="1:6" ht="20.65" customHeight="1" x14ac:dyDescent="0.2">
      <c r="A21" s="1059"/>
      <c r="B21" s="1060"/>
      <c r="C21" s="1061"/>
      <c r="D21" s="2579"/>
      <c r="E21" s="2579"/>
      <c r="F21" s="2579"/>
    </row>
    <row r="22" spans="1:6" ht="20.65" customHeight="1" x14ac:dyDescent="0.2">
      <c r="A22" s="1059"/>
      <c r="B22" s="1060"/>
      <c r="C22" s="1061"/>
      <c r="D22" s="2579"/>
      <c r="E22" s="2579"/>
      <c r="F22" s="2579"/>
    </row>
    <row r="23" spans="1:6" ht="20.65" customHeight="1" x14ac:dyDescent="0.2">
      <c r="A23" s="1059"/>
      <c r="B23" s="1060"/>
      <c r="C23" s="1061"/>
      <c r="D23" s="2579"/>
      <c r="E23" s="2579"/>
      <c r="F23" s="2579"/>
    </row>
    <row r="24" spans="1:6" ht="20.65" customHeight="1" x14ac:dyDescent="0.2">
      <c r="A24" s="1059"/>
      <c r="B24" s="1060"/>
      <c r="C24" s="1061"/>
      <c r="D24" s="2579"/>
      <c r="E24" s="2579"/>
      <c r="F24" s="2579"/>
    </row>
    <row r="25" spans="1:6" ht="20.65" customHeight="1" x14ac:dyDescent="0.2">
      <c r="A25" s="1059"/>
      <c r="B25" s="1060"/>
      <c r="C25" s="1061"/>
      <c r="D25" s="2579"/>
      <c r="E25" s="2579"/>
      <c r="F25" s="2579"/>
    </row>
    <row r="26" spans="1:6" ht="20.65" customHeight="1" x14ac:dyDescent="0.2">
      <c r="A26" s="1059"/>
      <c r="B26" s="1060"/>
      <c r="C26" s="1061"/>
      <c r="D26" s="2579"/>
      <c r="E26" s="2579"/>
      <c r="F26" s="2579"/>
    </row>
    <row r="27" spans="1:6" ht="20.65" customHeight="1" x14ac:dyDescent="0.2">
      <c r="A27" s="1059"/>
      <c r="B27" s="1060"/>
      <c r="C27" s="1061"/>
      <c r="D27" s="2579"/>
      <c r="E27" s="2579"/>
      <c r="F27" s="2579"/>
    </row>
    <row r="28" spans="1:6" ht="20.65" customHeight="1" x14ac:dyDescent="0.2">
      <c r="A28" s="1059"/>
      <c r="B28" s="1060"/>
      <c r="C28" s="1061"/>
      <c r="D28" s="2579"/>
      <c r="E28" s="2579"/>
      <c r="F28" s="2579"/>
    </row>
    <row r="29" spans="1:6" ht="20.65" customHeight="1" x14ac:dyDescent="0.2">
      <c r="A29" s="1059"/>
      <c r="B29" s="1060"/>
      <c r="C29" s="1061"/>
      <c r="D29" s="2579"/>
      <c r="E29" s="2579"/>
      <c r="F29" s="2579"/>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0" t="s">
        <v>2120</v>
      </c>
      <c r="B32" s="2580"/>
      <c r="C32" s="2580"/>
      <c r="D32" s="2580"/>
      <c r="E32" s="2580"/>
      <c r="F32" s="2580"/>
    </row>
    <row r="33" spans="1:6" ht="13.5" customHeight="1" x14ac:dyDescent="0.2">
      <c r="A33" s="306" t="s">
        <v>1417</v>
      </c>
      <c r="B33" s="306"/>
      <c r="C33" s="1064">
        <v>40412</v>
      </c>
      <c r="D33" s="1526"/>
      <c r="E33" s="1062"/>
    </row>
    <row r="34" spans="1:6" ht="13.5" customHeight="1" x14ac:dyDescent="0.2">
      <c r="A34" s="306" t="s">
        <v>1808</v>
      </c>
      <c r="B34" s="306"/>
      <c r="C34" s="1065">
        <v>11595</v>
      </c>
      <c r="D34" s="1526" t="s">
        <v>1572</v>
      </c>
      <c r="E34" s="2581">
        <f>+C33+C34</f>
        <v>52007</v>
      </c>
      <c r="F34" s="258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1573</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R120" sqref="R12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1158</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6" t="s">
        <v>1616</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t="s">
        <v>2048</v>
      </c>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6" t="s">
        <v>310</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2048</v>
      </c>
      <c r="C53" s="174">
        <v>22</v>
      </c>
      <c r="D53" s="242" t="s">
        <v>1445</v>
      </c>
      <c r="E53" s="243"/>
      <c r="F53" s="244"/>
      <c r="G53" s="244" t="s">
        <v>1444</v>
      </c>
      <c r="H53" s="245">
        <v>35431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1312</v>
      </c>
      <c r="B70" s="2179"/>
      <c r="C70" s="2179"/>
      <c r="D70" s="2179"/>
      <c r="E70" s="2180"/>
      <c r="F70" s="2180"/>
      <c r="G70" s="2180"/>
      <c r="H70" s="2180"/>
      <c r="I70" s="218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1309</v>
      </c>
      <c r="B83" s="2181"/>
      <c r="C83" s="2181"/>
      <c r="D83" s="218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2" t="s">
        <v>1986</v>
      </c>
      <c r="B85" s="2192"/>
      <c r="C85" s="2192"/>
      <c r="D85" s="2193"/>
      <c r="E85" s="1544">
        <v>0</v>
      </c>
      <c r="F85" s="1544">
        <v>0</v>
      </c>
      <c r="G85" s="1544">
        <v>0</v>
      </c>
      <c r="H85" s="1544">
        <v>0</v>
      </c>
      <c r="I85" s="1902">
        <v>0</v>
      </c>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4" t="s">
        <v>1986</v>
      </c>
      <c r="B88" s="2195"/>
      <c r="C88" s="2195"/>
      <c r="D88" s="2196"/>
      <c r="E88" s="1544">
        <v>0</v>
      </c>
      <c r="F88" s="1544">
        <v>0</v>
      </c>
      <c r="G88" s="1544">
        <v>0</v>
      </c>
      <c r="H88" s="1544">
        <v>0</v>
      </c>
      <c r="I88" s="1902">
        <v>0</v>
      </c>
      <c r="J88" s="1727">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3"/>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3"/>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2064</v>
      </c>
      <c r="D114" s="217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1319</v>
      </c>
      <c r="D117" s="2174"/>
      <c r="E117" s="2175"/>
      <c r="F117" s="2175"/>
      <c r="G117" s="2175"/>
      <c r="H117" s="217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G41" sqref="G41:I4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1" t="str">
        <f>'Single Audit Cover'!A7</f>
        <v xml:space="preserve"> Bourbonnais SD 53</v>
      </c>
      <c r="C1" s="2602"/>
      <c r="D1" s="2602"/>
      <c r="E1" s="2602"/>
      <c r="F1" s="2602"/>
      <c r="G1" s="2602"/>
      <c r="H1" s="2602"/>
      <c r="I1" s="2602"/>
      <c r="J1" s="1178"/>
    </row>
    <row r="2" spans="2:10" s="295" customFormat="1" ht="12.75" customHeight="1" x14ac:dyDescent="0.2">
      <c r="B2" s="2603">
        <f>'Single Audit Cover'!E7</f>
        <v>32046053002</v>
      </c>
      <c r="C2" s="2604"/>
      <c r="D2" s="2604"/>
      <c r="E2" s="2604"/>
      <c r="F2" s="2604"/>
      <c r="G2" s="2604"/>
      <c r="H2" s="2604"/>
      <c r="I2" s="2604"/>
      <c r="J2" s="1178"/>
    </row>
    <row r="3" spans="2:10" s="295" customFormat="1" ht="12.75" customHeight="1" x14ac:dyDescent="0.2">
      <c r="B3" s="2605" t="s">
        <v>1274</v>
      </c>
      <c r="C3" s="2606"/>
      <c r="D3" s="2606"/>
      <c r="E3" s="2606"/>
      <c r="F3" s="2606"/>
      <c r="G3" s="2606"/>
      <c r="H3" s="2606"/>
      <c r="I3" s="2606"/>
      <c r="J3" s="1179"/>
    </row>
    <row r="4" spans="2:10" s="295" customFormat="1" ht="12.75" customHeight="1" x14ac:dyDescent="0.2">
      <c r="B4" s="2605" t="str">
        <f>'Single Audit Cover'!A4</f>
        <v>Year Ending June 30, 2020</v>
      </c>
      <c r="C4" s="2606"/>
      <c r="D4" s="2606"/>
      <c r="E4" s="2606"/>
      <c r="F4" s="2606"/>
      <c r="G4" s="2606"/>
      <c r="H4" s="2606"/>
      <c r="I4" s="2606"/>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5" t="s">
        <v>1273</v>
      </c>
      <c r="C7" s="2606"/>
      <c r="D7" s="2606"/>
      <c r="E7" s="2606"/>
      <c r="F7" s="2606"/>
      <c r="G7" s="2606"/>
      <c r="H7" s="2606"/>
      <c r="I7" s="2606"/>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7" t="s">
        <v>2109</v>
      </c>
      <c r="D11" s="2607"/>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8" t="s">
        <v>2109</v>
      </c>
      <c r="E29" s="2608"/>
      <c r="F29" s="2608"/>
      <c r="G29" s="2608"/>
      <c r="H29" s="2608"/>
      <c r="I29" s="2608"/>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9" t="s">
        <v>1725</v>
      </c>
      <c r="D37" s="2610"/>
      <c r="E37" s="2610"/>
      <c r="F37" s="2611"/>
      <c r="G37" s="2609" t="s">
        <v>1575</v>
      </c>
      <c r="H37" s="2610"/>
      <c r="I37" s="2611"/>
    </row>
    <row r="38" spans="2:9" ht="16.5" customHeight="1" x14ac:dyDescent="0.2">
      <c r="B38" s="1200" t="s">
        <v>2079</v>
      </c>
      <c r="C38" s="2597" t="s">
        <v>2110</v>
      </c>
      <c r="D38" s="2598"/>
      <c r="E38" s="2598"/>
      <c r="F38" s="2599"/>
      <c r="G38" s="2612">
        <v>70439</v>
      </c>
      <c r="H38" s="2613"/>
      <c r="I38" s="2614"/>
    </row>
    <row r="39" spans="2:9" ht="16.5" customHeight="1" x14ac:dyDescent="0.2">
      <c r="B39" s="1200" t="s">
        <v>2082</v>
      </c>
      <c r="C39" s="2597" t="s">
        <v>2111</v>
      </c>
      <c r="D39" s="2598"/>
      <c r="E39" s="2598"/>
      <c r="F39" s="2599"/>
      <c r="G39" s="2600">
        <v>16333</v>
      </c>
      <c r="H39" s="2600"/>
      <c r="I39" s="2600"/>
    </row>
    <row r="40" spans="2:9" ht="16.5" customHeight="1" x14ac:dyDescent="0.2">
      <c r="B40" s="1200" t="s">
        <v>2083</v>
      </c>
      <c r="C40" s="2597" t="s">
        <v>2112</v>
      </c>
      <c r="D40" s="2598"/>
      <c r="E40" s="2598"/>
      <c r="F40" s="2599"/>
      <c r="G40" s="2600">
        <v>401988</v>
      </c>
      <c r="H40" s="2600"/>
      <c r="I40" s="2600"/>
    </row>
    <row r="41" spans="2:9" ht="16.5" customHeight="1" x14ac:dyDescent="0.2">
      <c r="B41" s="1200"/>
      <c r="C41" s="2597"/>
      <c r="D41" s="2598"/>
      <c r="E41" s="2598"/>
      <c r="F41" s="2599"/>
      <c r="G41" s="2600"/>
      <c r="H41" s="2600"/>
      <c r="I41" s="2600"/>
    </row>
    <row r="42" spans="2:9" ht="16.5" customHeight="1" x14ac:dyDescent="0.2">
      <c r="B42" s="1200"/>
      <c r="C42" s="2597"/>
      <c r="D42" s="2598"/>
      <c r="E42" s="2598"/>
      <c r="F42" s="2599"/>
      <c r="G42" s="2600"/>
      <c r="H42" s="2600"/>
      <c r="I42" s="2600"/>
    </row>
    <row r="43" spans="2:9" ht="16.5" customHeight="1" x14ac:dyDescent="0.2">
      <c r="B43" s="1200"/>
      <c r="C43" s="2590" t="s">
        <v>1576</v>
      </c>
      <c r="D43" s="2591"/>
      <c r="E43" s="2591"/>
      <c r="F43" s="2592"/>
      <c r="G43" s="2593">
        <f>SUM(G38:I42)</f>
        <v>488760</v>
      </c>
      <c r="H43" s="2593"/>
      <c r="I43" s="2593"/>
    </row>
    <row r="44" spans="2:9" ht="12.75" customHeight="1" x14ac:dyDescent="0.2"/>
    <row r="45" spans="2:9" ht="12.75" customHeight="1" x14ac:dyDescent="0.2">
      <c r="B45" s="1917" t="str">
        <f>"Total Federal Expenditures for 7/1/"&amp;MID('AFR20'!E2,3,2)-1&amp;"-6/30/"&amp;MID('AFR20'!E2,3,2)</f>
        <v>Total Federal Expenditures for 7/1/19-6/30/20</v>
      </c>
      <c r="C45" s="1918"/>
      <c r="D45" s="2594">
        <v>1838911</v>
      </c>
      <c r="E45" s="2595"/>
    </row>
    <row r="46" spans="2:9" ht="5.25" customHeight="1" x14ac:dyDescent="0.2">
      <c r="B46" s="1201"/>
      <c r="D46" s="1202"/>
      <c r="E46" s="1203"/>
    </row>
    <row r="47" spans="2:9" ht="12.75" customHeight="1" x14ac:dyDescent="0.2">
      <c r="B47" s="1076" t="s">
        <v>1577</v>
      </c>
      <c r="C47" s="1076"/>
      <c r="D47" s="1204">
        <f>+G43/D45</f>
        <v>0.26578774067913019</v>
      </c>
      <c r="E47" s="1205"/>
      <c r="F47" s="1206"/>
      <c r="I47" s="1207"/>
    </row>
    <row r="48" spans="2:9" ht="9.9499999999999993" customHeight="1" x14ac:dyDescent="0.2"/>
    <row r="49" spans="1:9" x14ac:dyDescent="0.2">
      <c r="B49" s="1138" t="s">
        <v>1262</v>
      </c>
      <c r="C49" s="1058"/>
      <c r="D49" s="1058"/>
      <c r="E49" s="2596">
        <v>750000</v>
      </c>
      <c r="F49" s="2596"/>
      <c r="G49" s="2596"/>
      <c r="H49" s="300"/>
    </row>
    <row r="51" spans="1:9" ht="13.5" customHeight="1" x14ac:dyDescent="0.2">
      <c r="B51" s="1138" t="s">
        <v>1261</v>
      </c>
      <c r="C51" s="1058"/>
      <c r="E51" s="1194" t="s">
        <v>2048</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1" t="str">
        <f>'Single Audit Cover'!A7</f>
        <v xml:space="preserve"> Bourbonnais SD 53</v>
      </c>
      <c r="C1" s="2601"/>
      <c r="D1" s="2601"/>
      <c r="E1" s="2601"/>
      <c r="F1" s="2601"/>
      <c r="G1" s="2601"/>
      <c r="H1" s="2601"/>
      <c r="I1" s="2601"/>
      <c r="J1" s="2601"/>
      <c r="K1" s="2601"/>
      <c r="L1" s="1144"/>
      <c r="M1" s="1144"/>
    </row>
    <row r="2" spans="1:13" ht="12" customHeight="1" x14ac:dyDescent="0.2">
      <c r="B2" s="2603">
        <f>'Single Audit Cover'!E7</f>
        <v>32046053002</v>
      </c>
      <c r="C2" s="2603"/>
      <c r="D2" s="2603"/>
      <c r="E2" s="2603"/>
      <c r="F2" s="2603"/>
      <c r="G2" s="2603"/>
      <c r="H2" s="2603"/>
      <c r="I2" s="2603"/>
      <c r="J2" s="2603"/>
      <c r="K2" s="2603"/>
      <c r="L2" s="1145"/>
      <c r="M2" s="1146"/>
    </row>
    <row r="3" spans="1:13" ht="10.35" customHeight="1" x14ac:dyDescent="0.2">
      <c r="B3" s="2617" t="s">
        <v>1274</v>
      </c>
      <c r="C3" s="2617"/>
      <c r="D3" s="2617"/>
      <c r="E3" s="2617"/>
      <c r="F3" s="2617"/>
      <c r="G3" s="2617"/>
      <c r="H3" s="2617"/>
      <c r="I3" s="2617"/>
      <c r="J3" s="2617"/>
      <c r="K3" s="2617"/>
      <c r="L3" s="1147"/>
      <c r="M3" s="1147"/>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8" t="s">
        <v>1285</v>
      </c>
      <c r="C7" s="2618"/>
      <c r="D7" s="2619"/>
      <c r="E7" s="2619"/>
      <c r="F7" s="2619"/>
      <c r="G7" s="2619"/>
      <c r="H7" s="2619"/>
      <c r="I7" s="2619"/>
      <c r="J7" s="2619"/>
      <c r="K7" s="261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6"/>
      <c r="C14" s="2616"/>
      <c r="D14" s="2616"/>
      <c r="E14" s="2616"/>
      <c r="F14" s="2616"/>
      <c r="G14" s="2616"/>
      <c r="H14" s="2616"/>
      <c r="I14" s="2616"/>
      <c r="J14" s="2616"/>
      <c r="K14" s="261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6"/>
      <c r="C17" s="2616"/>
      <c r="D17" s="2616"/>
      <c r="E17" s="2616"/>
      <c r="F17" s="2616"/>
      <c r="G17" s="2616"/>
      <c r="H17" s="2616"/>
      <c r="I17" s="2616"/>
      <c r="J17" s="2616"/>
      <c r="K17" s="2616"/>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20"/>
      <c r="C20" s="2620"/>
      <c r="D20" s="2616"/>
      <c r="E20" s="2616"/>
      <c r="F20" s="2616"/>
      <c r="G20" s="2616"/>
      <c r="H20" s="2616"/>
      <c r="I20" s="2616"/>
      <c r="J20" s="2616"/>
      <c r="K20" s="261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6"/>
      <c r="C23" s="2616"/>
      <c r="D23" s="2616"/>
      <c r="E23" s="2616"/>
      <c r="F23" s="2616"/>
      <c r="G23" s="2616"/>
      <c r="H23" s="2616"/>
      <c r="I23" s="2616"/>
      <c r="J23" s="2616"/>
      <c r="K23" s="261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6"/>
      <c r="C26" s="2616"/>
      <c r="D26" s="2616"/>
      <c r="E26" s="2616"/>
      <c r="F26" s="2616"/>
      <c r="G26" s="2616"/>
      <c r="H26" s="2616"/>
      <c r="I26" s="2616"/>
      <c r="J26" s="2616"/>
      <c r="K26" s="261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5"/>
      <c r="C29" s="2615"/>
      <c r="D29" s="2616"/>
      <c r="E29" s="2616"/>
      <c r="F29" s="2616"/>
      <c r="G29" s="2616"/>
      <c r="H29" s="2616"/>
      <c r="I29" s="2616"/>
      <c r="J29" s="2616"/>
      <c r="K29" s="261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5"/>
      <c r="C32" s="2615"/>
      <c r="D32" s="2616"/>
      <c r="E32" s="2616"/>
      <c r="F32" s="2616"/>
      <c r="G32" s="2616"/>
      <c r="H32" s="2616"/>
      <c r="I32" s="2616"/>
      <c r="J32" s="2616"/>
      <c r="K32" s="261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4" t="str">
        <f>'Single Audit Cover'!A7</f>
        <v xml:space="preserve"> Bourbonnais SD 53</v>
      </c>
      <c r="C1" s="2624"/>
      <c r="D1" s="2624"/>
      <c r="E1" s="2624"/>
      <c r="F1" s="2624"/>
      <c r="G1" s="2624"/>
      <c r="H1" s="2624"/>
      <c r="I1" s="2624"/>
      <c r="J1" s="2624"/>
      <c r="K1" s="2624"/>
      <c r="L1" s="1221"/>
    </row>
    <row r="2" spans="1:12" ht="12.75" customHeight="1" x14ac:dyDescent="0.2">
      <c r="B2" s="2625">
        <f>'Single Audit Cover'!E7</f>
        <v>32046053002</v>
      </c>
      <c r="C2" s="2625"/>
      <c r="D2" s="2625"/>
      <c r="E2" s="2625"/>
      <c r="F2" s="2625"/>
      <c r="G2" s="2625"/>
      <c r="H2" s="2625"/>
      <c r="I2" s="2625"/>
      <c r="J2" s="2625"/>
      <c r="K2" s="2625"/>
      <c r="L2" s="1222"/>
    </row>
    <row r="3" spans="1:12" ht="12.75" customHeight="1" x14ac:dyDescent="0.2">
      <c r="B3" s="2617" t="s">
        <v>1274</v>
      </c>
      <c r="C3" s="2617"/>
      <c r="D3" s="2617"/>
      <c r="E3" s="2617"/>
      <c r="F3" s="2617"/>
      <c r="G3" s="2617"/>
      <c r="H3" s="2617"/>
      <c r="I3" s="2617"/>
      <c r="J3" s="2617"/>
      <c r="K3" s="2617"/>
      <c r="L3" s="1147"/>
    </row>
    <row r="4" spans="1:12" ht="12.75" customHeight="1" x14ac:dyDescent="0.2">
      <c r="B4" s="2617" t="str">
        <f>'Single Audit Cover'!A4</f>
        <v>Year Ending June 30, 2020</v>
      </c>
      <c r="C4" s="2617"/>
      <c r="D4" s="2617"/>
      <c r="E4" s="2617"/>
      <c r="F4" s="2617"/>
      <c r="G4" s="2617"/>
      <c r="H4" s="2617"/>
      <c r="I4" s="2617"/>
      <c r="J4" s="2617"/>
      <c r="K4" s="2617"/>
      <c r="L4" s="1147"/>
    </row>
    <row r="5" spans="1:12" ht="5.25" customHeight="1" x14ac:dyDescent="0.2">
      <c r="B5" s="1036" t="s">
        <v>1159</v>
      </c>
      <c r="C5" s="1036"/>
      <c r="L5" s="300"/>
    </row>
    <row r="6" spans="1:12" ht="30.75" customHeight="1" x14ac:dyDescent="0.2">
      <c r="A6" s="300"/>
      <c r="B6" s="2626" t="s">
        <v>1297</v>
      </c>
      <c r="C6" s="2626"/>
      <c r="D6" s="2626"/>
      <c r="E6" s="2626"/>
      <c r="F6" s="2626"/>
      <c r="G6" s="2626"/>
      <c r="H6" s="2626"/>
      <c r="I6" s="2626"/>
      <c r="J6" s="2626"/>
      <c r="K6" s="2626"/>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8"/>
      <c r="G12" s="2608"/>
      <c r="H12" s="2608"/>
      <c r="I12" s="2608"/>
      <c r="J12" s="2608"/>
      <c r="K12" s="2608"/>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1"/>
      <c r="E14" s="2621"/>
      <c r="F14" s="2621"/>
      <c r="H14" s="1230" t="s">
        <v>1292</v>
      </c>
      <c r="I14" s="2622"/>
      <c r="J14" s="2622"/>
      <c r="K14" s="262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2"/>
      <c r="E16" s="2622"/>
      <c r="F16" s="2622"/>
      <c r="G16" s="2622"/>
      <c r="H16" s="2622"/>
      <c r="I16" s="2622"/>
      <c r="J16" s="2622"/>
      <c r="K16" s="2622"/>
      <c r="L16" s="300"/>
    </row>
    <row r="17" spans="2:12" ht="13.5" customHeight="1" x14ac:dyDescent="0.2">
      <c r="B17" s="1156" t="s">
        <v>1290</v>
      </c>
      <c r="C17" s="1156"/>
      <c r="D17" s="2623"/>
      <c r="E17" s="2623"/>
      <c r="F17" s="2623"/>
      <c r="G17" s="2623"/>
      <c r="H17" s="2623"/>
      <c r="I17" s="2623"/>
      <c r="J17" s="2623"/>
      <c r="K17" s="262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6"/>
      <c r="C20" s="2616"/>
      <c r="D20" s="2616"/>
      <c r="E20" s="2616"/>
      <c r="F20" s="2616"/>
      <c r="G20" s="2616"/>
      <c r="H20" s="2616"/>
      <c r="I20" s="2616"/>
      <c r="J20" s="2616"/>
      <c r="K20" s="261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6"/>
      <c r="C23" s="2616"/>
      <c r="D23" s="2616"/>
      <c r="E23" s="2616"/>
      <c r="F23" s="2616"/>
      <c r="G23" s="2616"/>
      <c r="H23" s="2616"/>
      <c r="I23" s="2616"/>
      <c r="J23" s="2616"/>
      <c r="K23" s="261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6"/>
      <c r="C26" s="2616"/>
      <c r="D26" s="2616"/>
      <c r="E26" s="2616"/>
      <c r="F26" s="2616"/>
      <c r="G26" s="2616"/>
      <c r="H26" s="2616"/>
      <c r="I26" s="2616"/>
      <c r="J26" s="2616"/>
      <c r="K26" s="261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6"/>
      <c r="C29" s="2616"/>
      <c r="D29" s="2616"/>
      <c r="E29" s="2616"/>
      <c r="F29" s="2616"/>
      <c r="G29" s="2616"/>
      <c r="H29" s="2616"/>
      <c r="I29" s="2616"/>
      <c r="J29" s="2616"/>
      <c r="K29" s="261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6"/>
      <c r="C32" s="2616"/>
      <c r="D32" s="2616"/>
      <c r="E32" s="2616"/>
      <c r="F32" s="2616"/>
      <c r="G32" s="2616"/>
      <c r="H32" s="2616"/>
      <c r="I32" s="2616"/>
      <c r="J32" s="2616"/>
      <c r="K32" s="261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6"/>
      <c r="C35" s="2616"/>
      <c r="D35" s="2616"/>
      <c r="E35" s="2616"/>
      <c r="F35" s="2616"/>
      <c r="G35" s="2616"/>
      <c r="H35" s="2616"/>
      <c r="I35" s="2616"/>
      <c r="J35" s="2616"/>
      <c r="K35" s="261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6"/>
      <c r="C38" s="2616"/>
      <c r="D38" s="2616"/>
      <c r="E38" s="2616"/>
      <c r="F38" s="2616"/>
      <c r="G38" s="2616"/>
      <c r="H38" s="2616"/>
      <c r="I38" s="2616"/>
      <c r="J38" s="2616"/>
      <c r="K38" s="261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6"/>
      <c r="C41" s="2616"/>
      <c r="D41" s="2616"/>
      <c r="E41" s="2616"/>
      <c r="F41" s="2616"/>
      <c r="G41" s="2616"/>
      <c r="H41" s="2616"/>
      <c r="I41" s="2616"/>
      <c r="J41" s="2616"/>
      <c r="K41" s="261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E73"/>
  <sheetViews>
    <sheetView showGridLines="0" zoomScale="110" zoomScaleNormal="110" workbookViewId="0">
      <selection activeCell="C15" sqref="C1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1" t="str">
        <f>'Single Audit Cover'!A7</f>
        <v xml:space="preserve"> Bourbonnais SD 53</v>
      </c>
      <c r="C1" s="2601"/>
      <c r="D1" s="2601"/>
      <c r="E1" s="1240"/>
    </row>
    <row r="2" spans="2:5" s="1058" customFormat="1" ht="12.75" customHeight="1" x14ac:dyDescent="0.2">
      <c r="B2" s="2603">
        <f>'Single Audit Cover'!E7</f>
        <v>32046053002</v>
      </c>
      <c r="C2" s="2603"/>
      <c r="D2" s="2603"/>
      <c r="E2" s="1241"/>
    </row>
    <row r="3" spans="2:5" ht="12.75" customHeight="1" x14ac:dyDescent="0.2">
      <c r="B3" s="2617" t="s">
        <v>1740</v>
      </c>
      <c r="C3" s="2617"/>
      <c r="D3" s="2617"/>
      <c r="E3" s="1050"/>
    </row>
    <row r="4" spans="2:5" s="1058" customFormat="1" ht="12.75" customHeight="1" x14ac:dyDescent="0.2">
      <c r="B4" s="2627" t="str">
        <f>'Single Audit Cover'!A4</f>
        <v>Year Ending June 30, 2020</v>
      </c>
      <c r="C4" s="2627"/>
      <c r="D4" s="2627"/>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c r="C8" s="302"/>
      <c r="D8" s="302"/>
      <c r="E8" s="302"/>
    </row>
    <row r="9" spans="2:5" ht="13.5" customHeight="1" x14ac:dyDescent="0.2">
      <c r="B9" s="1246" t="s">
        <v>2121</v>
      </c>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383</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450109928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2.2891000000000002E-2</v>
      </c>
      <c r="E10" s="333" t="s">
        <v>998</v>
      </c>
      <c r="F10" s="332">
        <v>4.7930000000000004E-3</v>
      </c>
      <c r="G10" s="333" t="s">
        <v>998</v>
      </c>
      <c r="H10" s="332">
        <v>1.3569999999999999E-3</v>
      </c>
      <c r="I10" s="333" t="s">
        <v>999</v>
      </c>
      <c r="J10" s="1424">
        <f>ROUND(D10+F10+H10,5)</f>
        <v>2.904E-2</v>
      </c>
      <c r="K10" s="217"/>
      <c r="L10" s="332"/>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24283817</v>
      </c>
      <c r="E16" s="1547"/>
      <c r="F16" s="1546">
        <f>SUM('Acct Summary 7-8'!C17,'Acct Summary 7-8'!D17,'Acct Summary 7-8'!F17)</f>
        <v>24281909</v>
      </c>
      <c r="G16" s="1547"/>
      <c r="H16" s="1546">
        <f>SUM(D16-F16)</f>
        <v>1908</v>
      </c>
      <c r="I16" s="1548"/>
      <c r="J16" s="1546">
        <f>SUM('Acct Summary 7-8'!C81,'Acct Summary 7-8'!D81,'Acct Summary 7-8'!F81,'Acct Summary 7-8'!I81)</f>
        <v>13477332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425">
        <f>IF(B31="X",(J7*0.069),IF(B32="X",(J7*0.138),"Enter x in a.or b."))</f>
        <v>31057585.032000002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9790000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8"/>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B1" zoomScale="110" zoomScaleNormal="110" workbookViewId="0">
      <selection activeCell="B6" sqref="B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552</v>
      </c>
      <c r="B2" s="2216"/>
      <c r="C2" s="2216"/>
      <c r="D2" s="2216"/>
      <c r="E2" s="2216"/>
      <c r="F2" s="2216"/>
      <c r="G2" s="2216"/>
      <c r="H2" s="2216"/>
      <c r="I2" s="2216"/>
      <c r="J2" s="2216"/>
      <c r="K2" s="2216"/>
      <c r="L2" s="2216"/>
      <c r="M2" s="2216"/>
      <c r="N2" s="2216"/>
      <c r="O2" s="2216"/>
      <c r="P2" s="2216"/>
      <c r="Q2" s="2216"/>
      <c r="R2" s="2216"/>
    </row>
    <row r="3" spans="1:18" ht="12.75" x14ac:dyDescent="0.2">
      <c r="A3" s="2217" t="s">
        <v>1396</v>
      </c>
      <c r="B3" s="2217"/>
      <c r="C3" s="2217"/>
      <c r="D3" s="2217"/>
      <c r="E3" s="2217"/>
      <c r="F3" s="2217"/>
      <c r="G3" s="2217"/>
      <c r="H3" s="2217"/>
      <c r="I3" s="2217"/>
      <c r="J3" s="2217"/>
      <c r="K3" s="2217"/>
      <c r="L3" s="2217"/>
      <c r="M3" s="2217"/>
      <c r="N3" s="2217"/>
      <c r="O3" s="2217"/>
      <c r="P3" s="2217"/>
      <c r="Q3" s="2217"/>
      <c r="R3" s="2217"/>
    </row>
    <row r="4" spans="1:18" x14ac:dyDescent="0.2">
      <c r="A4" s="2218" t="s">
        <v>1537</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Bourbonnais SD 53</v>
      </c>
      <c r="E7" s="368"/>
      <c r="G7" s="247"/>
      <c r="H7" s="364"/>
      <c r="I7" s="364"/>
      <c r="J7" s="364"/>
      <c r="K7" s="364"/>
      <c r="L7" s="307"/>
      <c r="M7" s="307"/>
      <c r="N7" s="307"/>
      <c r="O7" s="307"/>
      <c r="P7" s="307"/>
    </row>
    <row r="8" spans="1:18" ht="12.75" x14ac:dyDescent="0.2">
      <c r="A8" s="307"/>
      <c r="B8" s="307"/>
      <c r="C8" s="366" t="s">
        <v>1115</v>
      </c>
      <c r="D8" s="369">
        <f>COVER!A13</f>
        <v>32046053002</v>
      </c>
      <c r="E8" s="370"/>
      <c r="G8" s="307"/>
      <c r="H8" s="307"/>
      <c r="I8" s="307"/>
      <c r="J8" s="307"/>
      <c r="K8" s="307"/>
      <c r="L8" s="307"/>
      <c r="M8" s="307"/>
      <c r="N8" s="307"/>
      <c r="O8" s="307"/>
      <c r="P8" s="307"/>
    </row>
    <row r="9" spans="1:18" ht="12.75" x14ac:dyDescent="0.2">
      <c r="A9" s="307"/>
      <c r="B9" s="307"/>
      <c r="C9" s="366" t="s">
        <v>708</v>
      </c>
      <c r="D9" s="371" t="str">
        <f>COVER!A15</f>
        <v>Kankakee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13477332</v>
      </c>
      <c r="I12" s="380"/>
      <c r="J12" s="380"/>
      <c r="K12" s="1559">
        <f>TRUNC((H12/H13*100000),5)/100000</f>
        <v>0.55499232259999998</v>
      </c>
      <c r="L12" s="381"/>
      <c r="M12" s="337" t="s">
        <v>1134</v>
      </c>
      <c r="N12" s="337"/>
      <c r="O12" s="1562">
        <v>0.35</v>
      </c>
      <c r="P12" s="213"/>
      <c r="Q12" s="213"/>
    </row>
    <row r="13" spans="1:18" s="382" customFormat="1" ht="12.75" x14ac:dyDescent="0.2">
      <c r="A13" s="213"/>
      <c r="B13" s="377"/>
      <c r="C13" s="2214" t="s">
        <v>1313</v>
      </c>
      <c r="D13" s="2215"/>
      <c r="E13" s="213"/>
      <c r="F13" s="383" t="s">
        <v>788</v>
      </c>
      <c r="G13" s="378"/>
      <c r="H13" s="1551">
        <f>SUM('Acct Summary 7-8'!C8+'Acct Summary 7-8'!D8+'Acct Summary 7-8'!F8+'Acct Summary 7-8'!I8)+H14</f>
        <v>24283817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24281909</v>
      </c>
      <c r="I17" s="380"/>
      <c r="J17" s="389"/>
      <c r="K17" s="1559">
        <f>TRUNC((H17/H18*100000),5)/100000</f>
        <v>0.99992142909999993</v>
      </c>
      <c r="L17" s="381"/>
      <c r="M17" s="390" t="s">
        <v>1161</v>
      </c>
      <c r="O17" s="1565" t="str">
        <f>IF(AND(O16="2", J20 &gt; 2),"1",IF(AND(O16 = "1", J20 &gt; 2),"2",IF(AND(O16="1", J20 &gt;1),"1","0")))</f>
        <v>0</v>
      </c>
      <c r="P17" s="213"/>
    </row>
    <row r="18" spans="1:18" s="382" customFormat="1" ht="11.25" x14ac:dyDescent="0.2">
      <c r="A18" s="213"/>
      <c r="B18" s="377"/>
      <c r="C18" s="2214" t="s">
        <v>1306</v>
      </c>
      <c r="D18" s="2215"/>
      <c r="E18" s="213"/>
      <c r="F18" s="391" t="s">
        <v>789</v>
      </c>
      <c r="G18" s="378"/>
      <c r="H18" s="1551">
        <f>SUM('Acct Summary 7-8'!C8+'Acct Summary 7-8'!D8+'Acct Summary 7-8'!F8+'Acct Summary 7-8'!I8)+H19</f>
        <v>24283817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11" t="s">
        <v>1395</v>
      </c>
      <c r="D24" s="2211"/>
      <c r="E24" s="213"/>
      <c r="F24" s="213" t="s">
        <v>442</v>
      </c>
      <c r="G24" s="378"/>
      <c r="H24" s="1551">
        <f>SUM('Assets-Liab 5-6'!C4+'Assets-Liab 5-6'!D4+'Assets-Liab 5-6'!F4+'Assets-Liab 5-6'!I4+'Assets-Liab 5-6'!C5+'Assets-Liab 5-6'!D5+'Assets-Liab 5-6'!F5+'Assets-Liab 5-6'!I5)</f>
        <v>10188301</v>
      </c>
      <c r="I24" s="394"/>
      <c r="J24" s="394"/>
      <c r="K24" s="1555">
        <f>TRUNC(((H24/H25*100000)/100000),2)</f>
        <v>151.05000000000001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67449.747220000005</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11110513.462750001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9790000</v>
      </c>
      <c r="I32" s="392"/>
      <c r="J32" s="392"/>
      <c r="K32" s="1555">
        <f>TRUNC(100-((((H32/H33*100))*100)/100),2)</f>
        <v>68.47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31057585.032000002</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1" t="s">
        <v>967</v>
      </c>
      <c r="B3" s="2222"/>
      <c r="C3" s="1306"/>
      <c r="D3" s="1307"/>
      <c r="E3" s="1307"/>
      <c r="F3" s="1307"/>
      <c r="G3" s="1307"/>
      <c r="H3" s="1307"/>
      <c r="I3" s="1307"/>
      <c r="J3" s="1307"/>
      <c r="K3" s="1307"/>
      <c r="L3" s="1307"/>
      <c r="M3" s="1308"/>
      <c r="N3" s="1309"/>
    </row>
    <row r="4" spans="1:14" ht="13.5" customHeight="1" x14ac:dyDescent="0.2">
      <c r="A4" s="427" t="s">
        <v>1632</v>
      </c>
      <c r="B4" s="428"/>
      <c r="C4" s="1572">
        <v>8971042</v>
      </c>
      <c r="D4" s="1573"/>
      <c r="E4" s="1573">
        <v>115726</v>
      </c>
      <c r="F4" s="1573">
        <v>478282</v>
      </c>
      <c r="G4" s="1573">
        <v>409363</v>
      </c>
      <c r="H4" s="1573"/>
      <c r="I4" s="1573">
        <v>318417</v>
      </c>
      <c r="J4" s="1574">
        <v>121199</v>
      </c>
      <c r="K4" s="1573">
        <v>23289</v>
      </c>
      <c r="L4" s="1573">
        <v>1553421</v>
      </c>
      <c r="M4" s="1575"/>
      <c r="N4" s="1576"/>
    </row>
    <row r="5" spans="1:14" x14ac:dyDescent="0.2">
      <c r="A5" s="427" t="s">
        <v>985</v>
      </c>
      <c r="B5" s="429">
        <v>120</v>
      </c>
      <c r="C5" s="1572"/>
      <c r="D5" s="1573"/>
      <c r="E5" s="1573"/>
      <c r="F5" s="1573">
        <v>420560</v>
      </c>
      <c r="G5" s="1573"/>
      <c r="H5" s="1573"/>
      <c r="I5" s="1573"/>
      <c r="J5" s="1574"/>
      <c r="K5" s="1577"/>
      <c r="L5" s="1578"/>
      <c r="M5" s="1575"/>
      <c r="N5" s="1576"/>
    </row>
    <row r="6" spans="1:14" ht="13.5" customHeight="1" x14ac:dyDescent="0.2">
      <c r="A6" s="430" t="s">
        <v>414</v>
      </c>
      <c r="B6" s="429">
        <v>130</v>
      </c>
      <c r="C6" s="1572">
        <v>10303466</v>
      </c>
      <c r="D6" s="1573">
        <v>2157377</v>
      </c>
      <c r="E6" s="1573">
        <v>1294966</v>
      </c>
      <c r="F6" s="1573">
        <v>610799</v>
      </c>
      <c r="G6" s="1577"/>
      <c r="H6" s="1577"/>
      <c r="I6" s="1573"/>
      <c r="J6" s="1579">
        <v>107126</v>
      </c>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v>120569</v>
      </c>
      <c r="D8" s="1574"/>
      <c r="E8" s="1574"/>
      <c r="F8" s="1574">
        <v>200568</v>
      </c>
      <c r="G8" s="1583">
        <v>789494</v>
      </c>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143839</v>
      </c>
      <c r="D11" s="1574">
        <v>50312</v>
      </c>
      <c r="E11" s="1574"/>
      <c r="F11" s="1574">
        <v>426796</v>
      </c>
      <c r="G11" s="1574"/>
      <c r="H11" s="1574"/>
      <c r="I11" s="1583"/>
      <c r="J11" s="1583">
        <v>87125</v>
      </c>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19538916</v>
      </c>
      <c r="D13" s="1587">
        <f t="shared" ref="D13:L13" si="0">SUM(D4:D12)</f>
        <v>2207689</v>
      </c>
      <c r="E13" s="1587">
        <f t="shared" si="0"/>
        <v>1410692</v>
      </c>
      <c r="F13" s="1587">
        <f t="shared" si="0"/>
        <v>2137005</v>
      </c>
      <c r="G13" s="1587">
        <f t="shared" si="0"/>
        <v>1198857</v>
      </c>
      <c r="H13" s="1587">
        <f t="shared" si="0"/>
        <v>0</v>
      </c>
      <c r="I13" s="1587">
        <f t="shared" si="0"/>
        <v>318417</v>
      </c>
      <c r="J13" s="1587">
        <f t="shared" si="0"/>
        <v>315450</v>
      </c>
      <c r="K13" s="1587">
        <f t="shared" si="0"/>
        <v>23289</v>
      </c>
      <c r="L13" s="1587">
        <f t="shared" si="0"/>
        <v>1553421</v>
      </c>
      <c r="M13" s="1575"/>
      <c r="N13" s="1576"/>
    </row>
    <row r="14" spans="1:14" ht="18" customHeight="1" thickTop="1" x14ac:dyDescent="0.2">
      <c r="A14" s="2223" t="s">
        <v>146</v>
      </c>
      <c r="B14" s="2224"/>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1136737</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45446868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3628081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9069324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9790000</v>
      </c>
    </row>
    <row r="23" spans="1:14" ht="13.5" customHeight="1" thickBot="1" x14ac:dyDescent="0.25">
      <c r="A23" s="1426" t="s">
        <v>638</v>
      </c>
      <c r="B23" s="1429"/>
      <c r="C23" s="1575"/>
      <c r="D23" s="1575"/>
      <c r="E23" s="1575"/>
      <c r="F23" s="1575"/>
      <c r="G23" s="1575"/>
      <c r="H23" s="1575"/>
      <c r="I23" s="1575"/>
      <c r="J23" s="1575"/>
      <c r="K23" s="1575"/>
      <c r="L23" s="1575"/>
      <c r="M23" s="1594">
        <f>SUM(M15:M22)</f>
        <v>59281010</v>
      </c>
      <c r="N23" s="1594">
        <f>SUM(N21:N22)</f>
        <v>9790000</v>
      </c>
    </row>
    <row r="24" spans="1:14" ht="18" customHeight="1" thickTop="1" x14ac:dyDescent="0.2">
      <c r="A24" s="2225" t="s">
        <v>594</v>
      </c>
      <c r="B24" s="2226"/>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415643</v>
      </c>
      <c r="D27" s="1574">
        <v>1242658</v>
      </c>
      <c r="E27" s="1574"/>
      <c r="F27" s="1574">
        <v>83</v>
      </c>
      <c r="G27" s="1574"/>
      <c r="H27" s="1574">
        <v>848419</v>
      </c>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1934544</v>
      </c>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v>5687252</v>
      </c>
      <c r="D32" s="1599">
        <v>1122749</v>
      </c>
      <c r="E32" s="1579">
        <v>647483</v>
      </c>
      <c r="F32" s="1579">
        <v>321766</v>
      </c>
      <c r="G32" s="1579">
        <v>450720</v>
      </c>
      <c r="H32" s="1579"/>
      <c r="I32" s="1579"/>
      <c r="J32" s="1579">
        <v>126016</v>
      </c>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1553421</v>
      </c>
      <c r="M33" s="1575"/>
      <c r="N33" s="1576"/>
    </row>
    <row r="34" spans="1:14" ht="13.5" customHeight="1" thickBot="1" x14ac:dyDescent="0.25">
      <c r="A34" s="1427" t="s">
        <v>649</v>
      </c>
      <c r="B34" s="1428"/>
      <c r="C34" s="1600">
        <f>SUM(C25:C33)</f>
        <v>8037439</v>
      </c>
      <c r="D34" s="1600">
        <f t="shared" ref="D34:K34" si="1">SUM(D25:D33)</f>
        <v>2365407</v>
      </c>
      <c r="E34" s="1600">
        <f t="shared" si="1"/>
        <v>647483</v>
      </c>
      <c r="F34" s="1600">
        <f t="shared" si="1"/>
        <v>321849</v>
      </c>
      <c r="G34" s="1600">
        <f t="shared" si="1"/>
        <v>450720</v>
      </c>
      <c r="H34" s="1600">
        <f t="shared" si="1"/>
        <v>848419</v>
      </c>
      <c r="I34" s="1600">
        <f t="shared" si="1"/>
        <v>0</v>
      </c>
      <c r="J34" s="1600">
        <f t="shared" si="1"/>
        <v>126016</v>
      </c>
      <c r="K34" s="1600">
        <f t="shared" si="1"/>
        <v>0</v>
      </c>
      <c r="L34" s="1601">
        <f>SUM(L33)</f>
        <v>1553421</v>
      </c>
      <c r="M34" s="1575"/>
      <c r="N34" s="1585"/>
    </row>
    <row r="35" spans="1:14" ht="18" customHeight="1" thickTop="1" x14ac:dyDescent="0.2">
      <c r="A35" s="2227" t="s">
        <v>526</v>
      </c>
      <c r="B35" s="222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9790000</v>
      </c>
    </row>
    <row r="37" spans="1:14" ht="13.5" thickBot="1" x14ac:dyDescent="0.25">
      <c r="A37" s="1426" t="s">
        <v>648</v>
      </c>
      <c r="B37" s="1429"/>
      <c r="C37" s="1582"/>
      <c r="D37" s="1582"/>
      <c r="E37" s="1582"/>
      <c r="F37" s="1582"/>
      <c r="G37" s="1582"/>
      <c r="H37" s="1582"/>
      <c r="I37" s="1582"/>
      <c r="J37" s="1582"/>
      <c r="K37" s="1582"/>
      <c r="L37" s="1585"/>
      <c r="M37" s="1575"/>
      <c r="N37" s="1594">
        <f>SUM(N36:N36)</f>
        <v>9790000</v>
      </c>
    </row>
    <row r="38" spans="1:14" s="307" customFormat="1" ht="13.5" customHeight="1" thickTop="1" x14ac:dyDescent="0.2">
      <c r="A38" s="438" t="s">
        <v>417</v>
      </c>
      <c r="B38" s="432">
        <v>714</v>
      </c>
      <c r="C38" s="1573">
        <v>143839</v>
      </c>
      <c r="D38" s="1573">
        <v>50312</v>
      </c>
      <c r="E38" s="1573">
        <v>763209</v>
      </c>
      <c r="F38" s="1573">
        <v>1815156</v>
      </c>
      <c r="G38" s="1573">
        <v>748137</v>
      </c>
      <c r="H38" s="1573">
        <v>-848419</v>
      </c>
      <c r="I38" s="1573">
        <v>318417</v>
      </c>
      <c r="J38" s="1574">
        <v>189434</v>
      </c>
      <c r="K38" s="1573">
        <v>23289</v>
      </c>
      <c r="L38" s="1586"/>
      <c r="M38" s="1604"/>
      <c r="N38" s="1604"/>
    </row>
    <row r="39" spans="1:14" s="307" customFormat="1" ht="13.5" customHeight="1" x14ac:dyDescent="0.2">
      <c r="A39" s="438" t="s">
        <v>339</v>
      </c>
      <c r="B39" s="432">
        <v>730</v>
      </c>
      <c r="C39" s="1573">
        <v>11357638</v>
      </c>
      <c r="D39" s="1573">
        <v>-208030</v>
      </c>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59281010</v>
      </c>
      <c r="N40" s="1604"/>
    </row>
    <row r="41" spans="1:14" ht="13.5" customHeight="1" thickBot="1" x14ac:dyDescent="0.25">
      <c r="A41" s="1426" t="s">
        <v>650</v>
      </c>
      <c r="B41" s="1405"/>
      <c r="C41" s="1594">
        <f>(SUM(C34,C37,C38,C39))</f>
        <v>19538916</v>
      </c>
      <c r="D41" s="1594">
        <f t="shared" ref="D41:L41" si="2">SUM(D34,D37,D38:D39)</f>
        <v>2207689</v>
      </c>
      <c r="E41" s="1594">
        <f t="shared" si="2"/>
        <v>1410692</v>
      </c>
      <c r="F41" s="1594">
        <f t="shared" si="2"/>
        <v>2137005</v>
      </c>
      <c r="G41" s="1594">
        <f t="shared" si="2"/>
        <v>1198857</v>
      </c>
      <c r="H41" s="1594">
        <f t="shared" si="2"/>
        <v>0</v>
      </c>
      <c r="I41" s="1594">
        <f t="shared" si="2"/>
        <v>318417</v>
      </c>
      <c r="J41" s="1594">
        <f t="shared" si="2"/>
        <v>315450</v>
      </c>
      <c r="K41" s="1594">
        <f t="shared" si="2"/>
        <v>23289</v>
      </c>
      <c r="L41" s="1594">
        <f t="shared" si="2"/>
        <v>1553421</v>
      </c>
      <c r="M41" s="1594">
        <f>SUM(M40)</f>
        <v>59281010</v>
      </c>
      <c r="N41" s="1594">
        <f>SUM(N37)</f>
        <v>9790000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48" activePane="bottomLeft" state="frozen"/>
      <selection pane="bottomLeft" activeCell="N58" sqref="N5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9" t="s">
        <v>1165</v>
      </c>
      <c r="B3" s="2250"/>
      <c r="C3" s="1311"/>
      <c r="D3" s="1312"/>
      <c r="E3" s="1312"/>
      <c r="F3" s="1312"/>
      <c r="G3" s="1312"/>
      <c r="H3" s="1312"/>
      <c r="I3" s="1312"/>
      <c r="J3" s="1312"/>
      <c r="K3" s="1313"/>
      <c r="L3" s="446"/>
    </row>
    <row r="4" spans="1:13" ht="15.75" customHeight="1" x14ac:dyDescent="0.2">
      <c r="A4" s="1537" t="s">
        <v>1482</v>
      </c>
      <c r="B4" s="1538">
        <v>1000</v>
      </c>
      <c r="C4" s="1606">
        <f>'Revenues 9-14'!C109</f>
        <v>10780278</v>
      </c>
      <c r="D4" s="1606">
        <f>'Revenues 9-14'!D109</f>
        <v>2632460</v>
      </c>
      <c r="E4" s="1606">
        <f>'Revenues 9-14'!E109</f>
        <v>1284874</v>
      </c>
      <c r="F4" s="1606">
        <f>'Revenues 9-14'!F109</f>
        <v>700768</v>
      </c>
      <c r="G4" s="1606">
        <f>'Revenues 9-14'!G109</f>
        <v>782226</v>
      </c>
      <c r="H4" s="1606">
        <f>'Revenues 9-14'!H109</f>
        <v>0</v>
      </c>
      <c r="I4" s="1606">
        <f>'Revenues 9-14'!I109</f>
        <v>0</v>
      </c>
      <c r="J4" s="1606">
        <f>'Revenues 9-14'!J109</f>
        <v>106087</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7378129</v>
      </c>
      <c r="D6" s="1607">
        <f>'Revenues 9-14'!D170</f>
        <v>0</v>
      </c>
      <c r="E6" s="1607">
        <f>'Revenues 9-14'!E170</f>
        <v>0</v>
      </c>
      <c r="F6" s="1607">
        <f>'Revenues 9-14'!F170</f>
        <v>802792</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1989390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20147797</v>
      </c>
      <c r="D8" s="1594">
        <f t="shared" ref="D8:K8" si="0">SUM(D4:D7)</f>
        <v>2632460</v>
      </c>
      <c r="E8" s="1594">
        <f t="shared" si="0"/>
        <v>1284874</v>
      </c>
      <c r="F8" s="1594">
        <f t="shared" si="0"/>
        <v>1503560</v>
      </c>
      <c r="G8" s="1594">
        <f t="shared" si="0"/>
        <v>782226</v>
      </c>
      <c r="H8" s="1594">
        <f t="shared" si="0"/>
        <v>0</v>
      </c>
      <c r="I8" s="1594">
        <f t="shared" si="0"/>
        <v>0</v>
      </c>
      <c r="J8" s="1594">
        <f t="shared" si="0"/>
        <v>106087</v>
      </c>
      <c r="K8" s="1594">
        <f t="shared" si="0"/>
        <v>0</v>
      </c>
      <c r="L8" s="325"/>
    </row>
    <row r="9" spans="1:13" ht="15.75" thickTop="1" x14ac:dyDescent="0.2">
      <c r="A9" s="449" t="s">
        <v>1634</v>
      </c>
      <c r="B9" s="450">
        <v>3998</v>
      </c>
      <c r="C9" s="1586">
        <v>8381598</v>
      </c>
      <c r="D9" s="1613"/>
      <c r="E9" s="1586"/>
      <c r="F9" s="1586"/>
      <c r="G9" s="1614"/>
      <c r="H9" s="1586"/>
      <c r="I9" s="1609" t="s">
        <v>1159</v>
      </c>
      <c r="J9" s="1583"/>
      <c r="K9" s="1586"/>
      <c r="L9" s="325"/>
    </row>
    <row r="10" spans="1:13" s="452" customFormat="1" ht="13.5" thickBot="1" x14ac:dyDescent="0.25">
      <c r="A10" s="1426" t="s">
        <v>1163</v>
      </c>
      <c r="B10" s="1407"/>
      <c r="C10" s="1594">
        <f>SUM(C8:C9)</f>
        <v>28529395</v>
      </c>
      <c r="D10" s="1594">
        <f t="shared" ref="D10:K10" si="1">SUM(D8:D9)</f>
        <v>2632460</v>
      </c>
      <c r="E10" s="1594">
        <f t="shared" si="1"/>
        <v>1284874</v>
      </c>
      <c r="F10" s="1594">
        <f t="shared" si="1"/>
        <v>1503560</v>
      </c>
      <c r="G10" s="1594">
        <f t="shared" si="1"/>
        <v>782226</v>
      </c>
      <c r="H10" s="1594">
        <f t="shared" si="1"/>
        <v>0</v>
      </c>
      <c r="I10" s="1594">
        <f t="shared" si="1"/>
        <v>0</v>
      </c>
      <c r="J10" s="1594">
        <f t="shared" si="1"/>
        <v>106087</v>
      </c>
      <c r="K10" s="1594">
        <f t="shared" si="1"/>
        <v>0</v>
      </c>
      <c r="L10" s="451"/>
    </row>
    <row r="11" spans="1:13" s="452" customFormat="1" ht="16.7" customHeight="1" thickTop="1" x14ac:dyDescent="0.2">
      <c r="A11" s="2223" t="s">
        <v>1166</v>
      </c>
      <c r="B11" s="2224"/>
      <c r="C11" s="1602"/>
      <c r="D11" s="1603"/>
      <c r="E11" s="1603"/>
      <c r="F11" s="1603"/>
      <c r="G11" s="1603"/>
      <c r="H11" s="1603"/>
      <c r="I11" s="1603"/>
      <c r="J11" s="1603"/>
      <c r="K11" s="1615"/>
      <c r="L11" s="451"/>
    </row>
    <row r="12" spans="1:13" ht="15.75" customHeight="1" x14ac:dyDescent="0.2">
      <c r="A12" s="1314" t="s">
        <v>453</v>
      </c>
      <c r="B12" s="1316">
        <v>1000</v>
      </c>
      <c r="C12" s="1606">
        <f>'Expenditures 15-22'!K33</f>
        <v>13471108</v>
      </c>
      <c r="D12" s="1616" t="s">
        <v>1159</v>
      </c>
      <c r="E12" s="1575" t="s">
        <v>1159</v>
      </c>
      <c r="F12" s="1575" t="s">
        <v>1159</v>
      </c>
      <c r="G12" s="1606">
        <f>'Expenditures 15-22'!K229</f>
        <v>304101</v>
      </c>
      <c r="H12" s="1617"/>
      <c r="I12" s="1575" t="s">
        <v>1159</v>
      </c>
      <c r="J12" s="1575" t="s">
        <v>1159</v>
      </c>
      <c r="K12" s="1617" t="s">
        <v>1159</v>
      </c>
      <c r="L12" s="325"/>
    </row>
    <row r="13" spans="1:13" ht="15.75" customHeight="1" x14ac:dyDescent="0.2">
      <c r="A13" s="1314" t="s">
        <v>454</v>
      </c>
      <c r="B13" s="1316">
        <v>2000</v>
      </c>
      <c r="C13" s="1607">
        <f>'Expenditures 15-22'!K74</f>
        <v>6188916</v>
      </c>
      <c r="D13" s="1607">
        <f>'Expenditures 15-22'!K129</f>
        <v>3157296</v>
      </c>
      <c r="E13" s="1576" t="s">
        <v>1159</v>
      </c>
      <c r="F13" s="1607">
        <f>'Expenditures 15-22'!K184</f>
        <v>1397989</v>
      </c>
      <c r="G13" s="1607">
        <f>'Expenditures 15-22'!K279</f>
        <v>448077</v>
      </c>
      <c r="H13" s="1607">
        <f>'Expenditures 15-22'!K303</f>
        <v>6388882</v>
      </c>
      <c r="I13" s="1575" t="s">
        <v>1159</v>
      </c>
      <c r="J13" s="1607">
        <f>'Expenditures 15-22'!K330</f>
        <v>104076</v>
      </c>
      <c r="K13" s="1618">
        <f>'Expenditures 15-22'!K352</f>
        <v>0</v>
      </c>
      <c r="L13" s="325"/>
    </row>
    <row r="14" spans="1:13" ht="15.75" customHeight="1" x14ac:dyDescent="0.2">
      <c r="A14" s="1314" t="s">
        <v>446</v>
      </c>
      <c r="B14" s="1316">
        <v>3000</v>
      </c>
      <c r="C14" s="1607">
        <f>'Expenditures 15-22'!K75</f>
        <v>66600</v>
      </c>
      <c r="D14" s="1607">
        <f>'Expenditures 15-22'!K130</f>
        <v>0</v>
      </c>
      <c r="E14" s="1616" t="s">
        <v>1159</v>
      </c>
      <c r="F14" s="1607">
        <f>'Expenditures 15-22'!K185</f>
        <v>0</v>
      </c>
      <c r="G14" s="1607">
        <f>'Expenditures 15-22'!K280</f>
        <v>1398</v>
      </c>
      <c r="H14" s="1612"/>
      <c r="I14" s="1575" t="s">
        <v>1159</v>
      </c>
      <c r="J14" s="1575" t="s">
        <v>1159</v>
      </c>
      <c r="K14" s="1612" t="s">
        <v>1159</v>
      </c>
      <c r="L14" s="325"/>
    </row>
    <row r="15" spans="1:13" ht="15.75" customHeight="1" x14ac:dyDescent="0.2">
      <c r="A15" s="1314" t="s">
        <v>107</v>
      </c>
      <c r="B15" s="1316">
        <v>4000</v>
      </c>
      <c r="C15" s="1607">
        <f>'Expenditures 15-22'!K102</f>
        <v>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1385726</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19726624</v>
      </c>
      <c r="D17" s="1594">
        <f t="shared" si="2"/>
        <v>3157296</v>
      </c>
      <c r="E17" s="1594">
        <f t="shared" si="2"/>
        <v>1385726</v>
      </c>
      <c r="F17" s="1594">
        <f t="shared" si="2"/>
        <v>1397989</v>
      </c>
      <c r="G17" s="1594">
        <f t="shared" si="2"/>
        <v>753576</v>
      </c>
      <c r="H17" s="1594">
        <f t="shared" si="2"/>
        <v>6388882</v>
      </c>
      <c r="I17" s="1575"/>
      <c r="J17" s="1594">
        <f>SUM(J12:J16)</f>
        <v>104076</v>
      </c>
      <c r="K17" s="1594">
        <f>SUM(K12:K16)</f>
        <v>0</v>
      </c>
      <c r="L17" s="325"/>
    </row>
    <row r="18" spans="1:12" ht="15" customHeight="1" thickTop="1" x14ac:dyDescent="0.2">
      <c r="A18" s="1430" t="s">
        <v>1635</v>
      </c>
      <c r="B18" s="1431">
        <v>4180</v>
      </c>
      <c r="C18" s="1606">
        <f t="shared" ref="C18:H18" si="3">C9</f>
        <v>8381598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28108222</v>
      </c>
      <c r="D19" s="1594">
        <f t="shared" si="4"/>
        <v>3157296</v>
      </c>
      <c r="E19" s="1594">
        <f t="shared" si="4"/>
        <v>1385726</v>
      </c>
      <c r="F19" s="1594">
        <f t="shared" si="4"/>
        <v>1397989</v>
      </c>
      <c r="G19" s="1594">
        <f t="shared" si="4"/>
        <v>753576</v>
      </c>
      <c r="H19" s="1594">
        <f t="shared" si="4"/>
        <v>6388882</v>
      </c>
      <c r="I19" s="1575"/>
      <c r="J19" s="1594">
        <f>SUM(J17:J18)</f>
        <v>104076</v>
      </c>
      <c r="K19" s="1594">
        <f>SUM(K17:K18)</f>
        <v>0</v>
      </c>
      <c r="L19" s="325"/>
    </row>
    <row r="20" spans="1:12" ht="16.5" thickTop="1" thickBot="1" x14ac:dyDescent="0.25">
      <c r="A20" s="2239" t="s">
        <v>1636</v>
      </c>
      <c r="B20" s="2240"/>
      <c r="C20" s="1622">
        <f>C8-C17</f>
        <v>421173</v>
      </c>
      <c r="D20" s="1622">
        <f t="shared" ref="D20:K20" si="5">D8-D17</f>
        <v>-524836</v>
      </c>
      <c r="E20" s="1622">
        <f t="shared" si="5"/>
        <v>-100852</v>
      </c>
      <c r="F20" s="1622">
        <f t="shared" si="5"/>
        <v>105571</v>
      </c>
      <c r="G20" s="1622">
        <f t="shared" si="5"/>
        <v>28650</v>
      </c>
      <c r="H20" s="1622">
        <f t="shared" si="5"/>
        <v>-6388882</v>
      </c>
      <c r="I20" s="1622">
        <f t="shared" si="5"/>
        <v>0</v>
      </c>
      <c r="J20" s="1622">
        <f t="shared" si="5"/>
        <v>2011</v>
      </c>
      <c r="K20" s="1622">
        <f t="shared" si="5"/>
        <v>0</v>
      </c>
      <c r="L20" s="325"/>
    </row>
    <row r="21" spans="1:12" ht="16.7" customHeight="1" thickTop="1" x14ac:dyDescent="0.2">
      <c r="A21" s="2251" t="s">
        <v>591</v>
      </c>
      <c r="B21" s="2252"/>
      <c r="C21" s="1602"/>
      <c r="D21" s="1603"/>
      <c r="E21" s="1603"/>
      <c r="F21" s="1603"/>
      <c r="G21" s="1603"/>
      <c r="H21" s="1603"/>
      <c r="I21" s="1603"/>
      <c r="J21" s="1603"/>
      <c r="K21" s="1615"/>
      <c r="L21" s="453"/>
    </row>
    <row r="22" spans="1:12" ht="15.75" customHeight="1" collapsed="1" x14ac:dyDescent="0.2">
      <c r="A22" s="2247" t="s">
        <v>592</v>
      </c>
      <c r="B22" s="2248"/>
      <c r="C22" s="1582"/>
      <c r="D22" s="1582"/>
      <c r="E22" s="1582"/>
      <c r="F22" s="1582"/>
      <c r="G22" s="1582"/>
      <c r="H22" s="1582"/>
      <c r="I22" s="1582"/>
      <c r="J22" s="1582"/>
      <c r="K22" s="1582"/>
      <c r="L22" s="325"/>
    </row>
    <row r="23" spans="1:12" s="433" customFormat="1" ht="15.75" customHeight="1" x14ac:dyDescent="0.2">
      <c r="A23" s="2243" t="s">
        <v>290</v>
      </c>
      <c r="B23" s="2244"/>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45" t="s">
        <v>974</v>
      </c>
      <c r="B32" s="2246"/>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3" t="s">
        <v>371</v>
      </c>
      <c r="B44" s="2254"/>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7" t="s">
        <v>108</v>
      </c>
      <c r="B45" s="2248"/>
      <c r="C45" s="1625"/>
      <c r="D45" s="1625"/>
      <c r="E45" s="1625"/>
      <c r="F45" s="1625"/>
      <c r="G45" s="1625"/>
      <c r="H45" s="1625"/>
      <c r="I45" s="1625"/>
      <c r="J45" s="1625"/>
      <c r="K45" s="1625"/>
      <c r="L45" s="325"/>
    </row>
    <row r="46" spans="1:12" s="433" customFormat="1" ht="15.75" customHeight="1" x14ac:dyDescent="0.2">
      <c r="A46" s="2255" t="s">
        <v>109</v>
      </c>
      <c r="B46" s="2256"/>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9" t="s">
        <v>437</v>
      </c>
      <c r="B76" s="2230"/>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1" t="s">
        <v>1167</v>
      </c>
      <c r="B77" s="2232"/>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5" t="s">
        <v>593</v>
      </c>
      <c r="B78" s="2236"/>
      <c r="C78" s="1629">
        <f t="shared" ref="C78:K78" si="9">C20+C77</f>
        <v>421173</v>
      </c>
      <c r="D78" s="1629">
        <f t="shared" si="9"/>
        <v>-524836</v>
      </c>
      <c r="E78" s="1629">
        <f t="shared" si="9"/>
        <v>-100852</v>
      </c>
      <c r="F78" s="1629">
        <f t="shared" si="9"/>
        <v>105571</v>
      </c>
      <c r="G78" s="1629">
        <f t="shared" si="9"/>
        <v>28650</v>
      </c>
      <c r="H78" s="1629">
        <f t="shared" si="9"/>
        <v>-6388882</v>
      </c>
      <c r="I78" s="1629">
        <f t="shared" si="9"/>
        <v>0</v>
      </c>
      <c r="J78" s="1629">
        <f t="shared" si="9"/>
        <v>2011</v>
      </c>
      <c r="K78" s="1629">
        <f t="shared" si="9"/>
        <v>0</v>
      </c>
      <c r="L78" s="457"/>
    </row>
    <row r="79" spans="1:12" ht="13.5" thickTop="1" x14ac:dyDescent="0.2">
      <c r="A79" s="1844" t="str">
        <f>"Fund Balances - July 1, "&amp;'AFR20'!E2-1</f>
        <v>Fund Balances - July 1, 2019</v>
      </c>
      <c r="B79" s="458"/>
      <c r="C79" s="1583">
        <v>11080304</v>
      </c>
      <c r="D79" s="1630">
        <v>367118</v>
      </c>
      <c r="E79" s="1630">
        <v>864061</v>
      </c>
      <c r="F79" s="1630">
        <v>1709585</v>
      </c>
      <c r="G79" s="1630">
        <v>719487</v>
      </c>
      <c r="H79" s="1630">
        <v>5540463</v>
      </c>
      <c r="I79" s="1630">
        <v>318417</v>
      </c>
      <c r="J79" s="1630">
        <v>187423</v>
      </c>
      <c r="K79" s="1630">
        <v>23289</v>
      </c>
      <c r="L79" s="325"/>
    </row>
    <row r="80" spans="1:12" x14ac:dyDescent="0.2">
      <c r="A80" s="2241" t="s">
        <v>1769</v>
      </c>
      <c r="B80" s="2242"/>
      <c r="C80" s="1574"/>
      <c r="D80" s="1574"/>
      <c r="E80" s="1574"/>
      <c r="F80" s="1574"/>
      <c r="G80" s="1574"/>
      <c r="H80" s="1574"/>
      <c r="I80" s="1574"/>
      <c r="J80" s="1574"/>
      <c r="K80" s="1574"/>
      <c r="L80" s="325"/>
    </row>
    <row r="81" spans="1:12" ht="13.5" thickBot="1" x14ac:dyDescent="0.25">
      <c r="A81" s="2233" t="str">
        <f>"Fund Balances - June 30, "&amp;'AFR20'!E2</f>
        <v>Fund Balances - June 30, 2020</v>
      </c>
      <c r="B81" s="2234"/>
      <c r="C81" s="1594">
        <f>(SUM(C78:C80))</f>
        <v>11501477</v>
      </c>
      <c r="D81" s="1594">
        <f>SUM(D78:D80)</f>
        <v>-157718</v>
      </c>
      <c r="E81" s="1594">
        <f t="shared" ref="E81:K81" si="10">SUM(E78:E80)</f>
        <v>763209</v>
      </c>
      <c r="F81" s="1594">
        <f t="shared" si="10"/>
        <v>1815156</v>
      </c>
      <c r="G81" s="1594">
        <f t="shared" si="10"/>
        <v>748137</v>
      </c>
      <c r="H81" s="1594">
        <f t="shared" si="10"/>
        <v>-848419</v>
      </c>
      <c r="I81" s="1594">
        <f t="shared" si="10"/>
        <v>318417</v>
      </c>
      <c r="J81" s="1594">
        <f t="shared" si="10"/>
        <v>189434</v>
      </c>
      <c r="K81" s="1594">
        <f t="shared" si="10"/>
        <v>23289</v>
      </c>
      <c r="L81" s="325"/>
    </row>
    <row r="82" spans="1:12" ht="0.75" customHeight="1" thickTop="1" thickBot="1" x14ac:dyDescent="0.25">
      <c r="A82" s="459" t="s">
        <v>340</v>
      </c>
      <c r="B82" s="460"/>
      <c r="C82" s="461">
        <f>(C81-C79)</f>
        <v>421173</v>
      </c>
      <c r="D82" s="461">
        <f t="shared" ref="D82:K82" si="11">(D81-D79)</f>
        <v>-524836</v>
      </c>
      <c r="E82" s="461">
        <f t="shared" si="11"/>
        <v>-100852</v>
      </c>
      <c r="F82" s="461">
        <f t="shared" si="11"/>
        <v>105571</v>
      </c>
      <c r="G82" s="461">
        <f t="shared" si="11"/>
        <v>28650</v>
      </c>
      <c r="H82" s="461">
        <f t="shared" si="11"/>
        <v>-6388882</v>
      </c>
      <c r="I82" s="461">
        <f t="shared" si="11"/>
        <v>0</v>
      </c>
      <c r="J82" s="461">
        <f t="shared" si="11"/>
        <v>2011</v>
      </c>
      <c r="K82" s="461">
        <f t="shared" si="11"/>
        <v>0</v>
      </c>
    </row>
    <row r="83" spans="1:12" ht="14.25" hidden="1" thickTop="1" thickBot="1" x14ac:dyDescent="0.25">
      <c r="A83" s="462" t="s">
        <v>341</v>
      </c>
      <c r="B83" s="428"/>
      <c r="C83" s="463">
        <f>C82/C81</f>
        <v>3.6619035972510317E-2</v>
      </c>
      <c r="D83" s="463">
        <f t="shared" ref="D83:K83" si="12">D82/D81</f>
        <v>3.3276861233340518</v>
      </c>
      <c r="E83" s="463">
        <f t="shared" si="12"/>
        <v>-0.13214204759115786</v>
      </c>
      <c r="F83" s="463">
        <f t="shared" si="12"/>
        <v>5.816084127204494E-2</v>
      </c>
      <c r="G83" s="463">
        <f t="shared" si="12"/>
        <v>3.8295125090725364E-2</v>
      </c>
      <c r="H83" s="463">
        <f t="shared" si="12"/>
        <v>7.5303381937462506</v>
      </c>
      <c r="I83" s="463">
        <f t="shared" si="12"/>
        <v>0</v>
      </c>
      <c r="J83" s="463">
        <f t="shared" si="12"/>
        <v>1.0615834538678379E-2</v>
      </c>
      <c r="K83" s="463">
        <f t="shared" si="12"/>
        <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F1" colorId="8" zoomScale="110" zoomScaleNormal="110" zoomScaleSheetLayoutView="75" workbookViewId="0">
      <pane ySplit="2" topLeftCell="A91" activePane="bottomLeft" state="frozen"/>
      <selection pane="bottomLeft" activeCell="F107" sqref="F10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1776</v>
      </c>
      <c r="B1" s="416"/>
      <c r="C1" s="417" t="s">
        <v>422</v>
      </c>
      <c r="D1" s="417" t="s">
        <v>423</v>
      </c>
      <c r="E1" s="417" t="s">
        <v>424</v>
      </c>
      <c r="F1" s="417" t="s">
        <v>425</v>
      </c>
      <c r="G1" s="417" t="s">
        <v>426</v>
      </c>
      <c r="H1" s="417" t="s">
        <v>427</v>
      </c>
      <c r="I1" s="417" t="s">
        <v>428</v>
      </c>
      <c r="J1" s="417" t="s">
        <v>429</v>
      </c>
      <c r="K1" s="417" t="s">
        <v>751</v>
      </c>
    </row>
    <row r="2" spans="1:12" ht="36" x14ac:dyDescent="0.2">
      <c r="A2" s="223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10196415</v>
      </c>
      <c r="D5" s="1586">
        <v>2134677</v>
      </c>
      <c r="E5" s="1573">
        <v>1282830</v>
      </c>
      <c r="F5" s="1631">
        <v>604233</v>
      </c>
      <c r="G5" s="1573">
        <v>434573</v>
      </c>
      <c r="H5" s="1573"/>
      <c r="I5" s="1573"/>
      <c r="J5" s="1574">
        <v>105919</v>
      </c>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v>346410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10196415</v>
      </c>
      <c r="D12" s="1633">
        <f t="shared" si="0"/>
        <v>2134677</v>
      </c>
      <c r="E12" s="1633">
        <f t="shared" si="0"/>
        <v>1282830</v>
      </c>
      <c r="F12" s="1633">
        <f t="shared" si="0"/>
        <v>604233</v>
      </c>
      <c r="G12" s="1633">
        <f t="shared" si="0"/>
        <v>780983</v>
      </c>
      <c r="H12" s="1633">
        <f t="shared" si="0"/>
        <v>0</v>
      </c>
      <c r="I12" s="1633">
        <f t="shared" si="0"/>
        <v>0</v>
      </c>
      <c r="J12" s="1633">
        <f t="shared" si="0"/>
        <v>105919</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v>337807</v>
      </c>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337807</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185815</v>
      </c>
      <c r="D65" s="1573">
        <v>3398</v>
      </c>
      <c r="E65" s="1573">
        <v>2044</v>
      </c>
      <c r="F65" s="1574">
        <v>962</v>
      </c>
      <c r="G65" s="1573">
        <v>1243</v>
      </c>
      <c r="H65" s="1573"/>
      <c r="I65" s="1573"/>
      <c r="J65" s="1574">
        <v>168</v>
      </c>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185815</v>
      </c>
      <c r="D67" s="1594">
        <f t="shared" ref="D67:K67" si="2">SUM(D65:D66)</f>
        <v>3398</v>
      </c>
      <c r="E67" s="1594">
        <f t="shared" si="2"/>
        <v>2044</v>
      </c>
      <c r="F67" s="1594">
        <f t="shared" si="2"/>
        <v>962</v>
      </c>
      <c r="G67" s="1594">
        <f t="shared" si="2"/>
        <v>1243</v>
      </c>
      <c r="H67" s="1594">
        <f t="shared" si="2"/>
        <v>0</v>
      </c>
      <c r="I67" s="1594">
        <f t="shared" si="2"/>
        <v>0</v>
      </c>
      <c r="J67" s="1594">
        <f t="shared" si="2"/>
        <v>168</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322708</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322708</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8541</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8541</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66799</v>
      </c>
      <c r="D107" s="1573">
        <v>156578</v>
      </c>
      <c r="E107" s="1573"/>
      <c r="F107" s="1573">
        <v>95573</v>
      </c>
      <c r="G107" s="1573"/>
      <c r="H107" s="1573"/>
      <c r="I107" s="1573"/>
      <c r="J107" s="1574"/>
      <c r="K107" s="1573"/>
    </row>
    <row r="108" spans="1:12" ht="12.75" customHeight="1" thickBot="1" x14ac:dyDescent="0.25">
      <c r="A108" s="1406" t="s">
        <v>484</v>
      </c>
      <c r="B108" s="1408"/>
      <c r="C108" s="1633">
        <f>SUM(C95:C107)</f>
        <v>66799</v>
      </c>
      <c r="D108" s="1633">
        <f t="shared" ref="D108:K108" si="3">SUM(D95:D107)</f>
        <v>156578</v>
      </c>
      <c r="E108" s="1633">
        <f t="shared" si="3"/>
        <v>0</v>
      </c>
      <c r="F108" s="1633">
        <f t="shared" si="3"/>
        <v>95573</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10780278</v>
      </c>
      <c r="D109" s="1641">
        <f t="shared" si="4"/>
        <v>2632460</v>
      </c>
      <c r="E109" s="1641">
        <f t="shared" si="4"/>
        <v>1284874</v>
      </c>
      <c r="F109" s="1641">
        <f t="shared" si="4"/>
        <v>700768</v>
      </c>
      <c r="G109" s="1641">
        <f t="shared" si="4"/>
        <v>782226</v>
      </c>
      <c r="H109" s="1641">
        <f t="shared" si="4"/>
        <v>0</v>
      </c>
      <c r="I109" s="1641">
        <f t="shared" si="4"/>
        <v>0</v>
      </c>
      <c r="J109" s="1641">
        <f t="shared" si="4"/>
        <v>106087</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6963679</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6963679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195597</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24533</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220130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6672</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495659</v>
      </c>
      <c r="G152" s="1574"/>
      <c r="H152" s="1575"/>
      <c r="I152" s="1575"/>
      <c r="J152" s="1575"/>
      <c r="K152" s="1575"/>
    </row>
    <row r="153" spans="1:11" ht="12.75" customHeight="1" x14ac:dyDescent="0.2">
      <c r="A153" s="427" t="s">
        <v>1048</v>
      </c>
      <c r="B153" s="478">
        <v>3510</v>
      </c>
      <c r="C153" s="1632"/>
      <c r="D153" s="1573"/>
      <c r="E153" s="1640"/>
      <c r="F153" s="1573">
        <v>307133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802792</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187648</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7" t="s">
        <v>395</v>
      </c>
      <c r="B169" s="2258"/>
      <c r="C169" s="1658">
        <f t="shared" ref="C169:K169" si="6">SUM(C132,C141,C145,C146:C150,C155,C156:C167,C168)</f>
        <v>414450</v>
      </c>
      <c r="D169" s="1658">
        <f t="shared" si="6"/>
        <v>0</v>
      </c>
      <c r="E169" s="1658">
        <f t="shared" si="6"/>
        <v>0</v>
      </c>
      <c r="F169" s="1658">
        <f t="shared" si="6"/>
        <v>802792</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7378129</v>
      </c>
      <c r="D170" s="1641">
        <f t="shared" si="7"/>
        <v>0</v>
      </c>
      <c r="E170" s="1641">
        <f t="shared" si="7"/>
        <v>0</v>
      </c>
      <c r="F170" s="1641">
        <f t="shared" si="7"/>
        <v>802792</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9" t="s">
        <v>1475</v>
      </c>
      <c r="B172" s="2260"/>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3" t="s">
        <v>1646</v>
      </c>
      <c r="B175" s="226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7" t="s">
        <v>1645</v>
      </c>
      <c r="B176" s="2268"/>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5" t="s">
        <v>780</v>
      </c>
      <c r="B181" s="226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1" t="s">
        <v>1777</v>
      </c>
      <c r="B182" s="2262"/>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368089</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114827</v>
      </c>
      <c r="D193" s="1575"/>
      <c r="E193" s="1640"/>
      <c r="F193" s="1575"/>
      <c r="G193" s="1664"/>
      <c r="H193" s="1575"/>
      <c r="I193" s="1575"/>
      <c r="J193" s="1575"/>
      <c r="K193" s="1575"/>
    </row>
    <row r="194" spans="1:11" ht="12.75" customHeight="1" x14ac:dyDescent="0.2">
      <c r="A194" s="427" t="s">
        <v>1434</v>
      </c>
      <c r="B194" s="429">
        <v>4225</v>
      </c>
      <c r="C194" s="1632">
        <v>49704</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532620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650092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61528</v>
      </c>
      <c r="D203" s="1573"/>
      <c r="E203" s="1575"/>
      <c r="F203" s="1573"/>
      <c r="G203" s="1573"/>
      <c r="H203" s="1575"/>
      <c r="I203" s="1575"/>
      <c r="J203" s="1575"/>
      <c r="K203" s="1575"/>
    </row>
    <row r="204" spans="1:11" ht="12.75" customHeight="1" thickBot="1" x14ac:dyDescent="0.25">
      <c r="A204" s="1406" t="s">
        <v>397</v>
      </c>
      <c r="B204" s="1407"/>
      <c r="C204" s="1633">
        <f>SUM(C200:C203)</f>
        <v>711620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41464</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41464</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6711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528192</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534903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59856</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72296</v>
      </c>
      <c r="D263" s="1651"/>
      <c r="E263" s="1575"/>
      <c r="F263" s="1651"/>
      <c r="G263" s="1651"/>
      <c r="H263" s="1575"/>
      <c r="I263" s="1575"/>
      <c r="J263" s="1575"/>
      <c r="K263" s="1575"/>
    </row>
    <row r="264" spans="1:11" ht="12.75" customHeight="1" thickTop="1" thickBot="1" x14ac:dyDescent="0.25">
      <c r="A264" s="427" t="s">
        <v>374</v>
      </c>
      <c r="B264" s="429">
        <v>4992</v>
      </c>
      <c r="C264" s="1650">
        <v>36631</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1989390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1989390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20147797</v>
      </c>
      <c r="D268" s="1641">
        <f t="shared" si="12"/>
        <v>2632460</v>
      </c>
      <c r="E268" s="1641">
        <f t="shared" si="12"/>
        <v>1284874</v>
      </c>
      <c r="F268" s="1641">
        <f t="shared" si="12"/>
        <v>1503560</v>
      </c>
      <c r="G268" s="1641">
        <f t="shared" si="12"/>
        <v>782226</v>
      </c>
      <c r="H268" s="1641">
        <f t="shared" si="12"/>
        <v>0</v>
      </c>
      <c r="I268" s="1641">
        <f t="shared" si="12"/>
        <v>0</v>
      </c>
      <c r="J268" s="1641">
        <f t="shared" si="12"/>
        <v>106087</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34" activePane="bottomLeft" state="frozen"/>
      <selection pane="bottomLeft" activeCell="D247" sqref="D24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5" t="s">
        <v>294</v>
      </c>
      <c r="B3" s="2276"/>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6710750</v>
      </c>
      <c r="D5" s="1573">
        <v>1831403</v>
      </c>
      <c r="E5" s="1573">
        <v>92519</v>
      </c>
      <c r="F5" s="1573">
        <v>520543</v>
      </c>
      <c r="G5" s="1573"/>
      <c r="H5" s="1573">
        <v>5158</v>
      </c>
      <c r="I5" s="1574">
        <v>2645</v>
      </c>
      <c r="J5" s="1574"/>
      <c r="K5" s="1672">
        <f>SUM(C5:J5)</f>
        <v>9163018</v>
      </c>
      <c r="L5" s="1573">
        <v>9099154</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118824</v>
      </c>
      <c r="D7" s="1574">
        <v>49247</v>
      </c>
      <c r="E7" s="1574"/>
      <c r="F7" s="1574">
        <v>1245</v>
      </c>
      <c r="G7" s="1574"/>
      <c r="H7" s="1574"/>
      <c r="I7" s="1574"/>
      <c r="J7" s="1574"/>
      <c r="K7" s="1672">
        <f t="shared" ref="K7:K32" si="0">SUM(C7:J7)</f>
        <v>169316</v>
      </c>
      <c r="L7" s="1573">
        <v>0</v>
      </c>
    </row>
    <row r="8" spans="1:14" x14ac:dyDescent="0.2">
      <c r="A8" s="1274" t="s">
        <v>163</v>
      </c>
      <c r="B8" s="503">
        <v>1200</v>
      </c>
      <c r="C8" s="1573">
        <v>2358373</v>
      </c>
      <c r="D8" s="1573">
        <v>732844</v>
      </c>
      <c r="E8" s="1573">
        <v>99283</v>
      </c>
      <c r="F8" s="1573">
        <v>16379</v>
      </c>
      <c r="G8" s="1573"/>
      <c r="H8" s="1573">
        <v>2756</v>
      </c>
      <c r="I8" s="1574"/>
      <c r="J8" s="1574"/>
      <c r="K8" s="1672">
        <f t="shared" si="0"/>
        <v>3209635</v>
      </c>
      <c r="L8" s="1573">
        <v>3142327</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v>158</v>
      </c>
      <c r="G10" s="1573"/>
      <c r="H10" s="1573"/>
      <c r="I10" s="1574"/>
      <c r="J10" s="1574"/>
      <c r="K10" s="1672">
        <f t="shared" si="0"/>
        <v>158</v>
      </c>
      <c r="L10" s="1573">
        <v>3000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82684</v>
      </c>
      <c r="D14" s="1573">
        <v>11972</v>
      </c>
      <c r="E14" s="1573">
        <v>10973</v>
      </c>
      <c r="F14" s="1573">
        <v>23898</v>
      </c>
      <c r="G14" s="1573"/>
      <c r="H14" s="1573">
        <v>160</v>
      </c>
      <c r="I14" s="1574"/>
      <c r="J14" s="1574"/>
      <c r="K14" s="1672">
        <f t="shared" si="0"/>
        <v>129687</v>
      </c>
      <c r="L14" s="1573">
        <v>128716</v>
      </c>
    </row>
    <row r="15" spans="1:14" x14ac:dyDescent="0.2">
      <c r="A15" s="1274" t="s">
        <v>958</v>
      </c>
      <c r="B15" s="503">
        <v>1600</v>
      </c>
      <c r="C15" s="1573">
        <v>54932</v>
      </c>
      <c r="D15" s="1573">
        <v>6174</v>
      </c>
      <c r="E15" s="1573"/>
      <c r="F15" s="1573">
        <v>210</v>
      </c>
      <c r="G15" s="1573"/>
      <c r="H15" s="1573"/>
      <c r="I15" s="1574"/>
      <c r="J15" s="1574"/>
      <c r="K15" s="1672">
        <f t="shared" si="0"/>
        <v>61316</v>
      </c>
      <c r="L15" s="1573">
        <v>53220</v>
      </c>
    </row>
    <row r="16" spans="1:14" x14ac:dyDescent="0.2">
      <c r="A16" s="1274" t="s">
        <v>980</v>
      </c>
      <c r="B16" s="503" t="s">
        <v>421</v>
      </c>
      <c r="C16" s="1573">
        <v>53558</v>
      </c>
      <c r="D16" s="1573">
        <v>19731</v>
      </c>
      <c r="E16" s="1573">
        <v>1024</v>
      </c>
      <c r="F16" s="1573">
        <v>1048</v>
      </c>
      <c r="G16" s="1573"/>
      <c r="H16" s="1573">
        <v>480</v>
      </c>
      <c r="I16" s="1574"/>
      <c r="J16" s="1574"/>
      <c r="K16" s="1672">
        <f t="shared" si="0"/>
        <v>75841</v>
      </c>
      <c r="L16" s="1573">
        <v>86515</v>
      </c>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v>662137</v>
      </c>
      <c r="I21" s="1673"/>
      <c r="J21" s="1582"/>
      <c r="K21" s="1672">
        <f t="shared" si="0"/>
        <v>662137</v>
      </c>
      <c r="L21" s="1577">
        <v>496211</v>
      </c>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9379121</v>
      </c>
      <c r="D33" s="1674">
        <f t="shared" ref="D33:L33" si="1">SUM(D5:D32)</f>
        <v>2651371</v>
      </c>
      <c r="E33" s="1674">
        <f t="shared" si="1"/>
        <v>203799</v>
      </c>
      <c r="F33" s="1674">
        <f t="shared" si="1"/>
        <v>563481</v>
      </c>
      <c r="G33" s="1674">
        <f t="shared" si="1"/>
        <v>0</v>
      </c>
      <c r="H33" s="1674">
        <f t="shared" si="1"/>
        <v>670691</v>
      </c>
      <c r="I33" s="1674">
        <f t="shared" si="1"/>
        <v>2645</v>
      </c>
      <c r="J33" s="1674">
        <f t="shared" si="1"/>
        <v>0</v>
      </c>
      <c r="K33" s="1674">
        <f t="shared" si="1"/>
        <v>13471108</v>
      </c>
      <c r="L33" s="1674">
        <f t="shared" si="1"/>
        <v>13009143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286287</v>
      </c>
      <c r="D36" s="1586">
        <v>65805</v>
      </c>
      <c r="E36" s="1586"/>
      <c r="F36" s="1586"/>
      <c r="G36" s="1586"/>
      <c r="H36" s="1586"/>
      <c r="I36" s="1574"/>
      <c r="J36" s="1574"/>
      <c r="K36" s="1672">
        <f t="shared" ref="K36:K41" si="2">SUM(C36:J36)</f>
        <v>352092</v>
      </c>
      <c r="L36" s="1573">
        <v>339376</v>
      </c>
    </row>
    <row r="37" spans="1:14" x14ac:dyDescent="0.2">
      <c r="A37" s="1274" t="s">
        <v>1081</v>
      </c>
      <c r="B37" s="503">
        <v>2120</v>
      </c>
      <c r="C37" s="1573"/>
      <c r="D37" s="1573"/>
      <c r="E37" s="1573">
        <v>6600</v>
      </c>
      <c r="F37" s="1573">
        <v>3079</v>
      </c>
      <c r="G37" s="1573"/>
      <c r="H37" s="1573"/>
      <c r="I37" s="1574"/>
      <c r="J37" s="1574"/>
      <c r="K37" s="1672">
        <f t="shared" si="2"/>
        <v>9679</v>
      </c>
      <c r="L37" s="1573">
        <v>6900</v>
      </c>
    </row>
    <row r="38" spans="1:14" x14ac:dyDescent="0.2">
      <c r="A38" s="1274" t="s">
        <v>196</v>
      </c>
      <c r="B38" s="503">
        <v>2130</v>
      </c>
      <c r="C38" s="1573">
        <v>422639</v>
      </c>
      <c r="D38" s="1573">
        <v>70302</v>
      </c>
      <c r="E38" s="1573">
        <v>1933</v>
      </c>
      <c r="F38" s="1573">
        <v>11181</v>
      </c>
      <c r="G38" s="1573"/>
      <c r="H38" s="1573"/>
      <c r="I38" s="1574">
        <v>5437</v>
      </c>
      <c r="J38" s="1574"/>
      <c r="K38" s="1672">
        <f t="shared" si="2"/>
        <v>511492</v>
      </c>
      <c r="L38" s="1573">
        <v>475882</v>
      </c>
    </row>
    <row r="39" spans="1:14" x14ac:dyDescent="0.2">
      <c r="A39" s="1274" t="s">
        <v>197</v>
      </c>
      <c r="B39" s="503">
        <v>2140</v>
      </c>
      <c r="C39" s="1573">
        <v>139044</v>
      </c>
      <c r="D39" s="1573">
        <v>43589</v>
      </c>
      <c r="E39" s="1573">
        <v>4178</v>
      </c>
      <c r="F39" s="1573">
        <v>4326</v>
      </c>
      <c r="G39" s="1573"/>
      <c r="H39" s="1573"/>
      <c r="I39" s="1574"/>
      <c r="J39" s="1574"/>
      <c r="K39" s="1672">
        <f t="shared" si="2"/>
        <v>191137</v>
      </c>
      <c r="L39" s="1573">
        <v>189107</v>
      </c>
    </row>
    <row r="40" spans="1:14" x14ac:dyDescent="0.2">
      <c r="A40" s="1274" t="s">
        <v>198</v>
      </c>
      <c r="B40" s="503">
        <v>2150</v>
      </c>
      <c r="C40" s="1573">
        <v>342887</v>
      </c>
      <c r="D40" s="1573">
        <v>91884</v>
      </c>
      <c r="E40" s="1573">
        <v>8208</v>
      </c>
      <c r="F40" s="1573">
        <v>1454</v>
      </c>
      <c r="G40" s="1573"/>
      <c r="H40" s="1573"/>
      <c r="I40" s="1574"/>
      <c r="J40" s="1574"/>
      <c r="K40" s="1672">
        <f t="shared" si="2"/>
        <v>444433</v>
      </c>
      <c r="L40" s="1573">
        <v>441829</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1190857</v>
      </c>
      <c r="D42" s="1674">
        <f t="shared" ref="D42:L42" si="3">SUM(D36:D41)</f>
        <v>271580</v>
      </c>
      <c r="E42" s="1674">
        <f t="shared" si="3"/>
        <v>20919</v>
      </c>
      <c r="F42" s="1674">
        <f t="shared" si="3"/>
        <v>20040</v>
      </c>
      <c r="G42" s="1674">
        <f t="shared" si="3"/>
        <v>0</v>
      </c>
      <c r="H42" s="1674">
        <f t="shared" si="3"/>
        <v>0</v>
      </c>
      <c r="I42" s="1674">
        <f t="shared" si="3"/>
        <v>5437</v>
      </c>
      <c r="J42" s="1674">
        <f t="shared" si="3"/>
        <v>0</v>
      </c>
      <c r="K42" s="1674">
        <f t="shared" si="3"/>
        <v>1508833</v>
      </c>
      <c r="L42" s="1674">
        <f t="shared" si="3"/>
        <v>1453094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191722</v>
      </c>
      <c r="D44" s="1586">
        <v>53765</v>
      </c>
      <c r="E44" s="1586">
        <v>221997</v>
      </c>
      <c r="F44" s="1586">
        <v>43461</v>
      </c>
      <c r="G44" s="1586"/>
      <c r="H44" s="1586">
        <v>7575</v>
      </c>
      <c r="I44" s="1574"/>
      <c r="J44" s="1574"/>
      <c r="K44" s="1678">
        <f>SUM(C44:J44)</f>
        <v>518520</v>
      </c>
      <c r="L44" s="1586">
        <v>479581</v>
      </c>
    </row>
    <row r="45" spans="1:14" x14ac:dyDescent="0.2">
      <c r="A45" s="1274" t="s">
        <v>810</v>
      </c>
      <c r="B45" s="503">
        <v>2220</v>
      </c>
      <c r="C45" s="1573">
        <v>120645</v>
      </c>
      <c r="D45" s="1573">
        <v>23738</v>
      </c>
      <c r="E45" s="1573"/>
      <c r="F45" s="1573">
        <v>13999</v>
      </c>
      <c r="G45" s="1573"/>
      <c r="H45" s="1573"/>
      <c r="I45" s="1574"/>
      <c r="J45" s="1574"/>
      <c r="K45" s="1678">
        <f>SUM(C45:J45)</f>
        <v>158382</v>
      </c>
      <c r="L45" s="1573">
        <v>276457</v>
      </c>
    </row>
    <row r="46" spans="1:14" x14ac:dyDescent="0.2">
      <c r="A46" s="1274" t="s">
        <v>811</v>
      </c>
      <c r="B46" s="503">
        <v>2230</v>
      </c>
      <c r="C46" s="1573"/>
      <c r="D46" s="1573"/>
      <c r="E46" s="1573">
        <v>52023</v>
      </c>
      <c r="F46" s="1573">
        <v>24725</v>
      </c>
      <c r="G46" s="1573"/>
      <c r="H46" s="1573"/>
      <c r="I46" s="1574"/>
      <c r="J46" s="1574"/>
      <c r="K46" s="1678">
        <f>SUM(C46:J46)</f>
        <v>76748</v>
      </c>
      <c r="L46" s="1573">
        <v>37000</v>
      </c>
    </row>
    <row r="47" spans="1:14" ht="12.75" customHeight="1" thickBot="1" x14ac:dyDescent="0.25">
      <c r="A47" s="1380" t="s">
        <v>557</v>
      </c>
      <c r="B47" s="1381" t="s">
        <v>32</v>
      </c>
      <c r="C47" s="1674">
        <f>SUM(C44:C46)</f>
        <v>312367</v>
      </c>
      <c r="D47" s="1674">
        <f t="shared" ref="D47:K47" si="4">SUM(D44:D46)</f>
        <v>77503</v>
      </c>
      <c r="E47" s="1674">
        <f t="shared" si="4"/>
        <v>274020</v>
      </c>
      <c r="F47" s="1674">
        <f t="shared" si="4"/>
        <v>82185</v>
      </c>
      <c r="G47" s="1674">
        <f t="shared" si="4"/>
        <v>0</v>
      </c>
      <c r="H47" s="1674">
        <f t="shared" si="4"/>
        <v>7575</v>
      </c>
      <c r="I47" s="1674">
        <f t="shared" si="4"/>
        <v>0</v>
      </c>
      <c r="J47" s="1674">
        <f t="shared" si="4"/>
        <v>0</v>
      </c>
      <c r="K47" s="1674">
        <f t="shared" si="4"/>
        <v>753650</v>
      </c>
      <c r="L47" s="1674">
        <f>SUM(L44:L46)</f>
        <v>793038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9012</v>
      </c>
      <c r="D49" s="1586">
        <v>286013</v>
      </c>
      <c r="E49" s="1586"/>
      <c r="F49" s="1586">
        <v>3878</v>
      </c>
      <c r="G49" s="1586"/>
      <c r="H49" s="1586">
        <v>91208</v>
      </c>
      <c r="I49" s="1574"/>
      <c r="J49" s="1574"/>
      <c r="K49" s="1678">
        <f>SUM(C49:J49)</f>
        <v>390111</v>
      </c>
      <c r="L49" s="1586">
        <v>408500</v>
      </c>
    </row>
    <row r="50" spans="1:14" x14ac:dyDescent="0.2">
      <c r="A50" s="1274" t="s">
        <v>813</v>
      </c>
      <c r="B50" s="503">
        <v>2320</v>
      </c>
      <c r="C50" s="1573">
        <v>230124</v>
      </c>
      <c r="D50" s="1573">
        <v>17569</v>
      </c>
      <c r="E50" s="1573">
        <v>88869</v>
      </c>
      <c r="F50" s="1573">
        <v>11149</v>
      </c>
      <c r="G50" s="1573"/>
      <c r="H50" s="1573">
        <v>3575</v>
      </c>
      <c r="I50" s="1574">
        <v>500</v>
      </c>
      <c r="J50" s="1574"/>
      <c r="K50" s="1678">
        <f>SUM(C50:J50)</f>
        <v>351786</v>
      </c>
      <c r="L50" s="1573">
        <v>306207</v>
      </c>
    </row>
    <row r="51" spans="1:14" x14ac:dyDescent="0.2">
      <c r="A51" s="1274" t="s">
        <v>42</v>
      </c>
      <c r="B51" s="503">
        <v>2330</v>
      </c>
      <c r="C51" s="1573">
        <v>124988</v>
      </c>
      <c r="D51" s="1573">
        <v>14756</v>
      </c>
      <c r="E51" s="1573">
        <v>13300</v>
      </c>
      <c r="F51" s="1573">
        <v>1626</v>
      </c>
      <c r="G51" s="1573"/>
      <c r="H51" s="1573"/>
      <c r="I51" s="1574"/>
      <c r="J51" s="1574"/>
      <c r="K51" s="1678">
        <f>SUM(C51:J51)</f>
        <v>154670</v>
      </c>
      <c r="L51" s="1573">
        <v>153591</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364124</v>
      </c>
      <c r="D53" s="1674">
        <f t="shared" ref="D53:L53" si="5">SUM(D49:D52)</f>
        <v>318338</v>
      </c>
      <c r="E53" s="1674">
        <f t="shared" si="5"/>
        <v>102169</v>
      </c>
      <c r="F53" s="1674">
        <f t="shared" si="5"/>
        <v>16653</v>
      </c>
      <c r="G53" s="1674">
        <f t="shared" si="5"/>
        <v>0</v>
      </c>
      <c r="H53" s="1674">
        <f t="shared" si="5"/>
        <v>94783</v>
      </c>
      <c r="I53" s="1674">
        <f t="shared" si="5"/>
        <v>500</v>
      </c>
      <c r="J53" s="1674">
        <f t="shared" si="5"/>
        <v>0</v>
      </c>
      <c r="K53" s="1674">
        <f t="shared" si="5"/>
        <v>896567</v>
      </c>
      <c r="L53" s="1674">
        <f t="shared" si="5"/>
        <v>868298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1000071</v>
      </c>
      <c r="D55" s="1586">
        <v>213581</v>
      </c>
      <c r="E55" s="1586">
        <v>4547</v>
      </c>
      <c r="F55" s="1586">
        <v>21665</v>
      </c>
      <c r="G55" s="1586"/>
      <c r="H55" s="1586">
        <v>2605</v>
      </c>
      <c r="I55" s="1574"/>
      <c r="J55" s="1574"/>
      <c r="K55" s="1678">
        <f>SUM(C55:J55)</f>
        <v>1242469</v>
      </c>
      <c r="L55" s="1586">
        <v>1211095</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1000071</v>
      </c>
      <c r="D57" s="1679">
        <f t="shared" ref="D57:K57" si="6">SUM(D55:D56)</f>
        <v>213581</v>
      </c>
      <c r="E57" s="1679">
        <f t="shared" si="6"/>
        <v>4547</v>
      </c>
      <c r="F57" s="1679">
        <f t="shared" si="6"/>
        <v>21665</v>
      </c>
      <c r="G57" s="1679">
        <f t="shared" si="6"/>
        <v>0</v>
      </c>
      <c r="H57" s="1679">
        <f t="shared" si="6"/>
        <v>2605</v>
      </c>
      <c r="I57" s="1679">
        <f t="shared" si="6"/>
        <v>0</v>
      </c>
      <c r="J57" s="1679">
        <f t="shared" si="6"/>
        <v>0</v>
      </c>
      <c r="K57" s="1679">
        <f t="shared" si="6"/>
        <v>1242469</v>
      </c>
      <c r="L57" s="1674">
        <f>SUM(L55:L56)</f>
        <v>1211095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184132</v>
      </c>
      <c r="D60" s="1573">
        <v>44104</v>
      </c>
      <c r="E60" s="1573">
        <v>27063</v>
      </c>
      <c r="F60" s="1573">
        <v>1151</v>
      </c>
      <c r="G60" s="1573"/>
      <c r="H60" s="1573">
        <v>3968</v>
      </c>
      <c r="I60" s="1574"/>
      <c r="J60" s="1574"/>
      <c r="K60" s="1678">
        <f t="shared" si="7"/>
        <v>260418</v>
      </c>
      <c r="L60" s="1573">
        <v>256331</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v>653113</v>
      </c>
      <c r="F63" s="1573">
        <v>3871</v>
      </c>
      <c r="G63" s="1573"/>
      <c r="H63" s="1573"/>
      <c r="I63" s="1574"/>
      <c r="J63" s="1574"/>
      <c r="K63" s="1678">
        <f t="shared" si="7"/>
        <v>656984</v>
      </c>
      <c r="L63" s="1573">
        <v>780000</v>
      </c>
    </row>
    <row r="64" spans="1:14" s="501" customFormat="1" x14ac:dyDescent="0.2">
      <c r="A64" s="1279" t="s">
        <v>101</v>
      </c>
      <c r="B64" s="513">
        <v>2570</v>
      </c>
      <c r="C64" s="1586"/>
      <c r="D64" s="1586"/>
      <c r="E64" s="1586"/>
      <c r="F64" s="1586">
        <v>37</v>
      </c>
      <c r="G64" s="1586"/>
      <c r="H64" s="1586">
        <v>124468</v>
      </c>
      <c r="I64" s="1574"/>
      <c r="J64" s="1574"/>
      <c r="K64" s="1678">
        <f t="shared" si="7"/>
        <v>124505</v>
      </c>
      <c r="L64" s="1586">
        <v>1500</v>
      </c>
    </row>
    <row r="65" spans="1:14" s="321" customFormat="1" ht="12.75" customHeight="1" thickBot="1" x14ac:dyDescent="0.25">
      <c r="A65" s="1380" t="s">
        <v>714</v>
      </c>
      <c r="B65" s="1381" t="s">
        <v>35</v>
      </c>
      <c r="C65" s="1674">
        <f>SUM(C59:C64)</f>
        <v>184132</v>
      </c>
      <c r="D65" s="1674">
        <f t="shared" ref="D65:L65" si="8">SUM(D59:D64)</f>
        <v>44104</v>
      </c>
      <c r="E65" s="1674">
        <f t="shared" si="8"/>
        <v>680176</v>
      </c>
      <c r="F65" s="1674">
        <f t="shared" si="8"/>
        <v>5059</v>
      </c>
      <c r="G65" s="1674">
        <f t="shared" si="8"/>
        <v>0</v>
      </c>
      <c r="H65" s="1674">
        <f t="shared" si="8"/>
        <v>128436</v>
      </c>
      <c r="I65" s="1674">
        <f t="shared" si="8"/>
        <v>0</v>
      </c>
      <c r="J65" s="1674">
        <f t="shared" si="8"/>
        <v>0</v>
      </c>
      <c r="K65" s="1674">
        <f t="shared" si="8"/>
        <v>1041907</v>
      </c>
      <c r="L65" s="1674">
        <f t="shared" si="8"/>
        <v>1037831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199604</v>
      </c>
      <c r="D67" s="1573">
        <v>15863</v>
      </c>
      <c r="E67" s="1573">
        <v>136869</v>
      </c>
      <c r="F67" s="1573">
        <v>53351</v>
      </c>
      <c r="G67" s="1573">
        <v>335406</v>
      </c>
      <c r="H67" s="1573"/>
      <c r="I67" s="1574"/>
      <c r="J67" s="1574"/>
      <c r="K67" s="1678">
        <f>SUM(C67:J67)</f>
        <v>741093</v>
      </c>
      <c r="L67" s="1586">
        <v>862576</v>
      </c>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v>3056</v>
      </c>
      <c r="D70" s="1573"/>
      <c r="E70" s="1573"/>
      <c r="F70" s="1573"/>
      <c r="G70" s="1573"/>
      <c r="H70" s="1573"/>
      <c r="I70" s="1574"/>
      <c r="J70" s="1574"/>
      <c r="K70" s="1678">
        <f>SUM(C70:J70)</f>
        <v>3056</v>
      </c>
      <c r="L70" s="1573">
        <v>5075</v>
      </c>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202660</v>
      </c>
      <c r="D72" s="1674">
        <f t="shared" ref="D72:K72" si="9">SUM(D67:D71)</f>
        <v>15863</v>
      </c>
      <c r="E72" s="1674">
        <f t="shared" si="9"/>
        <v>136869</v>
      </c>
      <c r="F72" s="1674">
        <f t="shared" si="9"/>
        <v>53351</v>
      </c>
      <c r="G72" s="1674">
        <f t="shared" si="9"/>
        <v>335406</v>
      </c>
      <c r="H72" s="1674">
        <f t="shared" si="9"/>
        <v>0</v>
      </c>
      <c r="I72" s="1674">
        <f t="shared" si="9"/>
        <v>0</v>
      </c>
      <c r="J72" s="1674">
        <f t="shared" si="9"/>
        <v>0</v>
      </c>
      <c r="K72" s="1674">
        <f t="shared" si="9"/>
        <v>744149</v>
      </c>
      <c r="L72" s="1674">
        <f>SUM(L67:L71)</f>
        <v>867651</v>
      </c>
      <c r="M72" s="501"/>
      <c r="N72" s="501"/>
    </row>
    <row r="73" spans="1:14" s="321" customFormat="1" ht="14.25" thickTop="1" thickBot="1" x14ac:dyDescent="0.25">
      <c r="A73" s="1280" t="s">
        <v>973</v>
      </c>
      <c r="B73" s="515" t="s">
        <v>570</v>
      </c>
      <c r="C73" s="1649"/>
      <c r="D73" s="1649"/>
      <c r="E73" s="1649">
        <v>1341</v>
      </c>
      <c r="F73" s="1649"/>
      <c r="G73" s="1649"/>
      <c r="H73" s="1649"/>
      <c r="I73" s="1627"/>
      <c r="J73" s="1627"/>
      <c r="K73" s="1674">
        <f>SUM(C73:J73)</f>
        <v>1341</v>
      </c>
      <c r="L73" s="1651">
        <v>1800</v>
      </c>
      <c r="M73" s="501"/>
      <c r="N73" s="501"/>
    </row>
    <row r="74" spans="1:14" ht="12.75" customHeight="1" thickTop="1" thickBot="1" x14ac:dyDescent="0.25">
      <c r="A74" s="1380" t="s">
        <v>806</v>
      </c>
      <c r="B74" s="1384">
        <v>2000</v>
      </c>
      <c r="C74" s="1681">
        <f>SUM(C42,C47,C53,C57,C65,C72,C73)</f>
        <v>3254211</v>
      </c>
      <c r="D74" s="1681">
        <f t="shared" ref="D74:K74" si="10">SUM(D42,D47,D53,D57,D65,D72,D73)</f>
        <v>940969</v>
      </c>
      <c r="E74" s="1681">
        <f t="shared" si="10"/>
        <v>1220041</v>
      </c>
      <c r="F74" s="1681">
        <f t="shared" si="10"/>
        <v>198953</v>
      </c>
      <c r="G74" s="1681">
        <f t="shared" si="10"/>
        <v>335406</v>
      </c>
      <c r="H74" s="1681">
        <f t="shared" si="10"/>
        <v>233399</v>
      </c>
      <c r="I74" s="1681">
        <f t="shared" si="10"/>
        <v>5937</v>
      </c>
      <c r="J74" s="1681">
        <f t="shared" si="10"/>
        <v>0</v>
      </c>
      <c r="K74" s="1681">
        <f t="shared" si="10"/>
        <v>6188916</v>
      </c>
      <c r="L74" s="1681">
        <f>SUM(L42,L47,L53,L57,L65,L72,L73)</f>
        <v>6232807</v>
      </c>
    </row>
    <row r="75" spans="1:14" s="254" customFormat="1" ht="15.75" customHeight="1" thickTop="1" thickBot="1" x14ac:dyDescent="0.25">
      <c r="A75" s="1348" t="s">
        <v>47</v>
      </c>
      <c r="B75" s="1349" t="s">
        <v>571</v>
      </c>
      <c r="C75" s="1649">
        <v>12836</v>
      </c>
      <c r="D75" s="1649">
        <v>1948</v>
      </c>
      <c r="E75" s="1649">
        <v>13975</v>
      </c>
      <c r="F75" s="1649">
        <v>37841</v>
      </c>
      <c r="G75" s="1649"/>
      <c r="H75" s="1649"/>
      <c r="I75" s="1627"/>
      <c r="J75" s="1627"/>
      <c r="K75" s="1674">
        <f>SUM(C75:J75)</f>
        <v>66600</v>
      </c>
      <c r="L75" s="1651">
        <v>37100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0</v>
      </c>
      <c r="I102" s="1582"/>
      <c r="J102" s="1582"/>
      <c r="K102" s="1681">
        <f>SUM(K84,K92,K100,K101)</f>
        <v>0</v>
      </c>
      <c r="L102" s="1681">
        <f>SUM(L84,L92,L100,L101)</f>
        <v>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12646168</v>
      </c>
      <c r="D114" s="1674">
        <f t="shared" ref="D114:K114" si="13">SUM(D33,D74,D75,D102,D112,D113)</f>
        <v>3594288</v>
      </c>
      <c r="E114" s="1674">
        <f t="shared" si="13"/>
        <v>1437815</v>
      </c>
      <c r="F114" s="1674">
        <f t="shared" si="13"/>
        <v>800275</v>
      </c>
      <c r="G114" s="1674">
        <f t="shared" si="13"/>
        <v>335406</v>
      </c>
      <c r="H114" s="1674">
        <f>SUM(H33,H74,H75,H102,H112,H113)</f>
        <v>904090</v>
      </c>
      <c r="I114" s="1674">
        <f t="shared" si="13"/>
        <v>8582</v>
      </c>
      <c r="J114" s="1674">
        <f t="shared" si="13"/>
        <v>0</v>
      </c>
      <c r="K114" s="1674">
        <f t="shared" si="13"/>
        <v>19726624</v>
      </c>
      <c r="L114" s="1674">
        <f>SUM(L33,L74,L75,L102,L112,L113)</f>
        <v>19279050</v>
      </c>
    </row>
    <row r="115" spans="1:14" ht="13.5" thickTop="1" x14ac:dyDescent="0.2">
      <c r="A115" s="2294" t="s">
        <v>989</v>
      </c>
      <c r="B115" s="2295"/>
      <c r="C115" s="1675"/>
      <c r="D115" s="1675"/>
      <c r="E115" s="1675"/>
      <c r="F115" s="1675"/>
      <c r="G115" s="1675"/>
      <c r="H115" s="1675"/>
      <c r="I115" s="1675"/>
      <c r="J115" s="1675"/>
      <c r="K115" s="1689">
        <f>'Revenues 9-14'!C268-'Expenditures 15-22'!K114</f>
        <v>421173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2" t="s">
        <v>293</v>
      </c>
      <c r="B117" s="2273"/>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686768</v>
      </c>
      <c r="D124" s="1573">
        <v>146149</v>
      </c>
      <c r="E124" s="1573">
        <v>641270</v>
      </c>
      <c r="F124" s="1573">
        <v>544922</v>
      </c>
      <c r="G124" s="1573">
        <v>1138187</v>
      </c>
      <c r="H124" s="1573"/>
      <c r="I124" s="1574"/>
      <c r="J124" s="1574"/>
      <c r="K124" s="1674">
        <f>SUM(C124:J124)</f>
        <v>3157296</v>
      </c>
      <c r="L124" s="1573">
        <v>2849860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686768</v>
      </c>
      <c r="D127" s="1674">
        <f t="shared" ref="D127:L127" si="14">SUM(D122:D126)</f>
        <v>146149</v>
      </c>
      <c r="E127" s="1674">
        <f t="shared" si="14"/>
        <v>641270</v>
      </c>
      <c r="F127" s="1674">
        <f t="shared" si="14"/>
        <v>544922</v>
      </c>
      <c r="G127" s="1674">
        <f t="shared" si="14"/>
        <v>1138187</v>
      </c>
      <c r="H127" s="1674">
        <f t="shared" si="14"/>
        <v>0</v>
      </c>
      <c r="I127" s="1674">
        <f t="shared" si="14"/>
        <v>0</v>
      </c>
      <c r="J127" s="1674">
        <f t="shared" si="14"/>
        <v>0</v>
      </c>
      <c r="K127" s="1674">
        <f t="shared" si="14"/>
        <v>3157296</v>
      </c>
      <c r="L127" s="1674">
        <f t="shared" si="14"/>
        <v>2849860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686768</v>
      </c>
      <c r="D129" s="1681">
        <f t="shared" ref="D129:L129" si="15">SUM(D120,D127,D128)</f>
        <v>146149</v>
      </c>
      <c r="E129" s="1681">
        <f t="shared" si="15"/>
        <v>641270</v>
      </c>
      <c r="F129" s="1681">
        <f t="shared" si="15"/>
        <v>544922</v>
      </c>
      <c r="G129" s="1681">
        <f t="shared" si="15"/>
        <v>1138187</v>
      </c>
      <c r="H129" s="1681">
        <f t="shared" si="15"/>
        <v>0</v>
      </c>
      <c r="I129" s="1681">
        <f t="shared" si="15"/>
        <v>0</v>
      </c>
      <c r="J129" s="1681">
        <f t="shared" si="15"/>
        <v>0</v>
      </c>
      <c r="K129" s="1681">
        <f t="shared" si="15"/>
        <v>3157296</v>
      </c>
      <c r="L129" s="1681">
        <f t="shared" si="15"/>
        <v>2849860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4" t="s">
        <v>616</v>
      </c>
      <c r="B151" s="2266"/>
      <c r="C151" s="1674">
        <f>SUM(C129,C130,C139,C149,C150)</f>
        <v>686768</v>
      </c>
      <c r="D151" s="1674">
        <f t="shared" ref="D151:K151" si="16">SUM(D129,D130,D139,D149,D150)</f>
        <v>146149</v>
      </c>
      <c r="E151" s="1674">
        <f t="shared" si="16"/>
        <v>641270</v>
      </c>
      <c r="F151" s="1674">
        <f t="shared" si="16"/>
        <v>544922</v>
      </c>
      <c r="G151" s="1674">
        <f t="shared" si="16"/>
        <v>1138187</v>
      </c>
      <c r="H151" s="1674">
        <f t="shared" si="16"/>
        <v>0</v>
      </c>
      <c r="I151" s="1674">
        <f t="shared" si="16"/>
        <v>0</v>
      </c>
      <c r="J151" s="1674">
        <f t="shared" si="16"/>
        <v>0</v>
      </c>
      <c r="K151" s="1674">
        <f t="shared" si="16"/>
        <v>3157296</v>
      </c>
      <c r="L151" s="1674">
        <f>SUM(L129,L130,L139,L149,L150)</f>
        <v>2849860</v>
      </c>
    </row>
    <row r="152" spans="1:14" ht="12.75" customHeight="1" thickTop="1" x14ac:dyDescent="0.2">
      <c r="A152" s="2287" t="s">
        <v>1168</v>
      </c>
      <c r="B152" s="2288"/>
      <c r="C152" s="1675"/>
      <c r="D152" s="1675"/>
      <c r="E152" s="1675"/>
      <c r="F152" s="1675"/>
      <c r="G152" s="1675"/>
      <c r="H152" s="1675"/>
      <c r="I152" s="1675"/>
      <c r="J152" s="1673"/>
      <c r="K152" s="1689">
        <f>'Revenues 9-14'!D268-'Expenditures 15-22'!K151</f>
        <v>-524836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2" t="s">
        <v>617</v>
      </c>
      <c r="B154" s="2274"/>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284451</v>
      </c>
      <c r="I169" s="1673"/>
      <c r="J169" s="1673"/>
      <c r="K169" s="1672">
        <f>SUM(C169:H169)</f>
        <v>284451</v>
      </c>
      <c r="L169" s="1695"/>
    </row>
    <row r="170" spans="1:14" ht="33.75" customHeight="1" x14ac:dyDescent="0.2">
      <c r="A170" s="543" t="s">
        <v>1651</v>
      </c>
      <c r="B170" s="545" t="s">
        <v>31</v>
      </c>
      <c r="C170" s="1673"/>
      <c r="D170" s="1673"/>
      <c r="E170" s="1673"/>
      <c r="F170" s="1673"/>
      <c r="G170" s="1673"/>
      <c r="H170" s="1646">
        <v>1100000</v>
      </c>
      <c r="I170" s="1673"/>
      <c r="J170" s="1673"/>
      <c r="K170" s="1672">
        <f>SUM(C170:J170)</f>
        <v>1100000</v>
      </c>
      <c r="L170" s="1646"/>
    </row>
    <row r="171" spans="1:14" ht="15.75" customHeight="1" x14ac:dyDescent="0.2">
      <c r="A171" s="507" t="s">
        <v>761</v>
      </c>
      <c r="B171" s="546" t="s">
        <v>84</v>
      </c>
      <c r="C171" s="1673"/>
      <c r="D171" s="1673"/>
      <c r="E171" s="1573">
        <v>1275</v>
      </c>
      <c r="F171" s="1673"/>
      <c r="G171" s="1673"/>
      <c r="H171" s="1646"/>
      <c r="I171" s="1582"/>
      <c r="J171" s="1673"/>
      <c r="K171" s="1672">
        <f>SUM(C171:J171)</f>
        <v>1275</v>
      </c>
      <c r="L171" s="1646"/>
    </row>
    <row r="172" spans="1:14" ht="12.75" customHeight="1" thickBot="1" x14ac:dyDescent="0.25">
      <c r="A172" s="1380" t="s">
        <v>633</v>
      </c>
      <c r="B172" s="1381" t="s">
        <v>489</v>
      </c>
      <c r="C172" s="1673"/>
      <c r="D172" s="1673"/>
      <c r="E172" s="1681">
        <f>SUM(E168,E169,E170,E171)</f>
        <v>1275</v>
      </c>
      <c r="F172" s="1673"/>
      <c r="G172" s="1673"/>
      <c r="H172" s="1681">
        <f>SUM(H168,H169,H170,H171)</f>
        <v>1384451</v>
      </c>
      <c r="I172" s="1684"/>
      <c r="J172" s="1673"/>
      <c r="K172" s="1681">
        <f>SUM(K168,K169,K170,K171)</f>
        <v>1385726</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1275</v>
      </c>
      <c r="F174" s="1673"/>
      <c r="G174" s="1673"/>
      <c r="H174" s="1681">
        <f>SUM(H160,H172,H173)</f>
        <v>1384451</v>
      </c>
      <c r="I174" s="1684"/>
      <c r="J174" s="1673"/>
      <c r="K174" s="1681">
        <f>SUM(K160,K172,K173)</f>
        <v>1385726</v>
      </c>
      <c r="L174" s="1681">
        <f>SUM(L160,L172,L173)</f>
        <v>0</v>
      </c>
    </row>
    <row r="175" spans="1:14" ht="13.5" thickTop="1" x14ac:dyDescent="0.2">
      <c r="A175" s="2294" t="s">
        <v>989</v>
      </c>
      <c r="B175" s="2295"/>
      <c r="C175" s="1673"/>
      <c r="D175" s="1673"/>
      <c r="E175" s="1673"/>
      <c r="F175" s="1673"/>
      <c r="G175" s="1673"/>
      <c r="H175" s="1675"/>
      <c r="I175" s="1673"/>
      <c r="J175" s="1673"/>
      <c r="K175" s="1689">
        <f>'Revenues 9-14'!E268-'Expenditures 15-22'!K174</f>
        <v>-100852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696542</v>
      </c>
      <c r="D182" s="1573">
        <v>34686</v>
      </c>
      <c r="E182" s="1573">
        <v>75797</v>
      </c>
      <c r="F182" s="1573">
        <v>218794</v>
      </c>
      <c r="G182" s="1573"/>
      <c r="H182" s="1573">
        <v>369287</v>
      </c>
      <c r="I182" s="1574">
        <v>2883</v>
      </c>
      <c r="J182" s="1574"/>
      <c r="K182" s="1672">
        <f>SUM(C182:J182)</f>
        <v>1397989</v>
      </c>
      <c r="L182" s="1573">
        <v>1276509</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696542</v>
      </c>
      <c r="D184" s="1681">
        <f t="shared" ref="D184:J184" si="17">SUM(D180,D182,D183)</f>
        <v>34686</v>
      </c>
      <c r="E184" s="1681">
        <f t="shared" si="17"/>
        <v>75797</v>
      </c>
      <c r="F184" s="1681">
        <f t="shared" si="17"/>
        <v>218794</v>
      </c>
      <c r="G184" s="1681">
        <f t="shared" si="17"/>
        <v>0</v>
      </c>
      <c r="H184" s="1681">
        <f t="shared" si="17"/>
        <v>369287</v>
      </c>
      <c r="I184" s="1681">
        <f t="shared" si="17"/>
        <v>2883</v>
      </c>
      <c r="J184" s="1681">
        <f t="shared" si="17"/>
        <v>0</v>
      </c>
      <c r="K184" s="1681">
        <f>SUM(K180,K182,K183)</f>
        <v>1397989</v>
      </c>
      <c r="L184" s="1681">
        <f>SUM(L180, L182:L183)</f>
        <v>1276509</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696542</v>
      </c>
      <c r="D210" s="1674">
        <f>SUM(D184,D185)</f>
        <v>34686</v>
      </c>
      <c r="E210" s="1674">
        <f>SUM(E184,E185,E196)</f>
        <v>75797</v>
      </c>
      <c r="F210" s="1674">
        <f>SUM(F184,F185)</f>
        <v>218794</v>
      </c>
      <c r="G210" s="1674">
        <f>SUM(G184,G185)</f>
        <v>0</v>
      </c>
      <c r="H210" s="1674">
        <f>SUM(H184,H185,H196,H208,H209)</f>
        <v>369287</v>
      </c>
      <c r="I210" s="1674">
        <f>SUM(I184,I185)</f>
        <v>2883</v>
      </c>
      <c r="J210" s="1674">
        <f>SUM(J184,J185)</f>
        <v>0</v>
      </c>
      <c r="K210" s="1672">
        <f>SUM(K184,K185,K196,K208,K209)</f>
        <v>1397989</v>
      </c>
      <c r="L210" s="1674">
        <f>SUM(L184,L185,L196,L208,L209)</f>
        <v>1276509</v>
      </c>
    </row>
    <row r="211" spans="1:14" ht="13.5" thickTop="1" x14ac:dyDescent="0.2">
      <c r="A211" s="2294" t="s">
        <v>989</v>
      </c>
      <c r="B211" s="2295"/>
      <c r="C211" s="1675"/>
      <c r="D211" s="1675"/>
      <c r="E211" s="1675"/>
      <c r="F211" s="1675"/>
      <c r="G211" s="1675"/>
      <c r="H211" s="1675"/>
      <c r="I211" s="1673"/>
      <c r="J211" s="1673"/>
      <c r="K211" s="1689">
        <f>'Revenues 9-14'!F268-'Expenditures 15-22'!K210</f>
        <v>105571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9" t="s">
        <v>959</v>
      </c>
      <c r="B213" s="2290"/>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142642</v>
      </c>
      <c r="E215" s="1673"/>
      <c r="F215" s="1673"/>
      <c r="G215" s="1673"/>
      <c r="H215" s="1673"/>
      <c r="I215" s="1673"/>
      <c r="J215" s="1673"/>
      <c r="K215" s="1672">
        <f>D215</f>
        <v>142642</v>
      </c>
      <c r="L215" s="1573">
        <v>151185</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155862</v>
      </c>
      <c r="E217" s="1673"/>
      <c r="F217" s="1673"/>
      <c r="G217" s="1673"/>
      <c r="H217" s="1673"/>
      <c r="I217" s="1673"/>
      <c r="J217" s="1673"/>
      <c r="K217" s="1672">
        <f t="shared" si="19"/>
        <v>155862</v>
      </c>
      <c r="L217" s="1573">
        <v>148107</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2105</v>
      </c>
      <c r="E223" s="1673"/>
      <c r="F223" s="1673"/>
      <c r="G223" s="1673"/>
      <c r="H223" s="1673"/>
      <c r="I223" s="1673"/>
      <c r="J223" s="1673"/>
      <c r="K223" s="1672">
        <f t="shared" si="19"/>
        <v>2105</v>
      </c>
      <c r="L223" s="1573">
        <v>423</v>
      </c>
    </row>
    <row r="224" spans="1:14" x14ac:dyDescent="0.2">
      <c r="A224" s="1274" t="s">
        <v>958</v>
      </c>
      <c r="B224" s="503">
        <v>1600</v>
      </c>
      <c r="C224" s="1673"/>
      <c r="D224" s="1573">
        <v>2759</v>
      </c>
      <c r="E224" s="1673"/>
      <c r="F224" s="1673"/>
      <c r="G224" s="1673"/>
      <c r="H224" s="1673"/>
      <c r="I224" s="1673"/>
      <c r="J224" s="1673"/>
      <c r="K224" s="1672">
        <f t="shared" si="19"/>
        <v>2759</v>
      </c>
      <c r="L224" s="1573">
        <v>371</v>
      </c>
    </row>
    <row r="225" spans="1:12" x14ac:dyDescent="0.2">
      <c r="A225" s="1274" t="s">
        <v>980</v>
      </c>
      <c r="B225" s="503">
        <v>1650</v>
      </c>
      <c r="C225" s="1673"/>
      <c r="D225" s="1573">
        <v>733</v>
      </c>
      <c r="E225" s="1673"/>
      <c r="F225" s="1673"/>
      <c r="G225" s="1673"/>
      <c r="H225" s="1673"/>
      <c r="I225" s="1673"/>
      <c r="J225" s="1673"/>
      <c r="K225" s="1672">
        <f t="shared" si="19"/>
        <v>733</v>
      </c>
      <c r="L225" s="1573">
        <v>771</v>
      </c>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304101</v>
      </c>
      <c r="E229" s="1673"/>
      <c r="F229" s="1673"/>
      <c r="G229" s="1673"/>
      <c r="H229" s="1673"/>
      <c r="I229" s="1673"/>
      <c r="J229" s="1673"/>
      <c r="K229" s="1674">
        <f>SUM(K215:K228)</f>
        <v>304101</v>
      </c>
      <c r="L229" s="1674">
        <f>SUM(L215:L228)</f>
        <v>300857</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4096</v>
      </c>
      <c r="E232" s="1673"/>
      <c r="F232" s="1673"/>
      <c r="G232" s="1673"/>
      <c r="H232" s="1673"/>
      <c r="I232" s="1673"/>
      <c r="J232" s="1673"/>
      <c r="K232" s="1672">
        <f t="shared" ref="K232:K237" si="20">D232</f>
        <v>4096</v>
      </c>
      <c r="L232" s="1573">
        <v>4123</v>
      </c>
    </row>
    <row r="233" spans="1:12" x14ac:dyDescent="0.2">
      <c r="A233" s="1274" t="s">
        <v>1081</v>
      </c>
      <c r="B233" s="503">
        <v>2120</v>
      </c>
      <c r="C233" s="1673"/>
      <c r="D233" s="1573">
        <v>11357</v>
      </c>
      <c r="E233" s="1673"/>
      <c r="F233" s="1673"/>
      <c r="G233" s="1673"/>
      <c r="H233" s="1673"/>
      <c r="I233" s="1673"/>
      <c r="J233" s="1673"/>
      <c r="K233" s="1672">
        <f t="shared" si="20"/>
        <v>11357</v>
      </c>
      <c r="L233" s="1573"/>
    </row>
    <row r="234" spans="1:12" x14ac:dyDescent="0.2">
      <c r="A234" s="1274" t="s">
        <v>196</v>
      </c>
      <c r="B234" s="503">
        <v>2130</v>
      </c>
      <c r="C234" s="1673"/>
      <c r="D234" s="1573">
        <v>65969</v>
      </c>
      <c r="E234" s="1673"/>
      <c r="F234" s="1673"/>
      <c r="G234" s="1673"/>
      <c r="H234" s="1673"/>
      <c r="I234" s="1673"/>
      <c r="J234" s="1673"/>
      <c r="K234" s="1672">
        <f t="shared" si="20"/>
        <v>65969</v>
      </c>
      <c r="L234" s="1573">
        <v>62522</v>
      </c>
    </row>
    <row r="235" spans="1:12" x14ac:dyDescent="0.2">
      <c r="A235" s="1274" t="s">
        <v>197</v>
      </c>
      <c r="B235" s="503">
        <v>2140</v>
      </c>
      <c r="C235" s="1673"/>
      <c r="D235" s="1573">
        <v>1949</v>
      </c>
      <c r="E235" s="1673"/>
      <c r="F235" s="1673"/>
      <c r="G235" s="1673"/>
      <c r="H235" s="1673"/>
      <c r="I235" s="1673"/>
      <c r="J235" s="1673"/>
      <c r="K235" s="1672">
        <f t="shared" si="20"/>
        <v>1949</v>
      </c>
      <c r="L235" s="1573">
        <v>2011</v>
      </c>
    </row>
    <row r="236" spans="1:12" x14ac:dyDescent="0.2">
      <c r="A236" s="1274" t="s">
        <v>198</v>
      </c>
      <c r="B236" s="503">
        <v>2150</v>
      </c>
      <c r="C236" s="1673"/>
      <c r="D236" s="1573">
        <v>4732</v>
      </c>
      <c r="E236" s="1673"/>
      <c r="F236" s="1673"/>
      <c r="G236" s="1673"/>
      <c r="H236" s="1673"/>
      <c r="I236" s="1673"/>
      <c r="J236" s="1673"/>
      <c r="K236" s="1672">
        <f t="shared" si="20"/>
        <v>4732</v>
      </c>
      <c r="L236" s="1573">
        <v>4916</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88103</v>
      </c>
      <c r="E238" s="1673"/>
      <c r="F238" s="1673"/>
      <c r="G238" s="1673"/>
      <c r="H238" s="1673"/>
      <c r="I238" s="1673"/>
      <c r="J238" s="1673"/>
      <c r="K238" s="1674">
        <f>SUM(K232:K237)</f>
        <v>88103</v>
      </c>
      <c r="L238" s="1674">
        <f>SUM(L232:L237)</f>
        <v>73572</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11512</v>
      </c>
    </row>
    <row r="241" spans="1:12" x14ac:dyDescent="0.2">
      <c r="A241" s="1274" t="s">
        <v>810</v>
      </c>
      <c r="B241" s="503">
        <v>2220</v>
      </c>
      <c r="C241" s="1673"/>
      <c r="D241" s="1573">
        <v>11029</v>
      </c>
      <c r="E241" s="1673"/>
      <c r="F241" s="1673"/>
      <c r="G241" s="1673"/>
      <c r="H241" s="1673"/>
      <c r="I241" s="1673"/>
      <c r="J241" s="1673"/>
      <c r="K241" s="1678">
        <f>D241</f>
        <v>11029</v>
      </c>
      <c r="L241" s="1573">
        <v>10755</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11029</v>
      </c>
      <c r="E243" s="1673"/>
      <c r="F243" s="1673"/>
      <c r="G243" s="1673"/>
      <c r="H243" s="1673"/>
      <c r="I243" s="1673"/>
      <c r="J243" s="1673"/>
      <c r="K243" s="1674">
        <f>SUM(K240:K242)</f>
        <v>11029</v>
      </c>
      <c r="L243" s="1674">
        <f>SUM(L240:L242)</f>
        <v>22267</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16533</v>
      </c>
      <c r="E246" s="1673"/>
      <c r="F246" s="1673"/>
      <c r="G246" s="1673"/>
      <c r="H246" s="1673"/>
      <c r="I246" s="1673"/>
      <c r="J246" s="1673"/>
      <c r="K246" s="1678">
        <f t="shared" ref="K246:K256" si="21">D246</f>
        <v>16533</v>
      </c>
      <c r="L246" s="1573">
        <v>10072</v>
      </c>
    </row>
    <row r="247" spans="1:12" x14ac:dyDescent="0.2">
      <c r="A247" s="1274" t="s">
        <v>814</v>
      </c>
      <c r="B247" s="503">
        <v>2330</v>
      </c>
      <c r="C247" s="1673"/>
      <c r="D247" s="1573">
        <v>6640</v>
      </c>
      <c r="E247" s="1673"/>
      <c r="F247" s="1673"/>
      <c r="G247" s="1673"/>
      <c r="H247" s="1673"/>
      <c r="I247" s="1673"/>
      <c r="J247" s="1673"/>
      <c r="K247" s="1678">
        <f t="shared" si="21"/>
        <v>6640</v>
      </c>
      <c r="L247" s="1573">
        <v>6546</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23173</v>
      </c>
      <c r="E257" s="1673"/>
      <c r="F257" s="1673"/>
      <c r="G257" s="1673"/>
      <c r="H257" s="1673"/>
      <c r="I257" s="1673"/>
      <c r="J257" s="1673"/>
      <c r="K257" s="1674">
        <f>SUM(K245:K256)</f>
        <v>23173</v>
      </c>
      <c r="L257" s="1674">
        <f>SUM(L245:L256)</f>
        <v>16618</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59327</v>
      </c>
      <c r="E259" s="1673"/>
      <c r="F259" s="1673"/>
      <c r="G259" s="1673"/>
      <c r="H259" s="1673"/>
      <c r="I259" s="1673"/>
      <c r="J259" s="1673"/>
      <c r="K259" s="1678">
        <f>D259</f>
        <v>59327</v>
      </c>
      <c r="L259" s="1586">
        <v>54283</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59327</v>
      </c>
      <c r="E261" s="1673"/>
      <c r="F261" s="1673"/>
      <c r="G261" s="1673"/>
      <c r="H261" s="1673"/>
      <c r="I261" s="1673"/>
      <c r="J261" s="1673"/>
      <c r="K261" s="1674">
        <f>SUM(K259:K260)</f>
        <v>59327</v>
      </c>
      <c r="L261" s="1674">
        <f>SUM(L259:L260)</f>
        <v>54283</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16336</v>
      </c>
      <c r="E264" s="1673"/>
      <c r="F264" s="1673"/>
      <c r="G264" s="1673"/>
      <c r="H264" s="1673"/>
      <c r="I264" s="1673"/>
      <c r="J264" s="1673"/>
      <c r="K264" s="1678">
        <f t="shared" ref="K264:K269" si="22">D264</f>
        <v>16336</v>
      </c>
      <c r="L264" s="1573">
        <v>14044</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109076</v>
      </c>
      <c r="E266" s="1673"/>
      <c r="F266" s="1673"/>
      <c r="G266" s="1673"/>
      <c r="H266" s="1673"/>
      <c r="I266" s="1673"/>
      <c r="J266" s="1673"/>
      <c r="K266" s="1678">
        <f t="shared" si="22"/>
        <v>109076</v>
      </c>
      <c r="L266" s="1573">
        <v>99817</v>
      </c>
    </row>
    <row r="267" spans="1:14" x14ac:dyDescent="0.2">
      <c r="A267" s="1274" t="s">
        <v>947</v>
      </c>
      <c r="B267" s="503">
        <v>2550</v>
      </c>
      <c r="C267" s="1673"/>
      <c r="D267" s="1573">
        <v>109262</v>
      </c>
      <c r="E267" s="1673"/>
      <c r="F267" s="1673"/>
      <c r="G267" s="1673"/>
      <c r="H267" s="1673"/>
      <c r="I267" s="1673"/>
      <c r="J267" s="1673"/>
      <c r="K267" s="1678">
        <f t="shared" si="22"/>
        <v>109262</v>
      </c>
      <c r="L267" s="1573">
        <v>89617</v>
      </c>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234674</v>
      </c>
      <c r="E270" s="1673"/>
      <c r="F270" s="1673"/>
      <c r="G270" s="1673"/>
      <c r="H270" s="1673"/>
      <c r="I270" s="1673"/>
      <c r="J270" s="1673"/>
      <c r="K270" s="1674">
        <f>SUM(K263:K269)</f>
        <v>234674</v>
      </c>
      <c r="L270" s="1674">
        <f>SUM(L263:L269)</f>
        <v>203478</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v>31771</v>
      </c>
      <c r="E274" s="1673"/>
      <c r="F274" s="1673"/>
      <c r="G274" s="1673"/>
      <c r="H274" s="1673"/>
      <c r="I274" s="1673"/>
      <c r="J274" s="1673"/>
      <c r="K274" s="1678">
        <f>D274</f>
        <v>31771</v>
      </c>
      <c r="L274" s="1573">
        <v>30424</v>
      </c>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31771</v>
      </c>
      <c r="E277" s="1673"/>
      <c r="F277" s="1673"/>
      <c r="G277" s="1673"/>
      <c r="H277" s="1673"/>
      <c r="I277" s="1673"/>
      <c r="J277" s="1673"/>
      <c r="K277" s="1674">
        <f>SUM(K272:K276)</f>
        <v>31771</v>
      </c>
      <c r="L277" s="1674">
        <f>SUM(L272:L276)</f>
        <v>30424</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448077</v>
      </c>
      <c r="E279" s="1673"/>
      <c r="F279" s="1673"/>
      <c r="G279" s="1673"/>
      <c r="H279" s="1673"/>
      <c r="I279" s="1673"/>
      <c r="J279" s="1673"/>
      <c r="K279" s="1681">
        <f>SUM(K238,K243,K257,K261,K270,K277,K278)</f>
        <v>448077</v>
      </c>
      <c r="L279" s="1681">
        <f>SUM(L238,L243,L257,L261,L270,L277,L278)</f>
        <v>400642</v>
      </c>
    </row>
    <row r="280" spans="1:12" ht="15.75" customHeight="1" thickTop="1" thickBot="1" x14ac:dyDescent="0.25">
      <c r="A280" s="1362" t="s">
        <v>870</v>
      </c>
      <c r="B280" s="1351">
        <v>3000</v>
      </c>
      <c r="C280" s="1673"/>
      <c r="D280" s="1651">
        <v>1398</v>
      </c>
      <c r="E280" s="1673"/>
      <c r="F280" s="1673"/>
      <c r="G280" s="1673"/>
      <c r="H280" s="1673"/>
      <c r="I280" s="1673"/>
      <c r="J280" s="1673"/>
      <c r="K280" s="1687">
        <f>D280</f>
        <v>1398</v>
      </c>
      <c r="L280" s="1651">
        <v>137</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5" t="s">
        <v>502</v>
      </c>
      <c r="B295" s="2286"/>
      <c r="C295" s="1673"/>
      <c r="D295" s="1674">
        <f>SUM(D229,D279,D280,D285)</f>
        <v>753576</v>
      </c>
      <c r="E295" s="1673"/>
      <c r="F295" s="1673"/>
      <c r="G295" s="1673"/>
      <c r="H295" s="1674">
        <f>H293</f>
        <v>0</v>
      </c>
      <c r="I295" s="1673"/>
      <c r="J295" s="1673"/>
      <c r="K295" s="1674">
        <f>SUM(K229,K279,K280,K285,K293,K294)</f>
        <v>753576</v>
      </c>
      <c r="L295" s="1674">
        <f>SUM(L229,L279,L280,L285,L293,L294)</f>
        <v>701636</v>
      </c>
    </row>
    <row r="296" spans="1:14" ht="13.5" thickTop="1" x14ac:dyDescent="0.2">
      <c r="A296" s="2294" t="s">
        <v>989</v>
      </c>
      <c r="B296" s="2295"/>
      <c r="C296" s="1673"/>
      <c r="D296" s="1675"/>
      <c r="E296" s="1673"/>
      <c r="F296" s="1673"/>
      <c r="G296" s="1673"/>
      <c r="H296" s="1707"/>
      <c r="I296" s="1673"/>
      <c r="J296" s="1673"/>
      <c r="K296" s="1689">
        <f>'Revenues 9-14'!G268-'Expenditures 15-22'!K295</f>
        <v>28650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7" t="s">
        <v>142</v>
      </c>
      <c r="B298" s="2271"/>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6388882</v>
      </c>
      <c r="H301" s="1573"/>
      <c r="I301" s="1574"/>
      <c r="J301" s="1574"/>
      <c r="K301" s="1672">
        <f>SUM(C301:J301)</f>
        <v>6388882</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6388882</v>
      </c>
      <c r="H303" s="1681">
        <f t="shared" si="23"/>
        <v>0</v>
      </c>
      <c r="I303" s="1681">
        <f t="shared" si="23"/>
        <v>0</v>
      </c>
      <c r="J303" s="1681">
        <f t="shared" si="23"/>
        <v>0</v>
      </c>
      <c r="K303" s="1681">
        <f t="shared" si="23"/>
        <v>6388882</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2" t="s">
        <v>275</v>
      </c>
      <c r="B312" s="2283"/>
      <c r="C312" s="1674">
        <f>SUM(C303)</f>
        <v>0</v>
      </c>
      <c r="D312" s="1674">
        <f>SUM(D303)</f>
        <v>0</v>
      </c>
      <c r="E312" s="1674">
        <f>SUM(E303,E310)</f>
        <v>0</v>
      </c>
      <c r="F312" s="1674">
        <f>SUM(F303)</f>
        <v>0</v>
      </c>
      <c r="G312" s="1674">
        <f>SUM(G303)</f>
        <v>6388882</v>
      </c>
      <c r="H312" s="1674">
        <f>SUM(H303,H310)</f>
        <v>0</v>
      </c>
      <c r="I312" s="1674">
        <f>SUM(I303)</f>
        <v>0</v>
      </c>
      <c r="J312" s="1674">
        <f>SUM(J303)</f>
        <v>0</v>
      </c>
      <c r="K312" s="1674">
        <f>SUM(K303,K310,K311)</f>
        <v>6388882</v>
      </c>
      <c r="L312" s="1674">
        <f>SUM(L303,L310,L311)</f>
        <v>0</v>
      </c>
      <c r="M312" s="539"/>
      <c r="N312" s="539"/>
    </row>
    <row r="313" spans="1:14" ht="13.5" thickTop="1" x14ac:dyDescent="0.2">
      <c r="A313" s="2278" t="s">
        <v>989</v>
      </c>
      <c r="B313" s="2279"/>
      <c r="C313" s="1677"/>
      <c r="D313" s="1677"/>
      <c r="E313" s="1677"/>
      <c r="F313" s="1677"/>
      <c r="G313" s="1677"/>
      <c r="H313" s="1677"/>
      <c r="I313" s="1677"/>
      <c r="J313" s="1677"/>
      <c r="K313" s="1696">
        <f>'Revenues 9-14'!H268-'Expenditures 15-22'!K312</f>
        <v>-6388882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1" t="s">
        <v>148</v>
      </c>
      <c r="B315" s="2292"/>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3" t="s">
        <v>892</v>
      </c>
      <c r="B317" s="2292"/>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v>104076</v>
      </c>
      <c r="F320" s="1574"/>
      <c r="G320" s="1574"/>
      <c r="H320" s="1574"/>
      <c r="I320" s="1574"/>
      <c r="J320" s="1574"/>
      <c r="K320" s="1672">
        <f t="shared" ref="K320:K327" si="24">SUM(C320:J320)</f>
        <v>104076</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104076</v>
      </c>
      <c r="F330" s="1674">
        <f t="shared" si="25"/>
        <v>0</v>
      </c>
      <c r="G330" s="1674">
        <f t="shared" si="25"/>
        <v>0</v>
      </c>
      <c r="H330" s="1674">
        <f t="shared" si="25"/>
        <v>0</v>
      </c>
      <c r="I330" s="1674">
        <f t="shared" si="25"/>
        <v>0</v>
      </c>
      <c r="J330" s="1674">
        <f t="shared" si="25"/>
        <v>0</v>
      </c>
      <c r="K330" s="1674">
        <f>SUM(K319:K329)</f>
        <v>104076</v>
      </c>
      <c r="L330" s="1674">
        <f>SUM(L319:L329)</f>
        <v>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104076</v>
      </c>
      <c r="F342" s="1674">
        <f>SUM(F330)</f>
        <v>0</v>
      </c>
      <c r="G342" s="1674">
        <f>SUM(G330)</f>
        <v>0</v>
      </c>
      <c r="H342" s="1674">
        <f>SUM(H330,H334,H340)</f>
        <v>0</v>
      </c>
      <c r="I342" s="1674">
        <f>SUM(I330)</f>
        <v>0</v>
      </c>
      <c r="J342" s="1674">
        <f>SUM(J330)</f>
        <v>0</v>
      </c>
      <c r="K342" s="1674">
        <f>SUM(K330,K334,K340)</f>
        <v>104076</v>
      </c>
      <c r="L342" s="1681">
        <f>SUM(L330,L334,L340,L341)</f>
        <v>0</v>
      </c>
    </row>
    <row r="343" spans="1:14" ht="12.75" customHeight="1" thickTop="1" x14ac:dyDescent="0.2">
      <c r="A343" s="2280" t="s">
        <v>989</v>
      </c>
      <c r="B343" s="2281"/>
      <c r="C343" s="1673"/>
      <c r="D343" s="1673"/>
      <c r="E343" s="1673"/>
      <c r="F343" s="1673"/>
      <c r="G343" s="1673"/>
      <c r="H343" s="1673"/>
      <c r="I343" s="1673"/>
      <c r="J343" s="1673"/>
      <c r="K343" s="1689">
        <f>'Revenues 9-14'!J268-'Expenditures 15-22'!K342</f>
        <v>2011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0" t="s">
        <v>960</v>
      </c>
      <c r="B345" s="2271"/>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94" t="s">
        <v>989</v>
      </c>
      <c r="B368" s="2295"/>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purl.org/dc/elements/1.1/"/>
    <ds:schemaRef ds:uri="http://www.w3.org/XML/1998/namespace"/>
    <ds:schemaRef ds:uri="4d435f69-8686-490b-bd6d-b153bf22ab50"/>
    <ds:schemaRef ds:uri="http://schemas.microsoft.com/office/2006/documentManagement/types"/>
    <ds:schemaRef ds:uri="http://purl.org/dc/terms/"/>
    <ds:schemaRef ds:uri="http://schemas.microsoft.com/sharepoint/v3"/>
    <ds:schemaRef ds:uri="http://schemas.microsoft.com/office/infopath/2007/PartnerControls"/>
    <ds:schemaRef ds:uri="http://purl.org/dc/dcmitype/"/>
    <ds:schemaRef ds:uri="http://schemas.openxmlformats.org/package/2006/metadata/core-properties"/>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'Acct Summary 7-8'!Print_Area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2020-09-29T20:12:23Z</cp:lastPrinted>
  <dcterms:created xsi:type="dcterms:W3CDTF">2003-10-29T19:06:34Z</dcterms:created>
  <dcterms:modified xsi:type="dcterms:W3CDTF">2020-11-22T17:51:12Z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