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D1020C4-553B-4E99-BC8E-8972E23BC51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85" i="127"/>
  <c r="B8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10" i="29" l="1"/>
  <c r="B7072" i="106" s="1"/>
  <c r="D7072" i="106" s="1"/>
  <c r="B6289" i="106"/>
  <c r="D6289" i="106" s="1"/>
  <c r="F64" i="34"/>
  <c r="H15" i="184"/>
  <c r="H342" i="29"/>
  <c r="D69" i="36"/>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C151" i="29" s="1"/>
  <c r="B1226" i="106" s="1"/>
  <c r="D1226"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H77" i="4" l="1"/>
  <c r="B3299" i="106" s="1"/>
  <c r="D3299" i="106" s="1"/>
  <c r="L16" i="11"/>
  <c r="B2061" i="106" s="1"/>
  <c r="D2061" i="106" s="1"/>
  <c r="K77" i="4"/>
  <c r="B3587" i="106" s="1"/>
  <c r="D3587" i="106" s="1"/>
  <c r="B1328" i="106"/>
  <c r="D1328" i="106" s="1"/>
  <c r="B2031" i="106"/>
  <c r="D2031" i="106" s="1"/>
  <c r="N23" i="3"/>
  <c r="B284" i="106" s="1"/>
  <c r="D284" i="106" s="1"/>
  <c r="B6216" i="106"/>
  <c r="D6216" i="106" s="1"/>
  <c r="B1381" i="106"/>
  <c r="D1381" i="106" s="1"/>
  <c r="D44" i="36"/>
  <c r="B7220" i="106"/>
  <c r="D7220" i="106" s="1"/>
  <c r="F75" i="34"/>
  <c r="B7886" i="106" s="1"/>
  <c r="D7886" i="106" s="1"/>
  <c r="L114" i="29"/>
  <c r="E367" i="29"/>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<sst xmlns="http://schemas.openxmlformats.org/spreadsheetml/2006/main" count="5169" uniqueCount="2103">
  <si>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</si>
  <si>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</si>
  <si>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</si>
  <si>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</si>
  <si>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</si>
  <si>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</si>
  <si>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</si>
  <si>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</si>
  <si>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</si>
  <si>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</si>
  <si>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</si>
  <si>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</si>
  <si>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</si>
  <si>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</si>
  <si>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</si>
  <si>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</si>
  <si>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</si>
  <si>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</si>
  <si>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</si>
  <si>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</si>
  <si>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</si>
  <si>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</si>
  <si>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</si>
  <si>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</si>
  <si>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</si>
  <si>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</si>
  <si>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</si>
  <si>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</si>
  <si>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</si>
  <si>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</si>
  <si>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</si>
  <si>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</si>
  <si>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</si>
  <si>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</si>
  <si>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</si>
  <si>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</si>
  <si>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</si>
  <si>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</si>
  <si>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</si>
  <si>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</si>
  <si>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</si>
  <si>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</si>
  <si>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</si>
  <si>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</si>
  <si>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</si>
  <si>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</si>
  <si>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</si>
  <si>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</si>
  <si>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</si>
  <si>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</si>
  <si>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</si>
  <si>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</si>
  <si>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</si>
  <si>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</si>
  <si>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</si>
  <si>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</si>
  <si>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</si>
  <si>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</si>
  <si>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</si>
  <si>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</si>
  <si>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</si>
  <si>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</si>
  <si>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</si>
  <si>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</si>
  <si>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</si>
  <si>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</si>
  <si>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</si>
  <si>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</si>
  <si>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</si>
  <si>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</si>
  <si>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</si>
  <si>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</si>
  <si>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</si>
  <si>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</si>
  <si>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</si>
  <si>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</si>
  <si>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</si>
  <si>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</si>
  <si>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</si>
  <si>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</si>
  <si>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</si>
  <si>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</si>
  <si>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</si>
  <si>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</si>
  <si>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</si>
  <si>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</si>
  <si>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</si>
  <si>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</si>
  <si>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</si>
  <si>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</si>
  <si>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</si>
  <si>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</si>
  <si>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</si>
  <si>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</si>
  <si>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</si>
  <si>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</si>
  <si>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</si>
  <si>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</si>
  <si>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</si>
  <si>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</si>
  <si>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</si>
  <si>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</si>
  <si>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</si>
  <si>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</si>
  <si>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</si>
  <si>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</si>
  <si>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</si>
  <si>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</si>
  <si>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</si>
  <si>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</si>
  <si>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</si>
  <si>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</si>
  <si>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</si>
  <si>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</si>
  <si>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</si>
  <si>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</si>
  <si>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</si>
  <si>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</si>
  <si>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</si>
  <si>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</si>
  <si>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</si>
  <si>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</si>
  <si>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</si>
  <si>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</si>
  <si>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</si>
  <si>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</si>
  <si>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</si>
  <si>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</si>
  <si>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</si>
  <si>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</si>
  <si>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</si>
  <si>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</si>
  <si>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</si>
  <si>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</si>
  <si>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</si>
  <si>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</si>
  <si>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</si>
  <si>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</si>
  <si>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</si>
  <si>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</si>
  <si>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</si>
  <si>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</si>
  <si>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</si>
  <si>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</si>
  <si>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</si>
  <si>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</si>
  <si>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</si>
  <si>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</si>
  <si>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</si>
  <si>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</si>
  <si>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</si>
  <si>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</si>
  <si>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</si>
  <si>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</si>
  <si>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</si>
  <si>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</si>
  <si>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</si>
  <si>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</si>
  <si>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</si>
  <si>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</si>
  <si>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</si>
  <si>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</si>
  <si>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</si>
  <si>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</si>
  <si>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</si>
  <si>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</si>
  <si>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</si>
  <si>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</si>
  <si>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</si>
  <si>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</si>
  <si>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</si>
  <si>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</si>
  <si>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</si>
  <si>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</si>
  <si>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</si>
  <si>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</si>
  <si>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</si>
  <si>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</si>
  <si>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</si>
  <si>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</si>
  <si>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</si>
  <si>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</si>
  <si>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</si>
  <si>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</si>
  <si>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</si>
  <si>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</si>
  <si>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</si>
  <si>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</si>
  <si>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</si>
  <si>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</si>
  <si>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</si>
  <si>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</si>
  <si>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</si>
  <si>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</si>
  <si>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</si>
  <si>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</si>
  <si>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</si>
  <si>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</si>
  <si>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</si>
  <si>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</si>
  <si>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</si>
  <si>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</si>
  <si>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</si>
  <si>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</si>
  <si>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</si>
  <si>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</si>
  <si>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</si>
  <si>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</si>
  <si>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</si>
  <si>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</si>
  <si>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</si>
  <si>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</si>
  <si>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</si>
  <si>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</si>
  <si>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</si>
  <si>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</si>
  <si>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</si>
  <si>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</si>
  <si>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</si>
  <si>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</si>
  <si>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</si>
  <si>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</si>
  <si>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</si>
  <si>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</si>
  <si>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</si>
  <si>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</si>
  <si>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</si>
  <si>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</si>
  <si>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</si>
  <si>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</si>
  <si>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</si>
  <si>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</si>
  <si>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</si>
  <si>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</si>
  <si>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</si>
  <si>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</si>
  <si>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</si>
  <si>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</si>
  <si>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</si>
  <si>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</si>
  <si>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</si>
  <si>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</si>
  <si>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</si>
  <si>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</si>
  <si>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</si>
  <si>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</si>
  <si>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</si>
  <si>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</si>
  <si>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</si>
  <si>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</si>
  <si>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</si>
  <si>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</si>
  <si>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</si>
  <si>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</si>
  <si>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</si>
  <si>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</si>
  <si>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</si>
  <si>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</si>
  <si>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</si>
  <si>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</si>
  <si>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</si>
  <si>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</si>
  <si>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</si>
  <si>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</si>
  <si>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</si>
  <si>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</si>
  <si>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</si>
  <si>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</si>
  <si>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</si>
  <si>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</si>
  <si>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</si>
  <si>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</si>
  <si>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</si>
  <si>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</si>
  <si>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</si>
  <si>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</si>
  <si>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</si>
  <si>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</si>
  <si>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</si>
  <si>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</si>
  <si>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</si>
  <si>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</si>
  <si>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</si>
  <si>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</si>
  <si>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</si>
  <si>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</si>
  <si>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</si>
  <si>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</si>
  <si>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</si>
  <si>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</si>
  <si>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</si>
  <si>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</si>
  <si>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</si>
  <si>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</si>
  <si>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</si>
  <si>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</si>
  <si>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</si>
  <si>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</si>
  <si>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</si>
  <si>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</si>
  <si>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</si>
  <si>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</si>
  <si>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</si>
  <si>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</si>
  <si>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</si>
  <si>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</si>
  <si>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</si>
  <si>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</si>
  <si>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</si>
  <si>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</si>
  <si>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</si>
  <si>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</si>
  <si>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</si>
  <si>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</si>
  <si>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</si>
  <si>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</si>
  <si>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</si>
  <si>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</si>
  <si>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</si>
  <si>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</si>
  <si>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</si>
  <si>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</si>
  <si>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</si>
  <si>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</si>
  <si>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</si>
  <si>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</si>
  <si>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</si>
  <si>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</si>
  <si>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</si>
  <si>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</si>
  <si>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</si>
  <si>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</si>
  <si>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</si>
  <si>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</si>
  <si>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</si>
  <si>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</si>
  <si>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</si>
  <si>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</si>
  <si>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</si>
  <si>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</si>
  <si>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</si>
  <si>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</si>
  <si>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</si>
  <si>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</si>
  <si>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</si>
  <si>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</si>
  <si>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</si>
  <si>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</si>
  <si>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</si>
  <si>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</si>
  <si>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</si>
  <si>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</si>
  <si>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</si>
  <si>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</si>
  <si>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</si>
  <si>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</si>
  <si>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</si>
  <si>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</si>
  <si>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</si>
  <si>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</si>
  <si>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</si>
  <si>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</si>
  <si>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</si>
  <si>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</si>
  <si>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</si>
  <si>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</si>
  <si>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</si>
  <si>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</si>
  <si>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</si>
  <si>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</si>
  <si>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</si>
  <si>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</si>
  <si>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</si>
  <si>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</si>
  <si>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</si>
  <si>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</si>
  <si>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</si>
  <si>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</si>
  <si>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</si>
  <si>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</si>
  <si>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</si>
  <si>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</si>
  <si>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</si>
  <si>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</si>
  <si>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</si>
  <si>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</si>
  <si>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</si>
  <si>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</si>
  <si>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</si>
  <si>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</si>
  <si>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</si>
  <si>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</si>
  <si>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</si>
  <si>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</si>
  <si>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</si>
  <si>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</si>
  <si>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</si>
  <si>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</si>
  <si>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</si>
  <si>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</si>
  <si>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</si>
  <si>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</si>
  <si>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</si>
  <si>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</si>
  <si>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</si>
  <si>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</si>
  <si>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</si>
  <si>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</si>
  <si>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</si>
  <si>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</si>
  <si>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</si>
  <si>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</si>
  <si>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</si>
  <si>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</si>
  <si>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</si>
  <si>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</si>
  <si>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</si>
  <si>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</si>
  <si>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</si>
  <si>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</si>
  <si>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</si>
  <si>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</si>
  <si>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</si>
  <si>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</si>
  <si>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</si>
  <si>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</si>
  <si>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</si>
  <si>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</si>
  <si>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</si>
  <si>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</si>
  <si>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</si>
  <si>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</si>
  <si>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</si>
  <si>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</si>
  <si>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</si>
  <si>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</si>
  <si>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</si>
  <si>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</si>
  <si>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</si>
  <si>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</si>
  <si>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</si>
  <si>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</si>
  <si>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</si>
  <si>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</si>
  <si>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</si>
  <si>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</si>
  <si>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</si>
  <si>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</si>
  <si>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</si>
  <si>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</si>
  <si>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</si>
  <si>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</si>
  <si>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</si>
  <si>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</si>
  <si>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</si>
  <si>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</si>
  <si>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</si>
  <si>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</si>
  <si>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</si>
  <si>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</si>
  <si>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</si>
  <si>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</si>
  <si>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</si>
  <si>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</si>
  <si>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</si>
  <si>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</si>
  <si>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</si>
  <si>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</si>
  <si>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</si>
  <si>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</si>
  <si>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</si>
  <si>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</si>
  <si>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</si>
  <si>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</si>
  <si>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</si>
  <si>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</si>
  <si>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</si>
  <si>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</si>
  <si>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</si>
  <si>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</si>
  <si>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</si>
  <si>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</si>
  <si>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</si>
  <si>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</si>
  <si>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</si>
  <si>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</si>
  <si>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</si>
  <si>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</si>
  <si>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</si>
  <si>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</si>
  <si>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</si>
  <si>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</si>
  <si>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</si>
  <si>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</si>
  <si>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</si>
  <si>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</si>
  <si>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</si>
  <si>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</si>
  <si>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</si>
  <si>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</si>
  <si>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</si>
  <si>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</si>
  <si>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</si>
  <si>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</si>
  <si>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</si>
  <si>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</si>
  <si>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</si>
  <si>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</si>
  <si>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</si>
  <si>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</si>
  <si>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</si>
  <si>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</si>
  <si>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</si>
  <si>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</si>
  <si>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</si>
  <si>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</si>
  <si>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</si>
  <si>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</si>
  <si>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</si>
  <si>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</si>
  <si>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</si>
  <si>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</si>
  <si>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</si>
  <si>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</si>
  <si>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</si>
  <si>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</si>
  <si>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</si>
  <si>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</si>
  <si>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</si>
  <si>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</si>
  <si>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</si>
  <si>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</si>
  <si>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</si>
  <si>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</si>
  <si>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</si>
  <si>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</si>
  <si>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</si>
  <si>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</si>
  <si>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</si>
  <si>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</si>
  <si>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</si>
  <si>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</si>
  <si>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</si>
  <si>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</si>
  <si>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</si>
  <si>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</si>
  <si>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</si>
  <si>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</si>
  <si>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</si>
  <si>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</si>
  <si>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</si>
  <si>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</si>
  <si>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</si>
  <si>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</si>
  <si>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</si>
  <si>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</si>
  <si>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</si>
  <si>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</si>
  <si>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</si>
  <si>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</si>
  <si>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</si>
  <si>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</si>
  <si>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</si>
  <si>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</si>
  <si>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</si>
  <si>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</si>
  <si>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</si>
  <si>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</si>
  <si>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</si>
  <si>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</si>
  <si>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</si>
  <si>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</si>
  <si>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</si>
  <si>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</si>
  <si>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</si>
  <si>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</si>
  <si>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</si>
  <si>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</si>
  <si>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</si>
  <si>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</si>
  <si>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</si>
  <si>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</si>
  <si>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</si>
  <si>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</si>
  <si>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</si>
  <si>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</si>
  <si>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</si>
  <si>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</si>
  <si>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</si>
  <si>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</si>
  <si>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</si>
  <si>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</si>
  <si>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</si>
  <si>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</si>
  <si>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</si>
  <si>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</si>
  <si>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</si>
  <si>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</si>
  <si>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</si>
  <si>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</si>
  <si>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</si>
  <si>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</si>
  <si>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</si>
  <si>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</si>
  <si>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</si>
  <si>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</si>
  <si>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</si>
  <si>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</si>
  <si>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</si>
  <si>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</si>
  <si>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</si>
  <si>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</si>
  <si>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</si>
  <si>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</si>
  <si>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</si>
  <si>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</si>
  <si>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</si>
  <si>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</si>
  <si>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</si>
  <si>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</si>
  <si>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</si>
  <si>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</si>
  <si>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</si>
  <si>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</si>
  <si>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</si>
  <si>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</si>
  <si>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</si>
  <si>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</si>
  <si>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</si>
  <si>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</si>
  <si>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</si>
  <si>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</si>
  <si>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</si>
  <si>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</si>
  <si>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</si>
  <si>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</si>
  <si>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</si>
  <si>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</si>
  <si>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</si>
  <si>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</si>
  <si>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</si>
  <si>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</si>
  <si>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</si>
  <si>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</si>
  <si>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</si>
  <si>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</si>
  <si>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</si>
  <si>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</si>
  <si>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</si>
  <si>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</si>
  <si>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</si>
  <si>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</si>
  <si>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</si>
  <si>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</si>
  <si>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</si>
  <si>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</si>
  <si>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</si>
  <si>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</si>
  <si>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</si>
  <si>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</si>
  <si>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</si>
  <si>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</si>
  <si>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</si>
  <si>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</si>
  <si>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</si>
  <si>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</si>
  <si>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</si>
  <si>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</si>
  <si>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</si>
  <si>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</si>
  <si>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</si>
  <si>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</si>
  <si>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</si>
  <si>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</si>
  <si>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</si>
  <si>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</si>
  <si>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</si>
  <si>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</si>
  <si>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</si>
  <si>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</si>
  <si>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</si>
  <si>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</si>
  <si>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</si>
  <si>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</si>
  <si>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</si>
  <si>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</si>
  <si>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</si>
  <si>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</si>
  <si>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</si>
  <si>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</si>
  <si>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</si>
  <si>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</si>
  <si>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</si>
  <si>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</si>
  <si>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</si>
  <si>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</si>
  <si>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</si>
  <si>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</si>
  <si>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</si>
  <si>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</si>
  <si>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</si>
  <si>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</si>
  <si>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</si>
  <si>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</si>
  <si>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</si>
  <si>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</si>
  <si>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</si>
  <si>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</si>
  <si>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</si>
  <si>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</si>
  <si>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</si>
  <si>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</si>
  <si>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</si>
  <si>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</si>
  <si>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</si>
  <si>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</si>
  <si>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</si>
  <si>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</si>
  <si>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</si>
  <si>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</si>
  <si>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</si>
  <si>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</si>
  <si>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</si>
  <si>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</si>
  <si>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</si>
  <si>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</si>
  <si>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</si>
  <si>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</si>
  <si>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</si>
  <si>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</si>
  <si>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</si>
  <si>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</si>
  <si>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</si>
  <si>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</si>
  <si>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</si>
  <si>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</si>
  <si>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</si>
  <si>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</si>
  <si>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</si>
  <si>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</si>
  <si>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</si>
  <si>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</si>
  <si>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</si>
  <si>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</si>
  <si>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</si>
  <si>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</si>
  <si>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</si>
  <si>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</si>
  <si>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</si>
  <si>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</si>
  <si>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</si>
  <si>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</si>
  <si>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</si>
  <si>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</si>
  <si>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</si>
  <si>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</si>
  <si>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</si>
  <si>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</si>
  <si>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</si>
  <si>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</si>
  <si>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</si>
  <si>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</si>
  <si>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</si>
  <si>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</si>
  <si>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</si>
  <si>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</si>
  <si>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</si>
  <si>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</si>
  <si>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</si>
  <si>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</si>
  <si>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</si>
  <si>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</si>
  <si>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</si>
  <si>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</si>
  <si>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</si>
  <si>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</si>
  <si>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</si>
  <si>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</si>
  <si>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</si>
  <si>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</si>
  <si>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</si>
  <si>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</si>
  <si>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</si>
  <si>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</si>
  <si>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</si>
  <si>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</si>
  <si>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</si>
  <si>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</si>
  <si>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</si>
  <si>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</si>
  <si>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</si>
  <si>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</si>
  <si>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</si>
  <si>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</si>
  <si>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</si>
  <si>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</si>
  <si>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</si>
  <si>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</si>
  <si>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</si>
  <si>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</si>
  <si>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</si>
  <si>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</si>
  <si>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</si>
  <si>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</si>
  <si>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</si>
  <si>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</si>
  <si>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</si>
  <si>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</si>
  <si>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</si>
  <si>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</si>
  <si>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</si>
  <si>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</si>
  <si>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</si>
  <si>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</si>
  <si>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</si>
  <si>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</si>
  <si>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</si>
  <si>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</si>
  <si>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</si>
  <si>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</si>
  <si>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</si>
  <si>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</si>
  <si>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</si>
  <si>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</si>
  <si>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</si>
  <si>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</si>
  <si>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</si>
  <si>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</si>
  <si>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</si>
  <si>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</si>
  <si>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</si>
  <si>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</si>
  <si>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</si>
  <si>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</si>
  <si>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</si>
  <si>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</si>
  <si>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</si>
  <si>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</si>
  <si>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</si>
  <si>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</si>
  <si>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</si>
  <si>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</si>
  <si>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</si>
  <si>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</si>
  <si>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</si>
  <si>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</si>
  <si>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</si>
  <si>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</si>
  <si>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</si>
  <si>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</si>
  <si>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</si>
  <si>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</si>
  <si>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</si>
  <si>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</si>
  <si>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</si>
  <si>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</si>
  <si>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</si>
  <si>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</si>
  <si>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</si>
  <si>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</si>
  <si>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</si>
  <si>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</si>
  <si>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</si>
  <si>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</si>
  <si>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</si>
  <si>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</si>
  <si>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</si>
  <si>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</si>
  <si>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</si>
  <si>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</si>
  <si>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</si>
  <si>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</si>
  <si>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</si>
  <si>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</si>
  <si>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</si>
  <si>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</si>
  <si>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</si>
  <si>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</si>
  <si>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</si>
  <si>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</si>
  <si>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</si>
  <si>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</si>
  <si>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</si>
  <si>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</si>
  <si>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</si>
  <si>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</si>
  <si>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</si>
  <si>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</si>
  <si>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</si>
  <si>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</si>
  <si>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</si>
  <si>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</si>
  <si>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</si>
  <si>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</si>
  <si>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</si>
  <si>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</si>
  <si>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</si>
  <si>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</si>
  <si>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</si>
  <si>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</si>
  <si>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</si>
  <si>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</si>
  <si>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</si>
  <si>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</si>
  <si>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</si>
  <si>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</si>
  <si>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</si>
  <si>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</si>
  <si>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</si>
  <si>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</si>
  <si>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</si>
  <si>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</si>
  <si>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</si>
  <si>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</si>
  <si>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</si>
  <si>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</si>
  <si>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</si>
  <si>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</si>
  <si>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</si>
  <si>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</si>
  <si>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</si>
  <si>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</si>
  <si>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</si>
  <si>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</si>
  <si>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</si>
  <si>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</si>
  <si>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</si>
  <si>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</si>
  <si>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</si>
  <si>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</si>
  <si>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</si>
  <si>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</si>
  <si>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</si>
  <si>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</si>
  <si>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</si>
  <si>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</si>
  <si>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</si>
  <si>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</si>
  <si>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</si>
  <si>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</si>
  <si>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</si>
  <si>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</si>
  <si>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</si>
  <si>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</si>
  <si>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</si>
  <si>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</si>
  <si>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</si>
  <si>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</si>
  <si>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</si>
  <si>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</si>
  <si>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</si>
  <si>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</si>
  <si>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</si>
  <si>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</si>
  <si>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</si>
  <si>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</si>
  <si>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</si>
  <si>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</si>
  <si>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</si>
  <si>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</si>
  <si>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</si>
  <si>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</si>
  <si>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</si>
  <si>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</si>
  <si>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</si>
  <si>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</si>
  <si>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</si>
  <si>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</si>
  <si>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</si>
  <si>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</si>
  <si>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</si>
  <si>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</si>
  <si>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</si>
  <si>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</si>
  <si>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</si>
  <si>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</si>
  <si>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</si>
  <si>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</si>
  <si>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</si>
  <si>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</si>
  <si>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</si>
  <si>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</si>
  <si>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</si>
  <si>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</si>
  <si>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</si>
  <si>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</si>
  <si>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</si>
  <si>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</si>
  <si>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</si>
  <si>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</si>
  <si>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</si>
  <si>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</si>
  <si>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</si>
  <si>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</si>
  <si>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</si>
  <si>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</si>
  <si>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</si>
  <si>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</si>
  <si>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</si>
  <si>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</si>
  <si>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</si>
  <si>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</si>
  <si>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</si>
  <si>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</si>
  <si>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</si>
  <si>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</si>
  <si>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</si>
  <si>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</si>
  <si>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</si>
  <si>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</si>
  <si>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</si>
  <si>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</si>
  <si>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</si>
  <si>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</si>
  <si>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</si>
  <si>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</si>
  <si>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</si>
  <si>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</si>
  <si>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</si>
  <si>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</si>
  <si>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</si>
  <si>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</si>
  <si>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</si>
  <si>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</si>
  <si>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</si>
  <si>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</si>
  <si>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</si>
  <si>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</si>
  <si>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</si>
  <si>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</si>
  <si>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</si>
  <si>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</si>
  <si>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</si>
  <si>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</si>
  <si>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</si>
  <si>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</si>
  <si>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</si>
  <si>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</si>
  <si>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</si>
  <si>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</si>
  <si>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</si>
  <si>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</si>
  <si>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</si>
  <si>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</si>
  <si>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</si>
  <si>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</si>
  <si>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</si>
  <si>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</si>
  <si>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</si>
  <si>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</si>
  <si>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</si>
  <si>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</si>
  <si>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</si>
  <si>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</si>
  <si>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</si>
  <si>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</si>
  <si>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</si>
  <si>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</si>
  <si>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</si>
  <si>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</si>
  <si>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</si>
  <si>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</si>
  <si>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</si>
  <si>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</si>
  <si>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</si>
  <si>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</si>
  <si>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</si>
  <si>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</si>
  <si>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</si>
  <si>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</si>
  <si>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</si>
  <si>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</si>
  <si>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</si>
  <si>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</si>
  <si>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</si>
  <si>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</si>
  <si>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</si>
  <si>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</si>
  <si>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</si>
  <si>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</si>
  <si>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</si>
  <si>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</si>
  <si>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</si>
  <si>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</si>
  <si>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</si>
  <si>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</si>
  <si>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</si>
  <si>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</si>
  <si>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</si>
  <si>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</si>
  <si>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</si>
  <si>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</si>
  <si>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</si>
  <si>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</si>
  <si>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</si>
  <si>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</si>
  <si>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</si>
  <si>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</si>
  <si>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</si>
  <si>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</si>
  <si>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</si>
  <si>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</si>
  <si>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</si>
  <si>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</si>
  <si>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</si>
  <si>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</si>
  <si>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</si>
  <si>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</si>
  <si>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</si>
  <si>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</si>
  <si>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</si>
  <si>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</si>
  <si>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</si>
  <si>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</si>
  <si>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</si>
  <si>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</si>
  <si>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</si>
  <si>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</si>
  <si>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</si>
  <si>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</si>
  <si>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</si>
  <si>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</si>
  <si>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</si>
  <si>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</si>
  <si>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</si>
  <si>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</si>
  <si>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</si>
  <si>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</si>
  <si>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</si>
  <si>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</si>
  <si>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</si>
  <si>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</si>
  <si>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</si>
  <si>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</si>
  <si>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</si>
  <si>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</si>
  <si>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</si>
  <si>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</si>
  <si>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</si>
  <si>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</si>
  <si>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</si>
  <si>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</si>
  <si>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</si>
  <si>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</si>
  <si>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</si>
  <si>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</si>
  <si>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</si>
  <si>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</si>
  <si>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</si>
  <si>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</si>
  <si>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</si>
  <si>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</si>
  <si>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</si>
  <si>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</si>
  <si>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</si>
  <si>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</si>
  <si>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</si>
  <si>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</si>
  <si>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</si>
  <si>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</si>
  <si>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</si>
  <si>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</si>
  <si>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</si>
  <si>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</si>
  <si>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</si>
  <si>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</si>
  <si>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</si>
  <si>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</si>
  <si>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</si>
  <si>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</si>
  <si>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</si>
  <si>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</si>
  <si>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</si>
  <si>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</si>
  <si>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</si>
  <si>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</si>
  <si>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</si>
  <si>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</si>
  <si>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</si>
  <si>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</si>
  <si>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</si>
  <si>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</si>
  <si>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</si>
  <si>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</si>
  <si>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</si>
  <si>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</si>
  <si>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</si>
  <si>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</si>
  <si>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</si>
  <si>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</si>
  <si>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</si>
  <si>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</si>
  <si>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</si>
  <si>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</si>
  <si>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</si>
  <si>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</si>
  <si>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</si>
  <si>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</si>
  <si>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</si>
  <si>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</si>
  <si>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</si>
  <si>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</si>
  <si>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</si>
  <si>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</si>
  <si>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</si>
  <si>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</si>
  <si>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</si>
  <si>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</si>
  <si>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</si>
  <si>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</si>
  <si>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</si>
  <si>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</si>
  <si>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</si>
  <si>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</si>
  <si>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</si>
  <si>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</si>
  <si>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</si>
  <si>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</si>
  <si>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</si>
  <si>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</si>
  <si>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</si>
  <si>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</si>
  <si>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</si>
  <si>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</si>
  <si>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</si>
  <si>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</si>
  <si>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</si>
  <si>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</si>
  <si>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</si>
  <si>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</si>
  <si>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</si>
  <si>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</si>
  <si>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</si>
  <si>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</si>
  <si>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</si>
  <si>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</si>
  <si>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</si>
  <si>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</si>
  <si>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</si>
  <si>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</si>
  <si>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</si>
  <si>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</si>
  <si>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</si>
  <si>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</si>
  <si>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</si>
  <si>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</si>
  <si>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</si>
  <si>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</si>
  <si>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</si>
  <si>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</si>
  <si>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</si>
  <si>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</si>
  <si>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</si>
  <si>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</si>
  <si>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</si>
  <si>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</si>
  <si>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</si>
  <si>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</si>
  <si>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</si>
  <si>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</si>
  <si>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</si>
  <si>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</si>
  <si>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</si>
  <si>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</si>
  <si>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</si>
  <si>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</si>
  <si>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</si>
  <si>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</si>
  <si>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</si>
  <si>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</si>
  <si>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</si>
  <si>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</si>
  <si>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</si>
  <si>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</si>
  <si>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</si>
  <si>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</si>
  <si>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</si>
  <si>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</si>
  <si>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</si>
  <si>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</si>
  <si>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</si>
  <si>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</si>
  <si>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</si>
  <si>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</si>
  <si>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</si>
  <si>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</si>
  <si>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</si>
  <si>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</si>
  <si>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</si>
  <si>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</si>
  <si>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</si>
  <si>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</si>
  <si>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</si>
  <si>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</si>
  <si>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</si>
  <si>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</si>
  <si>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</si>
  <si>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</si>
  <si>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</si>
  <si>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</si>
  <si>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</si>
  <si>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</si>
  <si>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</si>
  <si>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</si>
  <si>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</si>
  <si>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</si>
  <si>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</si>
  <si>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</si>
  <si>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</si>
  <si>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</si>
  <si>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</si>
  <si>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</si>
  <si>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</si>
  <si>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</si>
  <si>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</si>
  <si>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</si>
  <si>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</si>
  <si>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</si>
  <si>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</si>
  <si>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</si>
  <si>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</si>
  <si>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</si>
  <si>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</si>
  <si>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</si>
  <si>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</si>
  <si>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</si>
  <si>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</si>
  <si>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</si>
  <si>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</si>
  <si>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</si>
  <si>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</si>
  <si>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</si>
  <si>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</si>
  <si>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</si>
  <si>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</si>
  <si>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</si>
  <si>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</si>
  <si>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</si>
  <si>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</si>
  <si>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</si>
  <si>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</si>
  <si>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</si>
  <si>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</si>
  <si>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</si>
  <si>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</si>
  <si>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</si>
  <si>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</si>
  <si>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</si>
  <si>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</si>
  <si>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</si>
  <si>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</si>
  <si>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</si>
  <si>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</si>
  <si>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</si>
  <si>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</si>
  <si>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</si>
  <si>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</si>
  <si>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</si>
  <si>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</si>
  <si>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</si>
  <si>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</si>
  <si>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</si>
  <si>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</si>
  <si>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</si>
  <si>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</si>
  <si>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</si>
  <si>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</si>
  <si>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</si>
  <si>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</si>
  <si>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</si>
  <si>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</si>
  <si>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</si>
  <si>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</si>
  <si>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</si>
  <si>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</si>
  <si>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</si>
  <si>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</si>
  <si>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</si>
  <si>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</si>
  <si>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</si>
  <si>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</si>
  <si>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</si>
  <si>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</si>
  <si>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</si>
  <si>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</si>
  <si>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</si>
  <si>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</si>
  <si>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</si>
  <si>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</si>
  <si>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</si>
  <si>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</si>
  <si>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</si>
  <si>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</si>
  <si>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</si>
  <si>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</si>
  <si>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</si>
  <si>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</si>
  <si>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</si>
  <si>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</si>
  <si>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</si>
  <si>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</si>
  <si>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</si>
  <si>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</si>
  <si>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</si>
  <si>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</si>
  <si>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</si>
  <si>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</si>
  <si>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</si>
  <si>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</si>
  <si>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</si>
  <si>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</si>
  <si>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</si>
  <si>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</si>
  <si>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</si>
  <si>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</si>
  <si>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</si>
  <si>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</si>
  <si>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</si>
  <si>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</si>
  <si>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</si>
  <si>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</si>
  <si>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</si>
  <si>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</si>
  <si>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</si>
  <si>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</si>
  <si>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</si>
  <si>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</si>
  <si>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</si>
  <si>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</si>
  <si>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</si>
  <si>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</si>
  <si>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</si>
  <si>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</si>
  <si>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</si>
  <si>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</si>
  <si>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</si>
  <si>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</si>
  <si>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</si>
  <si>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</si>
  <si>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</si>
  <si>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</si>
  <si>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</si>
  <si>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</si>
  <si>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</si>
  <si>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</si>
  <si>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</si>
  <si>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</si>
  <si>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</si>
  <si>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</si>
  <si>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</si>
  <si>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</si>
  <si>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</si>
  <si>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</si>
  <si>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</si>
  <si>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</si>
  <si>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</si>
  <si>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</si>
  <si>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</si>
  <si>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</si>
  <si>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</si>
  <si>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</si>
  <si>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</si>
  <si>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</si>
  <si>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</si>
  <si>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</si>
  <si>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</si>
  <si>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</si>
  <si>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</si>
  <si>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</si>
  <si>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</si>
  <si>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</si>
  <si>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</si>
  <si>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</si>
  <si>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</si>
  <si>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</si>
  <si>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</si>
  <si>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</si>
  <si>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</si>
  <si>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</si>
  <si>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</si>
  <si>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</si>
  <si>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</si>
  <si>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</si>
  <si>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</si>
  <si>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</si>
  <si>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</si>
  <si>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</si>
  <si>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</si>
  <si>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</si>
  <si>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</si>
  <si>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</si>
  <si>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</si>
  <si>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</si>
  <si>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</si>
  <si>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</si>
  <si>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</si>
  <si>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</si>
  <si>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</si>
  <si>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</si>
  <si>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</si>
  <si>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</si>
  <si>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</si>
  <si>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</si>
  <si>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</si>
  <si>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</si>
  <si>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</si>
  <si>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</si>
  <si>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</si>
  <si>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</si>
  <si>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</si>
  <si>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</si>
  <si>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</si>
  <si>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</si>
  <si>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</si>
  <si>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</si>
  <si>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</si>
  <si>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</si>
  <si>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</si>
  <si>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</si>
  <si>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</si>
  <si>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</si>
  <si>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</si>
  <si>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</si>
  <si>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</si>
  <si>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</si>
  <si>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</si>
  <si>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</si>
  <si>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</si>
  <si>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</si>
  <si>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</si>
  <si>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</si>
  <si>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</si>
  <si>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</si>
  <si>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</si>
  <si>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</si>
  <si>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</si>
  <si>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</si>
  <si>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</si>
  <si>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</si>
  <si>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</si>
  <si>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</si>
  <si>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</si>
  <si>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</si>
  <si>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</si>
  <si>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</si>
  <si>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</si>
  <si>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</si>
  <si>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</si>
  <si>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</si>
  <si>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</si>
  <si>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</si>
  <si>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</si>
  <si>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</si>
  <si>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</si>
  <si>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</si>
  <si>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</si>
  <si>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</si>
  <si>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</si>
  <si>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</si>
  <si>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</si>
  <si>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</si>
  <si>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</si>
  <si>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</si>
  <si>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</si>
  <si>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</si>
  <si>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</si>
  <si>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</si>
  <si>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</si>
  <si>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</si>
  <si>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</si>
  <si>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</si>
  <si>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</si>
  <si>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</si>
  <si>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</si>
  <si>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</si>
  <si>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</si>
  <si>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</si>
  <si>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</si>
  <si>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</si>
  <si>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</si>
  <si>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</si>
  <si>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</si>
  <si>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</si>
  <si>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</si>
  <si>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</si>
  <si>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</si>
  <si>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</si>
  <si>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</si>
  <si>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</si>
  <si>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</si>
  <si>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</si>
  <si>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</si>
  <si>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</si>
  <si>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</si>
  <si>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</si>
  <si>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</si>
  <si>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</si>
  <si>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</si>
  <si>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</si>
  <si>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</si>
  <si>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</si>
  <si>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</si>
  <si>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</si>
  <si>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</si>
  <si>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</si>
  <si>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</si>
  <si>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</si>
  <si>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</si>
  <si>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</si>
  <si>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</si>
  <si>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</si>
  <si>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</si>
  <si>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</si>
  <si>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</si>
  <si>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</si>
  <si>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</si>
  <si>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</si>
  <si>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</si>
  <si>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</si>
  <si>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</si>
  <si>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</si>
  <si>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</si>
  <si>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</si>
  <si>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</si>
  <si>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</si>
  <si>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</si>
  <si>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</si>
  <si>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</si>
  <si>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</si>
  <si>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</si>
  <si>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</si>
  <si>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</si>
  <si>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</si>
  <si>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</si>
  <si>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</si>
  <si>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</si>
  <si>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</si>
  <si>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</si>
  <si>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</si>
  <si>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</si>
  <si>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</si>
  <si>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</si>
  <si>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</si>
  <si>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</si>
  <si>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</si>
  <si>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</si>
  <si>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</si>
  <si>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</si>
  <si>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</si>
  <si>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</si>
  <si>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</si>
  <si>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</si>
  <si>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</si>
  <si>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</si>
  <si>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</si>
  <si>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</si>
  <si>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</si>
  <si>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</si>
  <si>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</si>
  <si>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</si>
  <si>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</si>
  <si>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</si>
  <si>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</si>
  <si>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</si>
  <si>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</si>
  <si>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</si>
  <si>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</si>
  <si>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</si>
  <si>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</si>
  <si>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</si>
  <si>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</si>
  <si>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</si>
  <si>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</si>
  <si>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</si>
  <si>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</si>
  <si>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</si>
  <si>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</si>
  <si>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</si>
  <si>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</si>
  <si>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</si>
  <si>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</si>
  <si>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</si>
  <si>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</si>
  <si>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</si>
  <si>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</si>
  <si>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</si>
  <si>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</si>
  <si>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</si>
  <si>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</si>
  <si>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</si>
  <si>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</si>
  <si>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</si>
  <si>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</si>
  <si>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</si>
  <si>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</si>
  <si>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</si>
  <si>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</si>
  <si>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</si>
  <si>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</si>
  <si>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</si>
  <si>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</si>
  <si>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</si>
  <si>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</si>
  <si>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</si>
  <si>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</si>
  <si>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</si>
  <si>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</si>
  <si>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</si>
  <si>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</si>
  <si>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</si>
  <si>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</si>
  <si>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</si>
  <si>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</si>
  <si>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</si>
  <si>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</si>
  <si>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</si>
  <si>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</si>
  <si>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</si>
  <si>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</si>
  <si>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</si>
  <si>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</si>
  <si>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</si>
  <si>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</si>
  <si>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</si>
  <si>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</si>
  <si>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</si>
  <si>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</si>
  <si>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</si>
  <si>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</si>
  <si>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</si>
  <si>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</si>
  <si>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</si>
  <si>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</si>
  <si>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</si>
  <si>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</si>
  <si>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</si>
  <si>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</si>
  <si>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</si>
  <si>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</si>
  <si>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</si>
  <si>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</si>
  <si>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</si>
  <si>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</si>
  <si>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</si>
  <si>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</si>
  <si>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</si>
  <si>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</si>
  <si>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</si>
  <si>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</si>
  <si>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</si>
  <si>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</si>
  <si>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</si>
  <si>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</si>
  <si>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</si>
  <si>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</si>
  <si>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</si>
  <si>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</si>
  <si>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</si>
  <si>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</si>
  <si>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</si>
  <si>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</si>
  <si>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</si>
  <si>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</si>
  <si>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</si>
  <si>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</si>
  <si>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</si>
  <si>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</si>
  <si>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</si>
  <si>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</si>
  <si>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</si>
  <si>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</si>
  <si>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</si>
  <si>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</si>
  <si>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</si>
  <si>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</si>
  <si>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</si>
  <si>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</si>
  <si>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</si>
  <si>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</si>
  <si>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</si>
  <si>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</si>
  <si>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</si>
  <si>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</si>
  <si>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</si>
  <si>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</si>
  <si>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</si>
  <si>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</si>
  <si>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</si>
  <si>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</si>
  <si>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</si>
  <si>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</si>
  <si>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</si>
  <si>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</si>
  <si>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</si>
  <si>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</si>
  <si>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</si>
  <si>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</si>
  <si>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</si>
  <si>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</si>
  <si>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</si>
  <si>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</si>
  <si>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</si>
  <si>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</si>
  <si>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</si>
  <si>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</si>
  <si>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</si>
  <si>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</si>
  <si>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</si>
  <si>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</si>
  <si>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</si>
  <si>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</si>
  <si>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</si>
  <si>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</si>
  <si>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</si>
  <si>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</si>
  <si>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</si>
  <si>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</si>
  <si>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</si>
  <si>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</si>
  <si>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</si>
  <si>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</si>
  <si>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</si>
  <si>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</si>
  <si>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</si>
  <si>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</si>
  <si>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</si>
  <si>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</si>
  <si>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</si>
  <si>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</si>
  <si>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</si>
  <si>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</si>
  <si>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</si>
  <si>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</si>
  <si>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</si>
  <si>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</si>
  <si>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</si>
  <si>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</si>
  <si>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</si>
  <si>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</si>
  <si>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</si>
  <si>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</si>
  <si>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</si>
  <si>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</si>
  <si>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</si>
  <si>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</si>
  <si>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</si>
  <si>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</si>
  <si>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</si>
  <si>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</si>
  <si>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</si>
  <si>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</si>
  <si>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</si>
  <si>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</si>
  <si>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</si>
  <si>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</si>
  <si>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</si>
  <si>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</si>
  <si>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</si>
  <si>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</si>
  <si>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</si>
  <si>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</si>
  <si>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</si>
  <si>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</si>
  <si>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</si>
  <si>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</si>
  <si>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</si>
  <si>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</si>
  <si>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</si>
  <si>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</si>
  <si>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</si>
  <si>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</si>
  <si>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</si>
  <si>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</si>
  <si>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</si>
  <si>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</si>
  <si>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</si>
  <si>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</si>
  <si>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</si>
  <si>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</si>
  <si>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</si>
  <si>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</si>
  <si>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</si>
  <si>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</si>
  <si>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</si>
  <si>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</si>
  <si>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</si>
  <si>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</si>
  <si>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</si>
  <si>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</si>
  <si>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</si>
  <si>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</si>
  <si>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</si>
  <si>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</si>
  <si>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</si>
  <si>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</si>
  <si>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</si>
  <si>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</si>
  <si>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</si>
  <si>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</si>
  <si>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</si>
  <si>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</si>
  <si>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</si>
  <si>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</si>
  <si>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</si>
  <si>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</si>
  <si>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</si>
  <si>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</si>
  <si>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</si>
  <si>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</si>
  <si>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</si>
  <si>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</si>
  <si>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</si>
  <si>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</si>
  <si>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</si>
  <si>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</si>
  <si>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</si>
  <si>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</si>
  <si>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</si>
  <si>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</si>
  <si>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</si>
  <si>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</si>
  <si>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</si>
  <si>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</si>
  <si>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</si>
  <si>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</si>
  <si>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</si>
  <si>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</si>
  <si>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</si>
  <si>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</si>
  <si>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</si>
  <si>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</si>
  <si>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</si>
  <si>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</si>
  <si>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</si>
  <si>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</si>
  <si>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</si>
  <si>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</si>
  <si>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</si>
  <si>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</si>
  <si>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</si>
  <si>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</si>
  <si>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</si>
  <si>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</si>
  <si>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</si>
  <si>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</si>
  <si>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</si>
  <si>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</si>
  <si>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</si>
  <si>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</si>
  <si>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</si>
  <si>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</si>
  <si>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</si>
  <si>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</si>
  <si>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</si>
  <si>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</si>
  <si>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</si>
  <si>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</si>
  <si>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</si>
  <si>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</si>
  <si>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</si>
  <si>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</si>
  <si>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</si>
  <si>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</si>
  <si>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</si>
  <si>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</si>
  <si>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</si>
  <si>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</si>
  <si>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</si>
  <si>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</si>
  <si>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</si>
  <si>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</si>
  <si>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</si>
  <si>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</si>
  <si>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</si>
  <si>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</si>
  <si>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</si>
  <si>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</si>
  <si>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</si>
  <si>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</si>
  <si>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</si>
  <si>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</si>
  <si>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</si>
  <si>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</si>
  <si>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</si>
  <si>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</si>
  <si>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</si>
  <si>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</si>
  <si>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</si>
  <si>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</si>
  <si>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</si>
  <si>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</si>
  <si>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</si>
  <si>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</si>
  <si>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</si>
  <si>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</si>
  <si>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</si>
  <si>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</si>
  <si>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</si>
  <si>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</si>
  <si>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</si>
  <si>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</si>
  <si>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</si>
  <si>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</si>
  <si>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</si>
  <si>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</si>
  <si>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</si>
  <si>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</si>
  <si>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</si>
  <si>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</si>
  <si>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</si>
  <si>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</si>
  <si>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</si>
  <si>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</si>
  <si>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</si>
  <si>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</si>
  <si>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</si>
  <si>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</si>
  <si>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</si>
  <si>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</si>
  <si>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</si>
  <si>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</si>
  <si>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</si>
  <si>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</si>
  <si>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</si>
  <si>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</si>
  <si>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</si>
  <si>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</si>
  <si>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</si>
  <si>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</si>
  <si>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</si>
  <si>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</si>
  <si>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</si>
  <si>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</si>
  <si>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</si>
  <si>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</si>
  <si>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</si>
  <si>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</si>
  <si>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</si>
  <si>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</si>
  <si>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</si>
  <si>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</si>
  <si>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</si>
  <si>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</si>
  <si>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</si>
  <si>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</si>
  <si>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</si>
  <si>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</si>
  <si>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</si>
  <si>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</si>
  <si>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</si>
  <si>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</si>
  <si>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</si>
  <si>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</si>
  <si>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</si>
  <si>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</si>
  <si>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</si>
  <si>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</si>
  <si>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</si>
  <si>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</si>
  <si>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</si>
  <si>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IROQUOIS</t>
  </si>
  <si>
    <t>208 S CHICAGO</t>
  </si>
  <si>
    <t>MILFORD</t>
  </si>
  <si>
    <t>Dr. Michele Lindenmeyer</t>
  </si>
  <si>
    <t>mlindenmeyer@mpsk12.org</t>
  </si>
  <si>
    <t>815-889-5176</t>
  </si>
  <si>
    <t>815-889-5221</t>
  </si>
  <si>
    <t>QUALIFIED ZONE ACADEMY BONDS</t>
  </si>
  <si>
    <t>2006 LIFE SAFETY BONDS</t>
  </si>
  <si>
    <t>2015 GO SCHOOL BONDS</t>
  </si>
  <si>
    <t>2016 GO SCHOOL BONDS</t>
  </si>
  <si>
    <t>2017 GO SCHOOL BONDS</t>
  </si>
  <si>
    <t>No applicable contracts</t>
  </si>
  <si>
    <t>IROQUOIS SPECIAL EDUCATION ASSOCIATION</t>
  </si>
  <si>
    <t>Page 2 - Auditor's Questionnaire - Other Findings</t>
  </si>
  <si>
    <t>#20 - Other Findings</t>
  </si>
  <si>
    <t>District's Tort Salaries are not in line with its Risk Management Plan</t>
  </si>
  <si>
    <t>Withholding accounts are not correct</t>
  </si>
  <si>
    <t>Did not update investment balances</t>
  </si>
  <si>
    <t>Page 10 - Acct 1790 - Other District/School Activity Revenue</t>
  </si>
  <si>
    <t>Col 10 - Educational</t>
  </si>
  <si>
    <t>Refunds &amp; Reimbursements - $1,517</t>
  </si>
  <si>
    <t>Page 10 - Acct 1999 - Other Local Revenues</t>
  </si>
  <si>
    <t>Refunds &amp; Reimbursements - $68,693</t>
  </si>
  <si>
    <t>Col 20 - Operations &amp; Maintenance</t>
  </si>
  <si>
    <t>Refunds &amp; Reimbursements - $22,530</t>
  </si>
  <si>
    <t>Col 40 - Transportation</t>
  </si>
  <si>
    <t>Refunds &amp; Reimbursements - $3,276</t>
  </si>
  <si>
    <t>Col 80 - Tort</t>
  </si>
  <si>
    <t>Refunds &amp; Reimbursements - $10,586</t>
  </si>
  <si>
    <t>Page 11 - Acct 3299 - CTE - Other</t>
  </si>
  <si>
    <t>CTE Elementary Grant - $342</t>
  </si>
  <si>
    <t>Page 12 - Acct 3999 - Other Restricted Revenue from State Sources</t>
  </si>
  <si>
    <t>CTEIG Reimbursement - $21,986</t>
  </si>
  <si>
    <t>State Library Grant - $750</t>
  </si>
  <si>
    <t>Page 12 - Acct 4009 - Other Unrestricted Grants-In-Aid Received Directly from the Federal Government</t>
  </si>
  <si>
    <t>REAP Grant - $16,158</t>
  </si>
  <si>
    <t>AUDITCHECK Tab</t>
  </si>
  <si>
    <t>#15 - Contracts paid in current year</t>
  </si>
  <si>
    <t>No applicable contracts paid in FY20</t>
  </si>
  <si>
    <t>Did not budget On-Behalf Payments</t>
  </si>
  <si>
    <t>Russell Leigh &amp; Associates LLC</t>
  </si>
  <si>
    <t xml:space="preserve">  Milford Area Public SD 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</si>
</sst>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2003</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2051</v>
      </c>
      <c r="C5" s="26" t="s">
        <v>904</v>
      </c>
      <c r="D5" s="81"/>
      <c r="E5" s="81"/>
      <c r="H5" s="38"/>
      <c r="I5" s="2127" t="s">
        <v>675</v>
      </c>
      <c r="J5" s="2072"/>
      <c r="K5" s="2072"/>
      <c r="L5" s="2072"/>
      <c r="M5" s="2072"/>
      <c r="N5" s="2072"/>
      <c r="O5" s="2072"/>
      <c r="P5" s="2072"/>
      <c r="Q5" s="2072"/>
      <c r="R5" s="2072"/>
      <c r="S5" s="2072"/>
      <c r="AF5" s="1827"/>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32038124026</v>
      </c>
      <c r="B13" s="2089"/>
      <c r="C13" s="2089"/>
      <c r="D13" s="2089"/>
      <c r="E13" s="2089"/>
      <c r="F13" s="2089"/>
      <c r="G13" s="2089"/>
      <c r="H13" s="2090"/>
      <c r="I13" s="31"/>
      <c r="J13" s="30"/>
      <c r="K13" s="28"/>
      <c r="L13" s="30"/>
      <c r="M13" s="30"/>
      <c r="N13" s="30"/>
      <c r="O13" s="30"/>
      <c r="P13" s="30"/>
      <c r="Q13" s="30"/>
      <c r="R13" s="30"/>
      <c r="S13" s="30"/>
      <c r="T13" s="2093" t="s">
        <v>2052</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2060</v>
      </c>
      <c r="B15" s="2091"/>
      <c r="C15" s="2091"/>
      <c r="D15" s="2091"/>
      <c r="E15" s="2091"/>
      <c r="F15" s="2091"/>
      <c r="G15" s="2091"/>
      <c r="H15" s="2092"/>
      <c r="T15" s="2054" t="s">
        <v>2053</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2102</v>
      </c>
      <c r="B17" s="2116"/>
      <c r="C17" s="2116"/>
      <c r="D17" s="2116"/>
      <c r="E17" s="2116"/>
      <c r="F17" s="2116"/>
      <c r="G17" s="2116"/>
      <c r="H17" s="2117"/>
      <c r="T17" s="2103" t="s">
        <v>2054</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2061</v>
      </c>
      <c r="B19" s="2087"/>
      <c r="C19" s="2087"/>
      <c r="D19" s="2087"/>
      <c r="E19" s="2087"/>
      <c r="F19" s="2087"/>
      <c r="G19" s="2087"/>
      <c r="H19" s="2085"/>
      <c r="I19" s="30"/>
      <c r="J19" s="96"/>
      <c r="K19" s="40"/>
      <c r="L19" s="38"/>
      <c r="M19" s="109" t="s">
        <v>312</v>
      </c>
      <c r="P19" s="27"/>
      <c r="Q19" s="27"/>
      <c r="R19" s="27"/>
      <c r="S19" s="31"/>
      <c r="T19" s="2086" t="s">
        <v>2055</v>
      </c>
      <c r="U19" s="2084"/>
      <c r="V19" s="2084"/>
      <c r="W19" s="2085"/>
      <c r="X19" s="2101" t="s">
        <v>2056</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2062</v>
      </c>
      <c r="B21" s="2084"/>
      <c r="C21" s="2084"/>
      <c r="D21" s="2084"/>
      <c r="E21" s="2084"/>
      <c r="F21" s="2084"/>
      <c r="G21" s="2084"/>
      <c r="H21" s="2085"/>
      <c r="I21" s="2109" t="s">
        <v>673</v>
      </c>
      <c r="J21" s="2072"/>
      <c r="K21" s="2072"/>
      <c r="L21" s="2072"/>
      <c r="M21" s="2072"/>
      <c r="N21" s="2072"/>
      <c r="O21" s="2072"/>
      <c r="P21" s="2072"/>
      <c r="Q21" s="2072"/>
      <c r="R21" s="2072"/>
      <c r="S21" s="2073"/>
      <c r="T21" s="2051" t="s">
        <v>2057</v>
      </c>
      <c r="U21" s="2052"/>
      <c r="V21" s="2052"/>
      <c r="W21" s="2052"/>
      <c r="X21" s="2065" t="s">
        <v>2058</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v>65.018319000000005</v>
      </c>
      <c r="U23" s="2047"/>
      <c r="V23" s="2047"/>
      <c r="W23" s="2047"/>
      <c r="X23" s="2062">
        <v>44469</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2020-2021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60953</v>
      </c>
      <c r="B25" s="2084"/>
      <c r="C25" s="2084"/>
      <c r="D25" s="2084"/>
      <c r="E25" s="2084"/>
      <c r="F25" s="2084"/>
      <c r="G25" s="2084"/>
      <c r="H25" s="2085"/>
      <c r="I25" s="110"/>
      <c r="J25" s="2150"/>
      <c r="K25" s="2150"/>
      <c r="L25" s="2150"/>
      <c r="M25" s="2150"/>
      <c r="N25" s="2150"/>
      <c r="O25" s="2150"/>
      <c r="P25" s="2150"/>
      <c r="Q25" s="2150"/>
      <c r="R25" s="2150"/>
      <c r="S25" s="2151"/>
      <c r="T25" s="2043" t="s">
        <v>2059</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2063</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2064</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2065</v>
      </c>
      <c r="B42" s="2133"/>
      <c r="C42" s="2134"/>
      <c r="D42" s="2147" t="s">
        <v>2066</v>
      </c>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2811199</v>
      </c>
      <c r="C4" s="1722"/>
      <c r="D4" s="1723">
        <f>B4-C4</f>
        <v>2811199</v>
      </c>
      <c r="E4" s="1722">
        <v>2967363</v>
      </c>
      <c r="F4" s="1723">
        <f>E4-C4</f>
        <v>2967363</v>
      </c>
    </row>
    <row r="5" spans="1:8" ht="13.7" customHeight="1" x14ac:dyDescent="0.2">
      <c r="A5" s="579" t="s">
        <v>865</v>
      </c>
      <c r="B5" s="1724">
        <f>'Revenues 9-14'!D5</f>
        <v>660942</v>
      </c>
      <c r="C5" s="1664"/>
      <c r="D5" s="1725">
        <f t="shared" ref="D5:D18" si="0">B5-C5</f>
        <v>660942</v>
      </c>
      <c r="E5" s="1664">
        <v>697656</v>
      </c>
      <c r="F5" s="1725">
        <f>E5-C5</f>
        <v>697656</v>
      </c>
    </row>
    <row r="6" spans="1:8" ht="13.7" customHeight="1" x14ac:dyDescent="0.2">
      <c r="A6" s="579" t="s">
        <v>408</v>
      </c>
      <c r="B6" s="1724">
        <f>'Revenues 9-14'!E5</f>
        <v>1108155</v>
      </c>
      <c r="C6" s="1664"/>
      <c r="D6" s="1725">
        <f t="shared" si="0"/>
        <v>1108155</v>
      </c>
      <c r="E6" s="1664">
        <v>977862</v>
      </c>
      <c r="F6" s="1725">
        <f t="shared" ref="F6:F18" si="1">E6-C6</f>
        <v>977862</v>
      </c>
    </row>
    <row r="7" spans="1:8" ht="13.7" customHeight="1" x14ac:dyDescent="0.2">
      <c r="A7" s="579" t="s">
        <v>154</v>
      </c>
      <c r="B7" s="1724">
        <f>'Revenues 9-14'!F5</f>
        <v>211499</v>
      </c>
      <c r="C7" s="1664"/>
      <c r="D7" s="1725">
        <f t="shared" si="0"/>
        <v>211499</v>
      </c>
      <c r="E7" s="1664">
        <v>223250</v>
      </c>
      <c r="F7" s="1725">
        <f t="shared" si="1"/>
        <v>223250</v>
      </c>
    </row>
    <row r="8" spans="1:8" ht="13.7" customHeight="1" x14ac:dyDescent="0.2">
      <c r="A8" s="579" t="s">
        <v>1169</v>
      </c>
      <c r="B8" s="1724">
        <f>'Revenues 9-14'!G5</f>
        <v>85491</v>
      </c>
      <c r="C8" s="1664"/>
      <c r="D8" s="1725">
        <f t="shared" si="0"/>
        <v>85491</v>
      </c>
      <c r="E8" s="1664">
        <v>20009</v>
      </c>
      <c r="F8" s="1725">
        <f t="shared" si="1"/>
        <v>20009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44060</v>
      </c>
      <c r="C10" s="1664"/>
      <c r="D10" s="1725">
        <f t="shared" si="0"/>
        <v>44060</v>
      </c>
      <c r="E10" s="1664">
        <v>46510</v>
      </c>
      <c r="F10" s="1725">
        <f t="shared" si="1"/>
        <v>46510</v>
      </c>
    </row>
    <row r="11" spans="1:8" x14ac:dyDescent="0.2">
      <c r="A11" s="579" t="s">
        <v>406</v>
      </c>
      <c r="B11" s="1724">
        <f>'Revenues 9-14'!J5</f>
        <v>546432</v>
      </c>
      <c r="C11" s="1664"/>
      <c r="D11" s="1725">
        <f t="shared" si="0"/>
        <v>546432</v>
      </c>
      <c r="E11" s="1664">
        <v>475001</v>
      </c>
      <c r="F11" s="1725">
        <f t="shared" si="1"/>
        <v>475001</v>
      </c>
    </row>
    <row r="12" spans="1:8" ht="13.7" customHeight="1" x14ac:dyDescent="0.2">
      <c r="A12" s="579" t="s">
        <v>156</v>
      </c>
      <c r="B12" s="1724">
        <f>'Revenues 9-14'!K5</f>
        <v>44060</v>
      </c>
      <c r="C12" s="1664"/>
      <c r="D12" s="1725">
        <f t="shared" si="0"/>
        <v>44060</v>
      </c>
      <c r="E12" s="1664">
        <v>46510</v>
      </c>
      <c r="F12" s="1725">
        <f t="shared" si="1"/>
        <v>46510</v>
      </c>
    </row>
    <row r="13" spans="1:8" ht="13.7" customHeight="1" x14ac:dyDescent="0.2">
      <c r="A13" s="579" t="s">
        <v>930</v>
      </c>
      <c r="B13" s="1724">
        <f>SUM('Revenues 9-14'!C6:D6)</f>
        <v>44060</v>
      </c>
      <c r="C13" s="1664"/>
      <c r="D13" s="1725">
        <f t="shared" si="0"/>
        <v>44060</v>
      </c>
      <c r="E13" s="1664">
        <v>46510</v>
      </c>
      <c r="F13" s="1725">
        <f t="shared" si="1"/>
        <v>46510</v>
      </c>
    </row>
    <row r="14" spans="1:8" ht="13.7" customHeight="1" x14ac:dyDescent="0.2">
      <c r="A14" s="579" t="s">
        <v>407</v>
      </c>
      <c r="B14" s="1724">
        <f>SUM('Revenues 9-14'!C7:D7,'Revenues 9-14'!F7:H7)</f>
        <v>35253</v>
      </c>
      <c r="C14" s="1664"/>
      <c r="D14" s="1725">
        <f t="shared" si="0"/>
        <v>35253</v>
      </c>
      <c r="E14" s="1664">
        <v>37208</v>
      </c>
      <c r="F14" s="1725">
        <f t="shared" si="1"/>
        <v>37208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132203</v>
      </c>
      <c r="C16" s="1664"/>
      <c r="D16" s="1725">
        <f t="shared" si="0"/>
        <v>132203</v>
      </c>
      <c r="E16" s="1664">
        <v>105002</v>
      </c>
      <c r="F16" s="1725">
        <f t="shared" si="1"/>
        <v>105002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5723354</v>
      </c>
      <c r="C19" s="1726">
        <f>SUM(C4:C18)</f>
        <v>0</v>
      </c>
      <c r="D19" s="1726">
        <f>SUM(D4:D18)</f>
        <v>5723354</v>
      </c>
      <c r="E19" s="1726">
        <f>SUM(E4:E18)</f>
        <v>5642881</v>
      </c>
      <c r="F19" s="1726">
        <f>SUM(F4:F18)</f>
        <v>5642881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1779</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2006</v>
      </c>
      <c r="B24" s="2293"/>
      <c r="C24" s="2301"/>
      <c r="D24" s="2302"/>
      <c r="E24" s="2302"/>
      <c r="F24" s="2303"/>
    </row>
    <row r="25" spans="1:11" ht="13.5" thickBot="1" x14ac:dyDescent="0.25">
      <c r="A25" s="2307" t="s">
        <v>2007</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38718</v>
      </c>
      <c r="C31" s="1734">
        <v>520000</v>
      </c>
      <c r="D31" s="1735">
        <v>4</v>
      </c>
      <c r="E31" s="1734">
        <v>95000</v>
      </c>
      <c r="F31" s="1734"/>
      <c r="G31" s="1734"/>
      <c r="H31" s="1734">
        <v>45000</v>
      </c>
      <c r="I31" s="1736">
        <f>((E31+F31)-H31)+G31</f>
        <v>50000</v>
      </c>
      <c r="J31" s="1734">
        <v>17939</v>
      </c>
      <c r="K31" s="596"/>
    </row>
    <row r="32" spans="1:11" ht="12" customHeight="1" x14ac:dyDescent="0.2">
      <c r="A32" s="594" t="s">
        <v>2067</v>
      </c>
      <c r="B32" s="595">
        <v>38687</v>
      </c>
      <c r="C32" s="1734">
        <v>1579000</v>
      </c>
      <c r="D32" s="1735">
        <v>7</v>
      </c>
      <c r="E32" s="1734">
        <v>378380</v>
      </c>
      <c r="F32" s="1734"/>
      <c r="G32" s="1734"/>
      <c r="H32" s="1734">
        <v>92525</v>
      </c>
      <c r="I32" s="1736">
        <f>((E32+F32)-H32)+G32</f>
        <v>285855</v>
      </c>
      <c r="J32" s="1734">
        <v>285855</v>
      </c>
      <c r="K32" s="596"/>
    </row>
    <row r="33" spans="1:11" ht="12" customHeight="1" x14ac:dyDescent="0.2">
      <c r="A33" s="594" t="s">
        <v>2069</v>
      </c>
      <c r="B33" s="595">
        <v>42186</v>
      </c>
      <c r="C33" s="1734">
        <v>9155000</v>
      </c>
      <c r="D33" s="1735">
        <v>6</v>
      </c>
      <c r="E33" s="1734">
        <v>9155000</v>
      </c>
      <c r="F33" s="1734"/>
      <c r="G33" s="1734"/>
      <c r="H33" s="1734"/>
      <c r="I33" s="1736">
        <f t="shared" ref="I33:I48" si="1">((E33+F33)-H33)+G33</f>
        <v>9155000</v>
      </c>
      <c r="J33" s="1734">
        <v>9155000</v>
      </c>
      <c r="K33" s="596"/>
    </row>
    <row r="34" spans="1:11" ht="12" customHeight="1" x14ac:dyDescent="0.2">
      <c r="A34" s="594" t="s">
        <v>2070</v>
      </c>
      <c r="B34" s="595">
        <v>42643</v>
      </c>
      <c r="C34" s="1734">
        <v>7940000</v>
      </c>
      <c r="D34" s="1735">
        <v>6</v>
      </c>
      <c r="E34" s="1734">
        <v>7490000</v>
      </c>
      <c r="F34" s="1734"/>
      <c r="G34" s="1734"/>
      <c r="H34" s="1734">
        <v>240000</v>
      </c>
      <c r="I34" s="1736">
        <f t="shared" si="1"/>
        <v>7250000</v>
      </c>
      <c r="J34" s="1734">
        <v>7250000</v>
      </c>
      <c r="K34" s="597"/>
    </row>
    <row r="35" spans="1:11" ht="12" customHeight="1" x14ac:dyDescent="0.2">
      <c r="A35" s="594" t="s">
        <v>2071</v>
      </c>
      <c r="B35" s="595">
        <v>42906</v>
      </c>
      <c r="C35" s="1737">
        <v>500000</v>
      </c>
      <c r="D35" s="1735">
        <v>6</v>
      </c>
      <c r="E35" s="1737">
        <v>500000</v>
      </c>
      <c r="F35" s="1737"/>
      <c r="G35" s="1737"/>
      <c r="H35" s="1737"/>
      <c r="I35" s="1736">
        <f t="shared" si="1"/>
        <v>500000</v>
      </c>
      <c r="J35" s="1737">
        <v>500000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19694000</v>
      </c>
      <c r="D49" s="1742"/>
      <c r="E49" s="1736">
        <f t="shared" ref="E49:J49" si="2">SUM(E31:E48)</f>
        <v>17618380</v>
      </c>
      <c r="F49" s="1736">
        <f t="shared" si="2"/>
        <v>0</v>
      </c>
      <c r="G49" s="1736">
        <f t="shared" si="2"/>
        <v>0</v>
      </c>
      <c r="H49" s="1736">
        <f t="shared" si="2"/>
        <v>377525</v>
      </c>
      <c r="I49" s="1736">
        <f t="shared" si="2"/>
        <v>17240855</v>
      </c>
      <c r="J49" s="1736">
        <f t="shared" si="2"/>
        <v>17208794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1658</v>
      </c>
      <c r="B2" s="2325"/>
      <c r="C2" s="2325"/>
      <c r="D2" s="2325"/>
      <c r="E2" s="2326"/>
      <c r="F2" s="615" t="s">
        <v>898</v>
      </c>
      <c r="G2" s="616" t="s">
        <v>1655</v>
      </c>
      <c r="H2" s="616" t="s">
        <v>407</v>
      </c>
      <c r="I2" s="616" t="s">
        <v>1148</v>
      </c>
      <c r="J2" s="616" t="s">
        <v>1789</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366</v>
      </c>
      <c r="B4" s="2331"/>
      <c r="C4" s="2331"/>
      <c r="D4" s="2331"/>
      <c r="E4" s="2312"/>
      <c r="F4" s="620"/>
      <c r="G4" s="1746"/>
      <c r="H4" s="1747"/>
      <c r="I4" s="1746"/>
      <c r="J4" s="1748"/>
      <c r="K4" s="1748"/>
    </row>
    <row r="5" spans="1:11" x14ac:dyDescent="0.2">
      <c r="A5" s="2350" t="s">
        <v>1060</v>
      </c>
      <c r="B5" s="2321"/>
      <c r="C5" s="2321"/>
      <c r="D5" s="2321"/>
      <c r="E5" s="2351"/>
      <c r="F5" s="622" t="s">
        <v>843</v>
      </c>
      <c r="G5" s="1749"/>
      <c r="H5" s="1744">
        <v>35273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5428</v>
      </c>
    </row>
    <row r="10" spans="1:11" x14ac:dyDescent="0.2">
      <c r="A10" s="2350" t="s">
        <v>1790</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35273</v>
      </c>
      <c r="I12" s="1755">
        <f>SUM(I5:I11)</f>
        <v>0</v>
      </c>
      <c r="J12" s="1755">
        <f>SUM(J5:J11)</f>
        <v>0</v>
      </c>
      <c r="K12" s="1755">
        <f>SUM(K5:K11)</f>
        <v>5428</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v>35273</v>
      </c>
      <c r="I14" s="1749"/>
      <c r="J14" s="1751"/>
      <c r="K14" s="1745">
        <v>5428</v>
      </c>
    </row>
    <row r="15" spans="1:11" x14ac:dyDescent="0.2">
      <c r="A15" s="2321" t="s">
        <v>4</v>
      </c>
      <c r="B15" s="2321"/>
      <c r="C15" s="2321"/>
      <c r="D15" s="2321"/>
      <c r="E15" s="2351"/>
      <c r="F15" s="635" t="s">
        <v>850</v>
      </c>
      <c r="G15" s="1749"/>
      <c r="H15" s="1744"/>
      <c r="I15" s="1744"/>
      <c r="J15" s="1745"/>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1786</v>
      </c>
      <c r="B19" s="2358"/>
      <c r="C19" s="2358"/>
      <c r="D19" s="2358"/>
      <c r="E19" s="2359"/>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0</v>
      </c>
      <c r="K21" s="1761"/>
    </row>
    <row r="22" spans="1:15" ht="13.5" thickTop="1" x14ac:dyDescent="0.2">
      <c r="A22" s="2321" t="s">
        <v>1792</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35273</v>
      </c>
      <c r="I23" s="1755">
        <f>SUM(I14:I16,I21,I22)</f>
        <v>0</v>
      </c>
      <c r="J23" s="1755">
        <f>SUM(J14:J16,J21,J22)</f>
        <v>0</v>
      </c>
      <c r="K23" s="1755">
        <f>SUM(K14:K16,K21,K22)</f>
        <v>5428</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47992</v>
      </c>
      <c r="D5" s="1770"/>
      <c r="E5" s="1770"/>
      <c r="F5" s="1765">
        <f>(C5+D5)-E5</f>
        <v>47992</v>
      </c>
      <c r="G5" s="676"/>
      <c r="H5" s="680"/>
      <c r="I5" s="680"/>
      <c r="J5" s="680"/>
      <c r="K5" s="637"/>
      <c r="L5" s="1442">
        <f>F5-K5</f>
        <v>47992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20349587</v>
      </c>
      <c r="D8" s="1771"/>
      <c r="E8" s="1771"/>
      <c r="F8" s="1765">
        <f>(C8+D8)-E8</f>
        <v>20349587</v>
      </c>
      <c r="G8" s="681">
        <v>50</v>
      </c>
      <c r="H8" s="619">
        <v>3052324</v>
      </c>
      <c r="I8" s="619">
        <v>406992</v>
      </c>
      <c r="J8" s="619"/>
      <c r="K8" s="1442">
        <f>(H8+I8)-J8</f>
        <v>3459316</v>
      </c>
      <c r="L8" s="1442">
        <f>F8-K8</f>
        <v>16890271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4795736</v>
      </c>
      <c r="D10" s="1772">
        <v>793265</v>
      </c>
      <c r="E10" s="1772"/>
      <c r="F10" s="1773">
        <f>(C10+D10)-E10</f>
        <v>5589001</v>
      </c>
      <c r="G10" s="681">
        <v>20</v>
      </c>
      <c r="H10" s="683">
        <v>2892176</v>
      </c>
      <c r="I10" s="683">
        <v>271511</v>
      </c>
      <c r="J10" s="683"/>
      <c r="K10" s="1442">
        <f>(H10+I10)-J10</f>
        <v>3163687</v>
      </c>
      <c r="L10" s="1442">
        <f>F10-K10</f>
        <v>2425314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2591808</v>
      </c>
      <c r="D12" s="1771">
        <v>117628</v>
      </c>
      <c r="E12" s="1771"/>
      <c r="F12" s="1765">
        <f>(C12+D12)-E12</f>
        <v>2709436</v>
      </c>
      <c r="G12" s="681">
        <v>10</v>
      </c>
      <c r="H12" s="619">
        <v>2032412</v>
      </c>
      <c r="I12" s="619">
        <v>124093</v>
      </c>
      <c r="J12" s="619"/>
      <c r="K12" s="1442">
        <f>(H12+I12)-J12</f>
        <v>2156505</v>
      </c>
      <c r="L12" s="1442">
        <f>F12-K12</f>
        <v>552931</v>
      </c>
    </row>
    <row r="13" spans="1:14" ht="14.25" thickTop="1" thickBot="1" x14ac:dyDescent="0.25">
      <c r="A13" s="684" t="s">
        <v>1112</v>
      </c>
      <c r="B13" s="679">
        <v>252</v>
      </c>
      <c r="C13" s="1771">
        <v>789522</v>
      </c>
      <c r="D13" s="1771">
        <v>53893</v>
      </c>
      <c r="E13" s="1771"/>
      <c r="F13" s="1765">
        <f>(C13+D13)-E13</f>
        <v>843415</v>
      </c>
      <c r="G13" s="681">
        <v>5</v>
      </c>
      <c r="H13" s="619">
        <v>476229</v>
      </c>
      <c r="I13" s="619">
        <v>115090</v>
      </c>
      <c r="J13" s="619"/>
      <c r="K13" s="1442">
        <f>(H13+I13)-J13</f>
        <v>591319</v>
      </c>
      <c r="L13" s="1442">
        <f>F13-K13</f>
        <v>252096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28574645</v>
      </c>
      <c r="D16" s="1765">
        <f>SUM(D3,D5:D6,D8:D10,D12:D15)</f>
        <v>964786</v>
      </c>
      <c r="E16" s="1765">
        <f>SUM(E3,E5:E6,E8:E10,E12:E15)</f>
        <v>0</v>
      </c>
      <c r="F16" s="1765">
        <f>SUM(F3,F5:F6,F8:F10,F12:F15)</f>
        <v>29539431</v>
      </c>
      <c r="G16" s="681"/>
      <c r="H16" s="1435">
        <f>SUM(H3,H6,H8:H10,H12:H14,)</f>
        <v>8453141</v>
      </c>
      <c r="I16" s="1435">
        <f>SUM(I3,I6,I8:I10,I12:I14,)</f>
        <v>917686</v>
      </c>
      <c r="J16" s="1435">
        <f>SUM(J3,J6,J8:J10,J12:J14,)</f>
        <v>0</v>
      </c>
      <c r="K16" s="1435">
        <f>(H16+I16)-J16</f>
        <v>9370827</v>
      </c>
      <c r="L16" s="1435">
        <f>F16-K16</f>
        <v>20168604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917686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5364949</v>
      </c>
      <c r="G8" s="701"/>
    </row>
    <row r="9" spans="1:9" x14ac:dyDescent="0.2">
      <c r="A9" s="705" t="s">
        <v>457</v>
      </c>
      <c r="B9" s="706" t="s">
        <v>1848</v>
      </c>
      <c r="C9" s="707"/>
      <c r="D9" s="705" t="s">
        <v>498</v>
      </c>
      <c r="E9" s="704"/>
      <c r="F9" s="1775">
        <f>'Expenditures 15-22'!K151</f>
        <v>1647494</v>
      </c>
      <c r="G9" s="708"/>
    </row>
    <row r="10" spans="1:9" x14ac:dyDescent="0.2">
      <c r="A10" s="705" t="s">
        <v>496</v>
      </c>
      <c r="B10" s="706" t="s">
        <v>1849</v>
      </c>
      <c r="C10" s="707"/>
      <c r="D10" s="705" t="s">
        <v>498</v>
      </c>
      <c r="E10" s="704"/>
      <c r="F10" s="1775">
        <f>'Expenditures 15-22'!K174</f>
        <v>1099931</v>
      </c>
      <c r="G10" s="708"/>
    </row>
    <row r="11" spans="1:9" x14ac:dyDescent="0.2">
      <c r="A11" s="705" t="s">
        <v>458</v>
      </c>
      <c r="B11" s="706" t="s">
        <v>1850</v>
      </c>
      <c r="C11" s="707"/>
      <c r="D11" s="705" t="s">
        <v>498</v>
      </c>
      <c r="E11" s="704"/>
      <c r="F11" s="1775">
        <f>'Expenditures 15-22'!K210</f>
        <v>534253</v>
      </c>
      <c r="G11" s="708"/>
    </row>
    <row r="12" spans="1:9" x14ac:dyDescent="0.2">
      <c r="A12" s="705" t="s">
        <v>459</v>
      </c>
      <c r="B12" s="706" t="s">
        <v>1851</v>
      </c>
      <c r="C12" s="707"/>
      <c r="D12" s="705" t="s">
        <v>498</v>
      </c>
      <c r="E12" s="704"/>
      <c r="F12" s="1775">
        <f>'Expenditures 15-22'!K295</f>
        <v>168236</v>
      </c>
      <c r="G12" s="708"/>
    </row>
    <row r="13" spans="1:9" x14ac:dyDescent="0.2">
      <c r="A13" s="705" t="s">
        <v>106</v>
      </c>
      <c r="B13" s="706" t="s">
        <v>1852</v>
      </c>
      <c r="C13" s="707"/>
      <c r="D13" s="705" t="s">
        <v>498</v>
      </c>
      <c r="E13" s="704"/>
      <c r="F13" s="1775">
        <f>'Expenditures 15-22'!K342</f>
        <v>543144</v>
      </c>
      <c r="G13" s="709"/>
    </row>
    <row r="14" spans="1:9" ht="12" customHeight="1" thickBot="1" x14ac:dyDescent="0.25">
      <c r="A14" s="1443"/>
      <c r="B14" s="1444"/>
      <c r="C14" s="1445"/>
      <c r="D14" s="1446" t="s">
        <v>498</v>
      </c>
      <c r="E14" s="1447" t="s">
        <v>952</v>
      </c>
      <c r="F14" s="1776">
        <f>SUM(F8:F13)</f>
        <v>9358007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121410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25366</v>
      </c>
      <c r="G52" s="701"/>
    </row>
    <row r="53" spans="1:7" x14ac:dyDescent="0.2">
      <c r="A53" s="705" t="s">
        <v>456</v>
      </c>
      <c r="B53" s="705" t="s">
        <v>1458</v>
      </c>
      <c r="C53" s="724">
        <f>'Expenditures 15-22'!B102</f>
        <v>4000</v>
      </c>
      <c r="D53" s="723" t="str">
        <f>'Expenditures 15-22'!A102</f>
        <v>Total Payments to Other Govt Units</v>
      </c>
      <c r="E53" s="704"/>
      <c r="F53" s="1782">
        <f>'Expenditures 15-22'!K102</f>
        <v>866661</v>
      </c>
      <c r="G53" s="701"/>
    </row>
    <row r="54" spans="1:7" x14ac:dyDescent="0.2">
      <c r="A54" s="705" t="s">
        <v>456</v>
      </c>
      <c r="B54" s="705" t="s">
        <v>1459</v>
      </c>
      <c r="C54" s="724" t="s">
        <v>975</v>
      </c>
      <c r="D54" s="720" t="s">
        <v>1086</v>
      </c>
      <c r="E54" s="704"/>
      <c r="F54" s="1782">
        <f>'Expenditures 15-22'!G114</f>
        <v>117628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793265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377525</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115963</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53893</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3016</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2474727</v>
      </c>
      <c r="G77" s="701"/>
    </row>
    <row r="78" spans="1:9" s="728" customFormat="1" ht="12" customHeight="1" thickTop="1" thickBot="1" x14ac:dyDescent="0.25">
      <c r="A78" s="1450"/>
      <c r="B78" s="1448"/>
      <c r="C78" s="1445"/>
      <c r="D78" s="1449" t="s">
        <v>2012</v>
      </c>
      <c r="E78" s="1447"/>
      <c r="F78" s="1788">
        <f>(F14-F77)</f>
        <v>6883280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507.6</v>
      </c>
      <c r="G79" s="733"/>
      <c r="H79" s="705"/>
      <c r="I79" s="705"/>
    </row>
    <row r="80" spans="1:9" s="728" customFormat="1" ht="12" customHeight="1" thickBot="1" x14ac:dyDescent="0.25">
      <c r="A80" s="1452"/>
      <c r="B80" s="1448"/>
      <c r="C80" s="1445"/>
      <c r="D80" s="1449" t="s">
        <v>2013</v>
      </c>
      <c r="E80" s="1447" t="s">
        <v>952</v>
      </c>
      <c r="F80" s="1790">
        <f>IF(F79&gt;0,F78/F79," Complete Line 79")</f>
        <v>13560.441292356185</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41416</v>
      </c>
      <c r="G95" s="745"/>
    </row>
    <row r="96" spans="1:7" x14ac:dyDescent="0.2">
      <c r="A96" s="741" t="s">
        <v>139</v>
      </c>
      <c r="B96" s="741" t="s">
        <v>174</v>
      </c>
      <c r="C96" s="743">
        <v>1700</v>
      </c>
      <c r="D96" s="751" t="str">
        <f>'Revenues 9-14'!A82</f>
        <v>Total District/School Activity Income</v>
      </c>
      <c r="E96" s="739"/>
      <c r="F96" s="1793">
        <f>SUM('Revenues 9-14'!C82,'Revenues 9-14'!D82)</f>
        <v>32754</v>
      </c>
      <c r="G96" s="745"/>
    </row>
    <row r="97" spans="1:7" x14ac:dyDescent="0.2">
      <c r="A97" s="741" t="s">
        <v>456</v>
      </c>
      <c r="B97" s="741" t="s">
        <v>175</v>
      </c>
      <c r="C97" s="743">
        <f>'Revenues 9-14'!B84</f>
        <v>1811</v>
      </c>
      <c r="D97" s="744" t="str">
        <f>'Revenues 9-14'!A84</f>
        <v>Rentals - Regular Textbooks</v>
      </c>
      <c r="E97" s="739"/>
      <c r="F97" s="1793">
        <f>'Revenues 9-14'!C84</f>
        <v>27179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8150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51202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46534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7140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1715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5428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255579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47954</v>
      </c>
      <c r="G121" s="763"/>
    </row>
    <row r="122" spans="1:7" x14ac:dyDescent="0.2">
      <c r="A122" s="760" t="s">
        <v>497</v>
      </c>
      <c r="B122" s="760" t="s">
        <v>1926</v>
      </c>
      <c r="C122" s="761">
        <f>'Revenues 9-14'!B168</f>
        <v>3999</v>
      </c>
      <c r="D122" s="762" t="s">
        <v>540</v>
      </c>
      <c r="E122" s="764"/>
      <c r="F122" s="1793">
        <f>SUM('Revenues 9-14'!C168:G168,'Revenues 9-14'!J168)</f>
        <v>22736</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118825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311655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143500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7681</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36787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91714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1257949</v>
      </c>
    </row>
    <row r="176" spans="1:7" ht="12" customHeight="1" x14ac:dyDescent="0.2">
      <c r="A176" s="1443"/>
      <c r="B176" s="1453"/>
      <c r="C176" s="1454"/>
      <c r="D176" s="1455" t="s">
        <v>2014</v>
      </c>
      <c r="E176" s="1456"/>
      <c r="F176" s="1793">
        <f>'PCTC-OEPP 27-28'!F78-F175</f>
        <v>5625331</v>
      </c>
    </row>
    <row r="177" spans="1:9" ht="12" customHeight="1" x14ac:dyDescent="0.2">
      <c r="A177" s="1443"/>
      <c r="B177" s="1453"/>
      <c r="C177" s="1454"/>
      <c r="D177" s="1455" t="s">
        <v>1794</v>
      </c>
      <c r="E177" s="1456"/>
      <c r="F177" s="1793">
        <f>'Cap Outlay Deprec 26'!I18</f>
        <v>917686</v>
      </c>
    </row>
    <row r="178" spans="1:9" ht="12" customHeight="1" x14ac:dyDescent="0.2">
      <c r="A178" s="1443"/>
      <c r="B178" s="1453"/>
      <c r="C178" s="1454"/>
      <c r="D178" s="1455" t="s">
        <v>2015</v>
      </c>
      <c r="E178" s="1456"/>
      <c r="F178" s="1793">
        <f>F176+F177</f>
        <v>6543017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507.6</v>
      </c>
      <c r="G179" s="763"/>
      <c r="I179" s="701"/>
    </row>
    <row r="180" spans="1:9" ht="12" customHeight="1" thickBot="1" x14ac:dyDescent="0.25">
      <c r="A180" s="1443"/>
      <c r="B180" s="1457"/>
      <c r="C180" s="1454"/>
      <c r="D180" s="1455" t="s">
        <v>2017</v>
      </c>
      <c r="E180" s="1456" t="s">
        <v>1528</v>
      </c>
      <c r="F180" s="1798">
        <f>F178/F179</f>
        <v>12890.104412923562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2072</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3381000</v>
      </c>
      <c r="F19" s="1802"/>
      <c r="G19" s="1804">
        <f>'Expenditures 15-22'!K33-SUM('Expenditures 15-22'!G33,'Expenditures 15-22'!I33)+'Expenditures 15-22'!D229</f>
        <v>3381000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136566</v>
      </c>
      <c r="F21" s="1805"/>
      <c r="G21" s="1808">
        <f>'Expenditures 15-22'!K42-SUM('Expenditures 15-22'!G42,'Expenditures 15-22'!I42)+'Expenditures 15-22'!K120-SUM('Expenditures 15-22'!G120,'Expenditures 15-22'!I120)+'Expenditures 15-22'!K180-SUM('Expenditures 15-22'!G180,'Expenditures 15-22'!I180)+'Expenditures 15-22'!D238</f>
        <v>136566</v>
      </c>
      <c r="H21" s="817"/>
      <c r="I21" s="157"/>
    </row>
    <row r="22" spans="1:9" s="542" customFormat="1" ht="12" customHeight="1" x14ac:dyDescent="0.2">
      <c r="A22" s="824" t="s">
        <v>560</v>
      </c>
      <c r="B22" s="825"/>
      <c r="C22" s="823">
        <v>2200</v>
      </c>
      <c r="D22" s="1805"/>
      <c r="E22" s="1807">
        <f>'Expenditures 15-22'!K47-SUM('Expenditures 15-22'!G47,'Expenditures 15-22'!I47)+'Expenditures 15-22'!D243</f>
        <v>36291</v>
      </c>
      <c r="F22" s="1805"/>
      <c r="G22" s="1808">
        <f>'Expenditures 15-22'!K47-SUM('Expenditures 15-22'!G47,'Expenditures 15-22'!I47)+'Expenditures 15-22'!D243</f>
        <v>36291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805490</v>
      </c>
      <c r="F23" s="1805"/>
      <c r="G23" s="1807">
        <f>'Expenditures 15-22'!K53-SUM('Expenditures 15-22'!G53,'Expenditures 15-22'!I53)+'Expenditures 15-22'!D257+'Expenditures 15-22'!K330-SUM('Expenditures 15-22'!G330,'Expenditures 15-22'!I330)</f>
        <v>805490</v>
      </c>
      <c r="H23" s="817"/>
      <c r="I23" s="157"/>
    </row>
    <row r="24" spans="1:9" s="542" customFormat="1" ht="12" customHeight="1" x14ac:dyDescent="0.2">
      <c r="A24" s="824" t="s">
        <v>562</v>
      </c>
      <c r="B24" s="825"/>
      <c r="C24" s="823">
        <v>2400</v>
      </c>
      <c r="D24" s="1805"/>
      <c r="E24" s="1807">
        <f>'Expenditures 15-22'!K57-SUM('Expenditures 15-22'!G57,'Expenditures 15-22'!I57)+'Expenditures 15-22'!D261</f>
        <v>323324</v>
      </c>
      <c r="F24" s="1805"/>
      <c r="G24" s="1808">
        <f>'Expenditures 15-22'!K57-SUM('Expenditures 15-22'!G57,'Expenditures 15-22'!I57)+'Expenditures 15-22'!D261</f>
        <v>323324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43253</v>
      </c>
      <c r="E27" s="1807">
        <f>E8</f>
        <v>0</v>
      </c>
      <c r="F27" s="1807">
        <f>'Expenditures 15-22'!K60-SUM('Expenditures 15-22'!G60,'Expenditures 15-22'!I60)+'Expenditures 15-22'!D264-E8</f>
        <v>43253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888351</v>
      </c>
      <c r="F28" s="1809">
        <f>'Expenditures 15-22'!K61-SUM('Expenditures 15-22'!G61,'Expenditures 15-22'!I61)+'Expenditures 15-22'!K124-SUM('Expenditures 15-22'!G124,'Expenditures 15-22'!I124)+'Expenditures 15-22'!D266-E9</f>
        <v>888351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379131</v>
      </c>
      <c r="F29" s="1805"/>
      <c r="G29" s="1808">
        <f>'Expenditures 15-22'!K62-SUM('Expenditures 15-22'!G62,'Expenditures 15-22'!I62)+'Expenditures 15-22'!K125-SUM('Expenditures 15-22'!G125,'Expenditures 15-22'!I125)+'Expenditures 15-22'!K182-SUM('Expenditures 15-22'!G182,'Expenditures 15-22'!I182)+'Expenditures 15-22'!D267</f>
        <v>379131</v>
      </c>
      <c r="H29" s="815"/>
    </row>
    <row r="30" spans="1:9" ht="12" customHeight="1" x14ac:dyDescent="0.2">
      <c r="A30" s="824" t="s">
        <v>100</v>
      </c>
      <c r="B30" s="827"/>
      <c r="C30" s="823">
        <v>2560</v>
      </c>
      <c r="D30" s="1805"/>
      <c r="E30" s="1807">
        <f>'Expenditures 15-22'!K63-SUM('Expenditures 15-22'!G63,'Expenditures 15-22'!I63)+'Expenditures 15-22'!D268-E10</f>
        <v>168449</v>
      </c>
      <c r="F30" s="1805"/>
      <c r="G30" s="1807">
        <f>'Expenditures 15-22'!K63-SUM('Expenditures 15-22'!G63,'Expenditures 15-22'!I63)+'Expenditures 15-22'!D268-E10</f>
        <v>168449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4065</v>
      </c>
      <c r="F35" s="1805"/>
      <c r="G35" s="1807">
        <f>'Expenditures 15-22'!K69-SUM('Expenditures 15-22'!G69,'Expenditures 15-22'!I69)+'Expenditures 15-22'!D274</f>
        <v>4065</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119380</v>
      </c>
      <c r="E37" s="1807">
        <f>E14</f>
        <v>0</v>
      </c>
      <c r="F37" s="1807">
        <f>'Expenditures 15-22'!K71-SUM('Expenditures 15-22'!G71,'Expenditures 15-22'!I71)+'Expenditures 15-22'!D276-E14</f>
        <v>119380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25366</v>
      </c>
      <c r="F39" s="1805"/>
      <c r="G39" s="1807">
        <f>'Expenditures 15-22'!K75-SUM('Expenditures 15-22'!G75,'Expenditures 15-22'!I75)+'Expenditures 15-22'!K130-SUM('Expenditures 15-22'!G130,'Expenditures 15-22'!I130)+'Expenditures 15-22'!K185-SUM('Expenditures 15-22'!G185,'Expenditures 15-22'!I185)+'Expenditures 15-22'!D280</f>
        <v>25366</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162633</v>
      </c>
      <c r="E41" s="1809">
        <f>SUM(E19:E40)</f>
        <v>6148033</v>
      </c>
      <c r="F41" s="1809">
        <f>SUM(F19:F39)</f>
        <v>1050984</v>
      </c>
      <c r="G41" s="1809">
        <f>SUM(G19:G40)</f>
        <v>5259682</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162633</v>
      </c>
      <c r="F43" s="1458" t="s">
        <v>470</v>
      </c>
      <c r="G43" s="1810">
        <f>F41</f>
        <v>1050984</v>
      </c>
    </row>
    <row r="44" spans="1:7" ht="12" customHeight="1" x14ac:dyDescent="0.2">
      <c r="A44" s="817"/>
      <c r="B44" s="157"/>
      <c r="C44" s="831"/>
      <c r="D44" s="1458" t="s">
        <v>471</v>
      </c>
      <c r="E44" s="1810">
        <f>E41</f>
        <v>6148033</v>
      </c>
      <c r="F44" s="1458" t="s">
        <v>471</v>
      </c>
      <c r="G44" s="1810">
        <f>G41</f>
        <v>5259682</v>
      </c>
    </row>
    <row r="45" spans="1:7" ht="12" customHeight="1" x14ac:dyDescent="0.2">
      <c r="A45" s="817"/>
      <c r="B45" s="157"/>
      <c r="C45" s="157"/>
      <c r="D45" s="1459" t="s">
        <v>999</v>
      </c>
      <c r="E45" s="1811">
        <f>(E43/E44)</f>
        <v>2.6452850854899446E-2</v>
      </c>
      <c r="F45" s="1459" t="s">
        <v>999</v>
      </c>
      <c r="G45" s="1811">
        <f>(G43/G44)</f>
        <v>0.19981892441406154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1363</v>
      </c>
      <c r="B1" s="2402"/>
      <c r="C1" s="2402"/>
      <c r="D1" s="2402"/>
      <c r="E1" s="2402"/>
      <c r="F1" s="240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1529</v>
      </c>
      <c r="B5" s="2404"/>
      <c r="C5" s="2405"/>
      <c r="D5" s="2405"/>
      <c r="E5" s="2405"/>
      <c r="F5" s="2405"/>
      <c r="G5" s="1507"/>
      <c r="L5" s="1507"/>
      <c r="M5" s="1855"/>
      <c r="N5" s="1855"/>
      <c r="O5" s="1855"/>
    </row>
    <row r="6" spans="1:15" ht="12" customHeight="1" x14ac:dyDescent="0.25">
      <c r="A6" s="1480"/>
      <c r="B6" s="1481"/>
      <c r="C6" s="2406" t="str">
        <f>COVER!A17</f>
        <v xml:space="preserve">  Milford Area Public SD 124</v>
      </c>
      <c r="D6" s="2406"/>
      <c r="E6" s="2406"/>
      <c r="F6" s="1482"/>
      <c r="G6" s="1507"/>
      <c r="L6" s="1507"/>
      <c r="M6" s="1855"/>
      <c r="N6" s="1855"/>
      <c r="O6" s="1855"/>
    </row>
    <row r="7" spans="1:15" ht="11.25" customHeight="1" thickBot="1" x14ac:dyDescent="0.3">
      <c r="A7" s="1480"/>
      <c r="B7" s="1481"/>
      <c r="C7" s="2407">
        <f>COVER!A13</f>
        <v>32038124026</v>
      </c>
      <c r="D7" s="2407"/>
      <c r="E7" s="240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2" t="str">
        <f>COVER!A17</f>
        <v xml:space="preserve">  Milford Area Public SD 124</v>
      </c>
      <c r="K6" s="2422"/>
      <c r="L6" s="2423"/>
      <c r="M6" s="838"/>
      <c r="N6" s="1999"/>
    </row>
    <row r="7" spans="1:14" x14ac:dyDescent="0.2">
      <c r="A7" s="2424" t="s">
        <v>864</v>
      </c>
      <c r="B7" s="2425"/>
      <c r="C7" s="2425"/>
      <c r="D7" s="2425"/>
      <c r="E7" s="2426"/>
      <c r="F7" s="839"/>
      <c r="G7" s="838"/>
      <c r="H7" s="838"/>
      <c r="I7" s="1925" t="s">
        <v>369</v>
      </c>
      <c r="J7" s="2427">
        <f>COVER!A13</f>
        <v>32038124026</v>
      </c>
      <c r="K7" s="2427"/>
      <c r="L7" s="2427"/>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8" t="s">
        <v>478</v>
      </c>
      <c r="B11" s="2429"/>
      <c r="C11" s="243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165717</v>
      </c>
      <c r="F12" s="1943"/>
      <c r="G12" s="1969">
        <f>G68</f>
        <v>385767</v>
      </c>
      <c r="H12" s="1945">
        <f t="shared" ref="H12:H18" si="0">SUM(E12:G12)</f>
        <v>551484</v>
      </c>
      <c r="I12" s="1944">
        <v>172150</v>
      </c>
      <c r="J12" s="1943"/>
      <c r="K12" s="1944">
        <v>330000</v>
      </c>
      <c r="L12" s="1945">
        <f t="shared" ref="L12:L18" si="1">SUM(I12:K12)</f>
        <v>502150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1" t="s">
        <v>7</v>
      </c>
      <c r="C18" s="2432"/>
      <c r="D18" s="243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165717</v>
      </c>
      <c r="F19" s="1951">
        <f t="shared" si="2"/>
        <v>0</v>
      </c>
      <c r="G19" s="1951">
        <f t="shared" ref="G19" si="3">SUM(G12:G17)-G18</f>
        <v>385767</v>
      </c>
      <c r="H19" s="1951">
        <f t="shared" si="2"/>
        <v>551484</v>
      </c>
      <c r="I19" s="1951">
        <f t="shared" si="2"/>
        <v>172150</v>
      </c>
      <c r="J19" s="1951">
        <f t="shared" si="2"/>
        <v>0</v>
      </c>
      <c r="K19" s="1951">
        <f t="shared" si="2"/>
        <v>330000</v>
      </c>
      <c r="L19" s="1951">
        <f t="shared" si="2"/>
        <v>502150</v>
      </c>
      <c r="M19" s="838"/>
      <c r="N19" s="1999"/>
    </row>
    <row r="20" spans="1:14" ht="13.5" thickTop="1" x14ac:dyDescent="0.2">
      <c r="A20" s="2004">
        <v>9</v>
      </c>
      <c r="B20" s="2434" t="s">
        <v>2021</v>
      </c>
      <c r="C20" s="2434"/>
      <c r="D20" s="2435"/>
      <c r="E20" s="1952"/>
      <c r="F20" s="1952"/>
      <c r="G20" s="1952"/>
      <c r="H20" s="1952"/>
      <c r="I20" s="1952"/>
      <c r="J20" s="1952"/>
      <c r="K20" s="1952"/>
      <c r="L20" s="1953">
        <f>IF(AND(H19&gt;0,L19&gt;0),(((L19-H19)/H19)),"Enter Budget Data")</f>
        <v>-8.9456811077021275E-2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6"/>
      <c r="D27" s="2436"/>
      <c r="E27" s="843"/>
      <c r="F27" s="2437"/>
      <c r="G27" s="2437"/>
      <c r="H27" s="2437"/>
      <c r="I27" s="838"/>
      <c r="J27" s="838"/>
      <c r="K27" s="838"/>
      <c r="L27" s="838"/>
      <c r="M27" s="838"/>
      <c r="N27" s="1999"/>
    </row>
    <row r="28" spans="1:14" x14ac:dyDescent="0.2">
      <c r="A28" s="1998"/>
      <c r="B28" s="2008"/>
      <c r="C28" s="1958" t="s">
        <v>1026</v>
      </c>
      <c r="D28" s="844"/>
      <c r="E28" s="1959"/>
      <c r="F28" s="2438" t="s">
        <v>1492</v>
      </c>
      <c r="G28" s="2438"/>
      <c r="H28" s="2438"/>
      <c r="I28" s="838"/>
      <c r="J28" s="838"/>
      <c r="K28" s="838"/>
      <c r="L28" s="838"/>
      <c r="M28" s="838"/>
      <c r="N28" s="1999"/>
    </row>
    <row r="29" spans="1:14" x14ac:dyDescent="0.2">
      <c r="A29" s="1998"/>
      <c r="B29" s="2008"/>
      <c r="C29" s="2439"/>
      <c r="D29" s="2439"/>
      <c r="E29" s="845"/>
      <c r="F29" s="2439"/>
      <c r="G29" s="2439"/>
      <c r="H29" s="2439"/>
      <c r="I29" s="838"/>
      <c r="J29" s="838"/>
      <c r="K29" s="838"/>
      <c r="L29" s="838"/>
      <c r="M29" s="838"/>
      <c r="N29" s="1999"/>
    </row>
    <row r="30" spans="1:14" x14ac:dyDescent="0.2">
      <c r="A30" s="1998"/>
      <c r="B30" s="2008"/>
      <c r="C30" s="1961" t="s">
        <v>1544</v>
      </c>
      <c r="D30" s="838"/>
      <c r="E30" s="1960"/>
      <c r="F30" s="2421" t="s">
        <v>1493</v>
      </c>
      <c r="G30" s="2421"/>
      <c r="H30" s="242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2" t="s">
        <v>2024</v>
      </c>
      <c r="D34" s="2443"/>
      <c r="E34" s="2443"/>
      <c r="F34" s="2443"/>
      <c r="G34" s="2443"/>
      <c r="H34" s="2443"/>
      <c r="I34" s="2443"/>
      <c r="J34" s="2443"/>
      <c r="K34" s="2017"/>
      <c r="L34" s="838"/>
      <c r="M34" s="838"/>
      <c r="N34" s="1999"/>
    </row>
    <row r="35" spans="1:14" x14ac:dyDescent="0.2">
      <c r="A35" s="1998"/>
      <c r="B35" s="838"/>
      <c r="C35" s="2443"/>
      <c r="D35" s="2443"/>
      <c r="E35" s="2443"/>
      <c r="F35" s="2443"/>
      <c r="G35" s="2443"/>
      <c r="H35" s="2443"/>
      <c r="I35" s="2443"/>
      <c r="J35" s="2443"/>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2" t="s">
        <v>2025</v>
      </c>
      <c r="D37" s="2443"/>
      <c r="E37" s="2443"/>
      <c r="F37" s="2443"/>
      <c r="G37" s="2443"/>
      <c r="H37" s="2443"/>
      <c r="I37" s="2443"/>
      <c r="J37" s="2443"/>
      <c r="K37" s="2017"/>
      <c r="L37" s="2019"/>
      <c r="M37" s="838"/>
      <c r="N37" s="1999"/>
    </row>
    <row r="38" spans="1:14" x14ac:dyDescent="0.2">
      <c r="A38" s="1998"/>
      <c r="B38" s="838"/>
      <c r="C38" s="2443"/>
      <c r="D38" s="2443"/>
      <c r="E38" s="2443"/>
      <c r="F38" s="2443"/>
      <c r="G38" s="2443"/>
      <c r="H38" s="2443"/>
      <c r="I38" s="2443"/>
      <c r="J38" s="2443"/>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4" t="s">
        <v>2026</v>
      </c>
      <c r="D40" s="2445"/>
      <c r="E40" s="2445"/>
      <c r="F40" s="2445"/>
      <c r="G40" s="2445"/>
      <c r="H40" s="2445"/>
      <c r="I40" s="2445"/>
      <c r="J40" s="2445"/>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6" t="s">
        <v>2027</v>
      </c>
      <c r="B43" s="2447"/>
      <c r="C43" s="2447"/>
      <c r="D43" s="2447"/>
      <c r="E43" s="2447"/>
      <c r="F43" s="2447"/>
      <c r="G43" s="2447"/>
      <c r="H43" s="2447"/>
      <c r="I43" s="2447"/>
      <c r="J43" s="2447"/>
      <c r="K43" s="2447"/>
      <c r="L43" s="2447"/>
      <c r="M43" s="2447"/>
      <c r="N43" s="2448"/>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9" t="s">
        <v>2029</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2" t="str">
        <f>J6</f>
        <v xml:space="preserve">  Milford Area Public SD 124</v>
      </c>
      <c r="M52" s="2422"/>
      <c r="N52" s="2452"/>
    </row>
    <row r="53" spans="1:14" x14ac:dyDescent="0.2">
      <c r="A53" s="1983"/>
      <c r="B53" s="1984"/>
      <c r="C53" s="1984"/>
      <c r="D53" s="1984"/>
      <c r="E53" s="1984"/>
      <c r="F53" s="1984"/>
      <c r="G53" s="1984"/>
      <c r="H53" s="1984"/>
      <c r="I53" s="1984"/>
      <c r="J53" s="1984"/>
      <c r="K53" s="1925" t="s">
        <v>369</v>
      </c>
      <c r="L53" s="2427">
        <f>J7</f>
        <v>32038124026</v>
      </c>
      <c r="M53" s="2427"/>
      <c r="N53" s="245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4"/>
      <c r="B55" s="2455"/>
      <c r="C55" s="2455"/>
      <c r="D55" s="1971"/>
      <c r="E55" s="1971"/>
      <c r="F55" s="1971"/>
      <c r="G55" s="2456" t="s">
        <v>2030</v>
      </c>
      <c r="H55" s="2456"/>
      <c r="I55" s="2456"/>
      <c r="J55" s="2456"/>
      <c r="K55" s="2456"/>
      <c r="L55" s="2456"/>
      <c r="M55" s="2456"/>
      <c r="N55" s="2457"/>
    </row>
    <row r="56" spans="1:14" ht="63.75" x14ac:dyDescent="0.2">
      <c r="A56" s="2458" t="s">
        <v>2031</v>
      </c>
      <c r="B56" s="2459"/>
      <c r="C56" s="246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1" t="s">
        <v>296</v>
      </c>
      <c r="B57" s="2462"/>
      <c r="C57" s="246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0" t="s">
        <v>2041</v>
      </c>
      <c r="B58" s="2441"/>
      <c r="C58" s="2441"/>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63" t="s">
        <v>297</v>
      </c>
      <c r="B59" s="2464"/>
      <c r="C59" s="2464"/>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3" t="s">
        <v>236</v>
      </c>
      <c r="B60" s="2464"/>
      <c r="C60" s="2464"/>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63" t="s">
        <v>697</v>
      </c>
      <c r="B61" s="2464"/>
      <c r="C61" s="2464"/>
      <c r="D61" s="1968">
        <v>2365</v>
      </c>
      <c r="E61" s="1978">
        <f>'Expenditures 15-22'!K323</f>
        <v>0</v>
      </c>
      <c r="F61" s="1973"/>
      <c r="G61" s="2032"/>
      <c r="H61" s="2033"/>
      <c r="I61" s="2033"/>
      <c r="J61" s="2033"/>
      <c r="K61" s="2033"/>
      <c r="L61" s="2033"/>
      <c r="M61" s="2033"/>
      <c r="N61" s="1976">
        <f t="shared" si="4"/>
        <v>0</v>
      </c>
    </row>
    <row r="62" spans="1:14" ht="24" customHeight="1" x14ac:dyDescent="0.2">
      <c r="A62" s="2463" t="s">
        <v>237</v>
      </c>
      <c r="B62" s="2464"/>
      <c r="C62" s="2464"/>
      <c r="D62" s="1968">
        <v>2366</v>
      </c>
      <c r="E62" s="1978">
        <f>'Expenditures 15-22'!K324</f>
        <v>0</v>
      </c>
      <c r="F62" s="1973"/>
      <c r="G62" s="2032"/>
      <c r="H62" s="2033"/>
      <c r="I62" s="2033"/>
      <c r="J62" s="2033"/>
      <c r="K62" s="2033"/>
      <c r="L62" s="2033"/>
      <c r="M62" s="2033"/>
      <c r="N62" s="1976">
        <f t="shared" si="4"/>
        <v>0</v>
      </c>
    </row>
    <row r="63" spans="1:14" ht="24" customHeight="1" x14ac:dyDescent="0.2">
      <c r="A63" s="2440" t="s">
        <v>1022</v>
      </c>
      <c r="B63" s="2441"/>
      <c r="C63" s="2441"/>
      <c r="D63" s="1968">
        <v>2367</v>
      </c>
      <c r="E63" s="1978">
        <f>'Expenditures 15-22'!K325</f>
        <v>543144</v>
      </c>
      <c r="F63" s="1973"/>
      <c r="G63" s="2032">
        <v>385767</v>
      </c>
      <c r="H63" s="2033"/>
      <c r="I63" s="2033"/>
      <c r="J63" s="2033"/>
      <c r="K63" s="2033"/>
      <c r="L63" s="2033"/>
      <c r="M63" s="2033">
        <v>157377</v>
      </c>
      <c r="N63" s="1976">
        <f t="shared" si="4"/>
        <v>543144</v>
      </c>
    </row>
    <row r="64" spans="1:14" ht="24" customHeight="1" x14ac:dyDescent="0.2">
      <c r="A64" s="2463" t="s">
        <v>1023</v>
      </c>
      <c r="B64" s="2464"/>
      <c r="C64" s="2464"/>
      <c r="D64" s="1968">
        <v>2368</v>
      </c>
      <c r="E64" s="1978">
        <f>'Expenditures 15-22'!K326</f>
        <v>0</v>
      </c>
      <c r="F64" s="1973"/>
      <c r="G64" s="2032"/>
      <c r="H64" s="2033"/>
      <c r="I64" s="2033"/>
      <c r="J64" s="2033"/>
      <c r="K64" s="2033"/>
      <c r="L64" s="2033"/>
      <c r="M64" s="2033"/>
      <c r="N64" s="1976">
        <f t="shared" si="4"/>
        <v>0</v>
      </c>
    </row>
    <row r="65" spans="1:14" ht="24" customHeight="1" x14ac:dyDescent="0.2">
      <c r="A65" s="2463" t="s">
        <v>965</v>
      </c>
      <c r="B65" s="2464"/>
      <c r="C65" s="2464"/>
      <c r="D65" s="1968">
        <v>2369</v>
      </c>
      <c r="E65" s="1978">
        <f>'Expenditures 15-22'!K327</f>
        <v>0</v>
      </c>
      <c r="F65" s="1973"/>
      <c r="G65" s="2032"/>
      <c r="H65" s="2033"/>
      <c r="I65" s="2033"/>
      <c r="J65" s="2033"/>
      <c r="K65" s="2033"/>
      <c r="L65" s="2033"/>
      <c r="M65" s="2033"/>
      <c r="N65" s="1976">
        <f t="shared" si="4"/>
        <v>0</v>
      </c>
    </row>
    <row r="66" spans="1:14" ht="24" customHeight="1" x14ac:dyDescent="0.2">
      <c r="A66" s="2463" t="s">
        <v>469</v>
      </c>
      <c r="B66" s="2464"/>
      <c r="C66" s="2464"/>
      <c r="D66" s="1968">
        <v>2371</v>
      </c>
      <c r="E66" s="1978">
        <f>'Expenditures 15-22'!K328</f>
        <v>0</v>
      </c>
      <c r="F66" s="1973"/>
      <c r="G66" s="2032"/>
      <c r="H66" s="2033"/>
      <c r="I66" s="2033"/>
      <c r="J66" s="2033"/>
      <c r="K66" s="2033"/>
      <c r="L66" s="2033"/>
      <c r="M66" s="2033"/>
      <c r="N66" s="1976">
        <f t="shared" si="4"/>
        <v>0</v>
      </c>
    </row>
    <row r="67" spans="1:14" ht="24.75" customHeight="1" x14ac:dyDescent="0.2">
      <c r="A67" s="2465" t="s">
        <v>2042</v>
      </c>
      <c r="B67" s="2466"/>
      <c r="C67" s="2466"/>
      <c r="D67" s="1970">
        <v>2372</v>
      </c>
      <c r="E67" s="1979">
        <f>'Expenditures 15-22'!K329</f>
        <v>0</v>
      </c>
      <c r="F67" s="1973"/>
      <c r="G67" s="2034"/>
      <c r="H67" s="2035"/>
      <c r="I67" s="2035"/>
      <c r="J67" s="2035"/>
      <c r="K67" s="2035"/>
      <c r="L67" s="2035"/>
      <c r="M67" s="2035"/>
      <c r="N67" s="1976">
        <f t="shared" si="4"/>
        <v>0</v>
      </c>
    </row>
    <row r="68" spans="1:14" x14ac:dyDescent="0.2">
      <c r="A68" s="2467" t="s">
        <v>1151</v>
      </c>
      <c r="B68" s="2468"/>
      <c r="C68" s="2468"/>
      <c r="D68" s="1971"/>
      <c r="E68" s="1975">
        <f>SUM(E57:E67)</f>
        <v>543144</v>
      </c>
      <c r="F68" s="1974"/>
      <c r="G68" s="1975">
        <f t="shared" ref="G68:N68" si="5">SUM(G57:G67)</f>
        <v>385767</v>
      </c>
      <c r="H68" s="1975">
        <f t="shared" si="5"/>
        <v>0</v>
      </c>
      <c r="I68" s="1975">
        <f t="shared" si="5"/>
        <v>0</v>
      </c>
      <c r="J68" s="1975">
        <f t="shared" si="5"/>
        <v>0</v>
      </c>
      <c r="K68" s="1975">
        <f t="shared" si="5"/>
        <v>0</v>
      </c>
      <c r="L68" s="1975">
        <f t="shared" si="5"/>
        <v>0</v>
      </c>
      <c r="M68" s="1975">
        <f t="shared" si="5"/>
        <v>157377</v>
      </c>
      <c r="N68" s="1989">
        <f t="shared" si="5"/>
        <v>543144</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8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2074</v>
      </c>
    </row>
    <row r="6" spans="1:2" x14ac:dyDescent="0.2">
      <c r="A6" s="847"/>
      <c r="B6" s="2037" t="s">
        <v>2075</v>
      </c>
    </row>
    <row r="7" spans="1:2" x14ac:dyDescent="0.2">
      <c r="A7" s="847"/>
      <c r="B7" s="307" t="s">
        <v>2076</v>
      </c>
    </row>
    <row r="8" spans="1:2" x14ac:dyDescent="0.2">
      <c r="A8" s="847"/>
      <c r="B8" s="307" t="s">
        <v>2077</v>
      </c>
    </row>
    <row r="9" spans="1:2" x14ac:dyDescent="0.2">
      <c r="A9" s="847"/>
      <c r="B9" s="307" t="s">
        <v>2078</v>
      </c>
    </row>
    <row r="10" spans="1:2" x14ac:dyDescent="0.2">
      <c r="A10" s="847"/>
      <c r="B10" s="307" t="s">
        <v>2100</v>
      </c>
    </row>
    <row r="11" spans="1:2" x14ac:dyDescent="0.2">
      <c r="A11" s="847"/>
    </row>
    <row r="12" spans="1:2" x14ac:dyDescent="0.2">
      <c r="A12" s="847">
        <v>2</v>
      </c>
      <c r="B12" s="2038" t="s">
        <v>2079</v>
      </c>
    </row>
    <row r="13" spans="1:2" x14ac:dyDescent="0.2">
      <c r="A13" s="847"/>
      <c r="B13" s="2037" t="s">
        <v>2080</v>
      </c>
    </row>
    <row r="14" spans="1:2" x14ac:dyDescent="0.2">
      <c r="A14" s="847"/>
      <c r="B14" s="307" t="s">
        <v>2081</v>
      </c>
    </row>
    <row r="15" spans="1:2" x14ac:dyDescent="0.2">
      <c r="A15" s="847"/>
    </row>
    <row r="16" spans="1:2" x14ac:dyDescent="0.2">
      <c r="A16" s="847">
        <v>3</v>
      </c>
      <c r="B16" s="2038" t="s">
        <v>2082</v>
      </c>
    </row>
    <row r="17" spans="1:2" x14ac:dyDescent="0.2">
      <c r="A17" s="847"/>
      <c r="B17" s="2037" t="s">
        <v>2080</v>
      </c>
    </row>
    <row r="18" spans="1:2" x14ac:dyDescent="0.2">
      <c r="A18" s="847"/>
      <c r="B18" s="307" t="s">
        <v>2083</v>
      </c>
    </row>
    <row r="19" spans="1:2" x14ac:dyDescent="0.2">
      <c r="A19" s="847"/>
    </row>
    <row r="20" spans="1:2" x14ac:dyDescent="0.2">
      <c r="A20" s="847"/>
      <c r="B20" s="2037" t="s">
        <v>2084</v>
      </c>
    </row>
    <row r="21" spans="1:2" x14ac:dyDescent="0.2">
      <c r="A21" s="847"/>
      <c r="B21" s="307" t="s">
        <v>2085</v>
      </c>
    </row>
    <row r="22" spans="1:2" x14ac:dyDescent="0.2">
      <c r="A22" s="847"/>
    </row>
    <row r="23" spans="1:2" x14ac:dyDescent="0.2">
      <c r="A23" s="847"/>
      <c r="B23" s="2037" t="s">
        <v>2086</v>
      </c>
    </row>
    <row r="24" spans="1:2" x14ac:dyDescent="0.2">
      <c r="A24" s="847"/>
      <c r="B24" s="307" t="s">
        <v>2087</v>
      </c>
    </row>
    <row r="25" spans="1:2" x14ac:dyDescent="0.2">
      <c r="A25" s="847"/>
    </row>
    <row r="26" spans="1:2" x14ac:dyDescent="0.2">
      <c r="A26" s="847"/>
      <c r="B26" s="2037" t="s">
        <v>2088</v>
      </c>
    </row>
    <row r="27" spans="1:2" x14ac:dyDescent="0.2">
      <c r="A27" s="847"/>
      <c r="B27" s="307" t="s">
        <v>2089</v>
      </c>
    </row>
    <row r="28" spans="1:2" x14ac:dyDescent="0.2">
      <c r="A28" s="847"/>
    </row>
    <row r="29" spans="1:2" x14ac:dyDescent="0.2">
      <c r="A29" s="847">
        <v>4</v>
      </c>
      <c r="B29" s="2038" t="s">
        <v>2090</v>
      </c>
    </row>
    <row r="30" spans="1:2" x14ac:dyDescent="0.2">
      <c r="A30" s="848"/>
      <c r="B30" s="2037" t="s">
        <v>2080</v>
      </c>
    </row>
    <row r="31" spans="1:2" x14ac:dyDescent="0.2">
      <c r="A31" s="848"/>
      <c r="B31" s="307" t="s">
        <v>2091</v>
      </c>
    </row>
    <row r="32" spans="1:2" x14ac:dyDescent="0.2">
      <c r="A32" s="848"/>
    </row>
    <row r="33" spans="1:2" x14ac:dyDescent="0.2">
      <c r="A33" s="847">
        <v>5</v>
      </c>
      <c r="B33" s="2038" t="s">
        <v>2092</v>
      </c>
    </row>
    <row r="34" spans="1:2" x14ac:dyDescent="0.2">
      <c r="A34" s="848"/>
      <c r="B34" s="2037" t="s">
        <v>2080</v>
      </c>
    </row>
    <row r="35" spans="1:2" x14ac:dyDescent="0.2">
      <c r="A35" s="848"/>
      <c r="B35" s="307" t="s">
        <v>2093</v>
      </c>
    </row>
    <row r="36" spans="1:2" x14ac:dyDescent="0.2">
      <c r="A36" s="848"/>
      <c r="B36" s="307" t="s">
        <v>2094</v>
      </c>
    </row>
    <row r="37" spans="1:2" x14ac:dyDescent="0.2">
      <c r="A37" s="848"/>
    </row>
    <row r="38" spans="1:2" x14ac:dyDescent="0.2">
      <c r="A38" s="847">
        <v>6</v>
      </c>
      <c r="B38" s="2038" t="s">
        <v>2095</v>
      </c>
    </row>
    <row r="39" spans="1:2" x14ac:dyDescent="0.2">
      <c r="A39" s="848"/>
      <c r="B39" s="2037" t="s">
        <v>2080</v>
      </c>
    </row>
    <row r="40" spans="1:2" x14ac:dyDescent="0.2">
      <c r="A40" s="848"/>
      <c r="B40" s="307" t="s">
        <v>2096</v>
      </c>
    </row>
    <row r="41" spans="1:2" x14ac:dyDescent="0.2">
      <c r="A41" s="848"/>
    </row>
    <row r="42" spans="1:2" x14ac:dyDescent="0.2">
      <c r="A42" s="847">
        <v>7</v>
      </c>
      <c r="B42" s="2038" t="s">
        <v>2097</v>
      </c>
    </row>
    <row r="43" spans="1:2" x14ac:dyDescent="0.2">
      <c r="A43" s="848"/>
      <c r="B43" s="2037" t="s">
        <v>2098</v>
      </c>
    </row>
    <row r="44" spans="1:2" x14ac:dyDescent="0.2">
      <c r="A44" s="848"/>
      <c r="B44" s="307" t="s">
        <v>2099</v>
      </c>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1" x14ac:dyDescent="0.2">
      <c r="A65" s="848"/>
    </row>
    <row r="66" spans="1:1" x14ac:dyDescent="0.2">
      <c r="A66" s="848"/>
    </row>
    <row r="67" spans="1:1" x14ac:dyDescent="0.2">
      <c r="A67" s="848"/>
    </row>
    <row r="68" spans="1:1" x14ac:dyDescent="0.2">
      <c r="A68" s="848"/>
    </row>
    <row r="69" spans="1:1" x14ac:dyDescent="0.2">
      <c r="A69" s="848"/>
    </row>
    <row r="70" spans="1:1" x14ac:dyDescent="0.2">
      <c r="A70" s="848"/>
    </row>
    <row r="71" spans="1:1" x14ac:dyDescent="0.2">
      <c r="A71" s="848"/>
    </row>
    <row r="72" spans="1:1" x14ac:dyDescent="0.2">
      <c r="A72" s="848"/>
    </row>
    <row r="73" spans="1:1" x14ac:dyDescent="0.2">
      <c r="A73" s="848"/>
    </row>
    <row r="74" spans="1:1" x14ac:dyDescent="0.2">
      <c r="A74" s="848"/>
    </row>
    <row r="75" spans="1:1" x14ac:dyDescent="0.2">
      <c r="A75" s="848"/>
    </row>
    <row r="76" spans="1:1" x14ac:dyDescent="0.2">
      <c r="A76" s="848"/>
    </row>
    <row r="77" spans="1:1" x14ac:dyDescent="0.2">
      <c r="A77" s="848"/>
    </row>
    <row r="78" spans="1:1" x14ac:dyDescent="0.2">
      <c r="A78" s="848"/>
    </row>
    <row r="79" spans="1:1" x14ac:dyDescent="0.2">
      <c r="A79" s="848"/>
    </row>
    <row r="80" spans="1:1" x14ac:dyDescent="0.2">
      <c r="A80" s="848"/>
    </row>
    <row r="81" spans="1:2" x14ac:dyDescent="0.2">
      <c r="A81" s="848"/>
    </row>
    <row r="82" spans="1:2" x14ac:dyDescent="0.2">
      <c r="A82" s="848"/>
    </row>
    <row r="83" spans="1:2" x14ac:dyDescent="0.2">
      <c r="A83" s="848"/>
    </row>
    <row r="84" spans="1:2" x14ac:dyDescent="0.2">
      <c r="A84" s="848"/>
    </row>
    <row r="85" spans="1:2" x14ac:dyDescent="0.2">
      <c r="A85" s="848"/>
      <c r="B85" s="253" t="str">
        <f>COVER!A17</f>
        <v xml:space="preserve">  Milford Area Public SD 124</v>
      </c>
    </row>
    <row r="86" spans="1:2" x14ac:dyDescent="0.2">
      <c r="B86" s="849">
        <f>COVER!A13</f>
        <v>32038124026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5835886</v>
      </c>
      <c r="C8" s="1813">
        <f>'Acct Summary 7-8'!D8</f>
        <v>747554</v>
      </c>
      <c r="D8" s="1813">
        <f>'Acct Summary 7-8'!F8</f>
        <v>476808</v>
      </c>
      <c r="E8" s="1813">
        <f>'Acct Summary 7-8'!I8</f>
        <v>77934</v>
      </c>
      <c r="F8" s="1813">
        <f>SUM(B8:E8)</f>
        <v>7138182</v>
      </c>
    </row>
    <row r="9" spans="1:8" s="858" customFormat="1" ht="14.25" customHeight="1" thickBot="1" x14ac:dyDescent="0.25">
      <c r="A9" s="857" t="s">
        <v>1353</v>
      </c>
      <c r="B9" s="1814">
        <f>'Acct Summary 7-8'!C17</f>
        <v>5364949</v>
      </c>
      <c r="C9" s="1814">
        <f>'Acct Summary 7-8'!D17</f>
        <v>1647494</v>
      </c>
      <c r="D9" s="1814">
        <f>'Acct Summary 7-8'!F17</f>
        <v>534253</v>
      </c>
      <c r="E9" s="1813"/>
      <c r="F9" s="1813">
        <f>SUM(B9:E9)</f>
        <v>7546696</v>
      </c>
    </row>
    <row r="10" spans="1:8" s="858" customFormat="1" ht="14.25" thickTop="1" thickBot="1" x14ac:dyDescent="0.25">
      <c r="A10" s="859" t="s">
        <v>1354</v>
      </c>
      <c r="B10" s="1815">
        <f>(B8-B9)</f>
        <v>470937</v>
      </c>
      <c r="C10" s="1815">
        <f>(C8-C9)</f>
        <v>-899940</v>
      </c>
      <c r="D10" s="1815">
        <f>(D8-D9)</f>
        <v>-57445</v>
      </c>
      <c r="E10" s="1814">
        <f>(E8-E9)</f>
        <v>77934</v>
      </c>
      <c r="F10" s="1816">
        <f>SUM(F8-F9)</f>
        <v>-408514</v>
      </c>
    </row>
    <row r="11" spans="1:8" s="858" customFormat="1" ht="14.25" thickTop="1" thickBot="1" x14ac:dyDescent="0.25">
      <c r="A11" s="860" t="s">
        <v>1903</v>
      </c>
      <c r="B11" s="1817">
        <f>'Acct Summary 7-8'!C81</f>
        <v>4000256</v>
      </c>
      <c r="C11" s="1817">
        <f>'Acct Summary 7-8'!D81</f>
        <v>258407</v>
      </c>
      <c r="D11" s="1817">
        <f>'Acct Summary 7-8'!F81</f>
        <v>372289</v>
      </c>
      <c r="E11" s="1817">
        <f>'Acct Summary 7-8'!I81</f>
        <v>1575797</v>
      </c>
      <c r="F11" s="1818">
        <f>SUM(B11:E11)</f>
        <v>6206749</v>
      </c>
    </row>
    <row r="12" spans="1:8" ht="16.5" customHeight="1" thickTop="1" x14ac:dyDescent="0.2">
      <c r="A12" s="861"/>
      <c r="B12" s="862"/>
      <c r="C12" s="2474" t="str">
        <f>IF(AND(F10&lt;0,F11&gt;=0,ABS(F10*3)&gt;ABS(F11)),A16,IF(AND(F10&lt;0,F11&gt;0,ABS(F10*3)&lt;=ABS(F11)),A17,IF(AND(F10&lt;0,F11&lt;0),A16,IF(F11=0,A19,A18))))</f>
        <v>Unbalanced -  however, a deficit reduction plan is not required at this time.</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32038124026</v>
      </c>
      <c r="E2" s="1542">
        <v>2020</v>
      </c>
      <c r="F2" s="1542">
        <v>1</v>
      </c>
      <c r="G2" s="1899">
        <v>101000300</v>
      </c>
    </row>
    <row r="3" spans="1:7" ht="15" x14ac:dyDescent="0.25">
      <c r="A3" t="s">
        <v>950</v>
      </c>
      <c r="B3" s="135" t="str">
        <f>COVER!A15</f>
        <v>IROQUOIS</v>
      </c>
      <c r="E3" s="1830" t="s">
        <v>1971</v>
      </c>
      <c r="F3" s="1830" t="s">
        <v>1970</v>
      </c>
      <c r="G3" s="1899">
        <v>101000400</v>
      </c>
    </row>
    <row r="4" spans="1:7" ht="15" x14ac:dyDescent="0.25">
      <c r="A4" t="s">
        <v>1000</v>
      </c>
      <c r="B4" s="135" t="str">
        <f>COVER!A17</f>
        <v xml:space="preserve">  Milford Area Public SD 124</v>
      </c>
      <c r="E4" s="1828">
        <v>44119</v>
      </c>
      <c r="F4" s="1829">
        <v>44151</v>
      </c>
      <c r="G4" s="1899">
        <v>101000600</v>
      </c>
    </row>
    <row r="5" spans="1:7" ht="15" x14ac:dyDescent="0.25">
      <c r="A5" t="s">
        <v>699</v>
      </c>
      <c r="B5" s="135" t="str">
        <f>COVER!A38</f>
        <v>Dr. Michele Lindenmeyer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2521034</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4003815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3559</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3559</v>
      </c>
      <c r="C91" s="2" t="s">
        <v>569</v>
      </c>
      <c r="D91" s="2" t="str">
        <f t="shared" si="0"/>
        <v>Error?</v>
      </c>
      <c r="G91" s="1899">
        <v>102640400</v>
      </c>
    </row>
    <row r="92" spans="1:7" ht="15" x14ac:dyDescent="0.25">
      <c r="A92" s="5">
        <v>31</v>
      </c>
      <c r="B92" s="1832">
        <f>'Assets-Liab 5-6'!C39</f>
        <v>4000256</v>
      </c>
      <c r="D92" s="2" t="str">
        <f t="shared" si="0"/>
        <v>Error?</v>
      </c>
      <c r="G92" s="1899">
        <v>102640600</v>
      </c>
    </row>
    <row r="93" spans="1:7" ht="15" x14ac:dyDescent="0.25">
      <c r="A93" s="5">
        <v>32</v>
      </c>
      <c r="B93" s="1832">
        <f>'Assets-Liab 5-6'!C41</f>
        <v>4003815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130000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258407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258407</v>
      </c>
      <c r="D123" s="2" t="str">
        <f t="shared" si="0"/>
        <v>Error?</v>
      </c>
      <c r="G123" s="1899">
        <v>203000400</v>
      </c>
    </row>
    <row r="124" spans="1:7" ht="15" x14ac:dyDescent="0.25">
      <c r="A124" s="5">
        <v>63</v>
      </c>
      <c r="B124" s="1832">
        <f>'Assets-Liab 5-6'!D41</f>
        <v>258407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32061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32061</v>
      </c>
      <c r="D140" s="2" t="str">
        <f t="shared" si="1"/>
        <v>Error?</v>
      </c>
    </row>
    <row r="141" spans="1:7" x14ac:dyDescent="0.2">
      <c r="A141" s="5">
        <v>80</v>
      </c>
      <c r="B141" s="1832">
        <f>'Assets-Liab 5-6'!E41</f>
        <v>32061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135140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372289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372289</v>
      </c>
      <c r="D170" s="2" t="str">
        <f t="shared" si="1"/>
        <v>Error?</v>
      </c>
    </row>
    <row r="171" spans="1:4" x14ac:dyDescent="0.2">
      <c r="A171" s="5">
        <v>110</v>
      </c>
      <c r="B171" s="1832">
        <f>'Assets-Liab 5-6'!F41</f>
        <v>372289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277679</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447115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383485</v>
      </c>
      <c r="D189" s="2" t="str">
        <f t="shared" si="1"/>
        <v>Error?</v>
      </c>
    </row>
    <row r="190" spans="1:4" x14ac:dyDescent="0.2">
      <c r="A190" s="5">
        <v>129</v>
      </c>
      <c r="B190" s="1832">
        <f>'Assets-Liab 5-6'!G41</f>
        <v>447115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47992</v>
      </c>
      <c r="D273" s="2" t="str">
        <f t="shared" si="3"/>
        <v>Error?</v>
      </c>
    </row>
    <row r="274" spans="1:4" x14ac:dyDescent="0.2">
      <c r="A274" s="5">
        <v>213</v>
      </c>
      <c r="B274" s="1832">
        <f>'Assets-Liab 5-6'!M17</f>
        <v>20349587</v>
      </c>
      <c r="D274" s="2" t="str">
        <f t="shared" si="3"/>
        <v>Error?</v>
      </c>
    </row>
    <row r="275" spans="1:4" x14ac:dyDescent="0.2">
      <c r="A275" s="5">
        <v>214</v>
      </c>
      <c r="B275" s="1832">
        <f>'Assets-Liab 5-6'!M18</f>
        <v>5589001</v>
      </c>
      <c r="D275" s="2" t="str">
        <f t="shared" si="3"/>
        <v>Error?</v>
      </c>
    </row>
    <row r="276" spans="1:4" x14ac:dyDescent="0.2">
      <c r="A276" s="5">
        <v>215</v>
      </c>
      <c r="B276" s="1832">
        <f>'Assets-Liab 5-6'!M19</f>
        <v>3552851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29539431</v>
      </c>
      <c r="C279" s="2" t="s">
        <v>569</v>
      </c>
      <c r="D279" s="2" t="str">
        <f t="shared" si="3"/>
        <v>Error?</v>
      </c>
    </row>
    <row r="280" spans="1:4" x14ac:dyDescent="0.2">
      <c r="A280" s="5">
        <v>219</v>
      </c>
      <c r="B280" s="1832">
        <f>'Assets-Liab 5-6'!M40</f>
        <v>29539431</v>
      </c>
      <c r="D280" s="2" t="str">
        <f t="shared" si="3"/>
        <v>Error?</v>
      </c>
    </row>
    <row r="281" spans="1:4" x14ac:dyDescent="0.2">
      <c r="A281" s="5">
        <v>220</v>
      </c>
      <c r="B281" s="1832">
        <f>'Assets-Liab 5-6'!M41</f>
        <v>29539431</v>
      </c>
      <c r="C281" s="2" t="s">
        <v>569</v>
      </c>
      <c r="D281" s="2" t="str">
        <f t="shared" si="3"/>
        <v>Error?</v>
      </c>
    </row>
    <row r="282" spans="1:4" x14ac:dyDescent="0.2">
      <c r="A282" s="5">
        <v>221</v>
      </c>
      <c r="B282" s="1832">
        <f>'Assets-Liab 5-6'!N21</f>
        <v>32061</v>
      </c>
      <c r="D282" s="2" t="str">
        <f t="shared" si="3"/>
        <v>Error?</v>
      </c>
    </row>
    <row r="283" spans="1:4" x14ac:dyDescent="0.2">
      <c r="A283" s="5">
        <v>222</v>
      </c>
      <c r="B283" s="1832">
        <f>'Assets-Liab 5-6'!N22</f>
        <v>17208794</v>
      </c>
      <c r="D283" s="2" t="str">
        <f t="shared" si="3"/>
        <v>Error?</v>
      </c>
    </row>
    <row r="284" spans="1:4" x14ac:dyDescent="0.2">
      <c r="A284" s="5">
        <v>223</v>
      </c>
      <c r="B284" s="1832">
        <f>'Assets-Liab 5-6'!N23</f>
        <v>17240855</v>
      </c>
      <c r="C284" s="2" t="s">
        <v>569</v>
      </c>
      <c r="D284" s="2" t="str">
        <f t="shared" si="3"/>
        <v>Error?</v>
      </c>
    </row>
    <row r="285" spans="1:4" x14ac:dyDescent="0.2">
      <c r="A285" s="5">
        <v>224</v>
      </c>
      <c r="B285" s="1832">
        <f>'Assets-Liab 5-6'!N36</f>
        <v>17240855</v>
      </c>
      <c r="D285" s="2" t="str">
        <f t="shared" si="3"/>
        <v>Error?</v>
      </c>
    </row>
    <row r="286" spans="1:4" x14ac:dyDescent="0.2">
      <c r="A286" s="10">
        <v>225</v>
      </c>
      <c r="B286" s="1832"/>
      <c r="D286" s="2" t="str">
        <f t="shared" si="3"/>
        <v>OK</v>
      </c>
    </row>
    <row r="287" spans="1:4" x14ac:dyDescent="0.2">
      <c r="A287" s="5">
        <v>226</v>
      </c>
      <c r="B287" s="1832">
        <f>'Assets-Liab 5-6'!N37</f>
        <v>17240855</v>
      </c>
      <c r="C287" s="2" t="s">
        <v>569</v>
      </c>
      <c r="D287" s="2" t="str">
        <f t="shared" si="3"/>
        <v>Error?</v>
      </c>
    </row>
    <row r="288" spans="1:4" x14ac:dyDescent="0.2">
      <c r="A288" s="5">
        <v>227</v>
      </c>
      <c r="B288" s="1832">
        <f>'Assets-Liab 5-6'!N41</f>
        <v>17240855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1910033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180254</v>
      </c>
      <c r="D717" s="2" t="str">
        <f t="shared" si="10"/>
        <v>Error?</v>
      </c>
    </row>
    <row r="718" spans="1:4" x14ac:dyDescent="0.2">
      <c r="A718" s="5">
        <v>657</v>
      </c>
      <c r="B718" s="1832">
        <f>'Expenditures 15-22'!C14</f>
        <v>180253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2475521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83276</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83276</v>
      </c>
      <c r="C727" s="2" t="s">
        <v>569</v>
      </c>
      <c r="D727" s="2" t="str">
        <f t="shared" si="10"/>
        <v>Error?</v>
      </c>
    </row>
    <row r="728" spans="1:4" x14ac:dyDescent="0.2">
      <c r="A728" s="5">
        <v>667</v>
      </c>
      <c r="B728" s="1832">
        <f>'Expenditures 15-22'!C44</f>
        <v>1828</v>
      </c>
      <c r="D728" s="2" t="str">
        <f t="shared" si="10"/>
        <v>Error?</v>
      </c>
    </row>
    <row r="729" spans="1:4" x14ac:dyDescent="0.2">
      <c r="A729" s="5">
        <v>668</v>
      </c>
      <c r="B729" s="1832">
        <f>'Expenditures 15-22'!C45</f>
        <v>18662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20490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133189</v>
      </c>
      <c r="D733" s="2" t="str">
        <f t="shared" si="10"/>
        <v>Error?</v>
      </c>
    </row>
    <row r="734" spans="1:4" x14ac:dyDescent="0.2">
      <c r="A734" s="5">
        <v>673</v>
      </c>
      <c r="B734" s="1832">
        <f>'Expenditures 15-22'!C53</f>
        <v>133189</v>
      </c>
      <c r="C734" s="2" t="s">
        <v>569</v>
      </c>
      <c r="D734" s="2" t="str">
        <f t="shared" si="10"/>
        <v>Error?</v>
      </c>
    </row>
    <row r="735" spans="1:4" x14ac:dyDescent="0.2">
      <c r="A735" s="5">
        <v>674</v>
      </c>
      <c r="B735" s="1832">
        <f>'Expenditures 15-22'!C55</f>
        <v>247959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247959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28187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55155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83342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55351</v>
      </c>
      <c r="D751" s="2" t="str">
        <f t="shared" si="10"/>
        <v>Error?</v>
      </c>
    </row>
    <row r="752" spans="1:4" x14ac:dyDescent="0.2">
      <c r="A752" s="10">
        <v>691</v>
      </c>
      <c r="B752" s="1832"/>
      <c r="D752" s="2" t="str">
        <f t="shared" si="10"/>
        <v>OK</v>
      </c>
    </row>
    <row r="753" spans="1:4" x14ac:dyDescent="0.2">
      <c r="A753" s="5">
        <v>692</v>
      </c>
      <c r="B753" s="1832">
        <f>'Expenditures 15-22'!C72</f>
        <v>55351</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623607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3099128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387174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39170</v>
      </c>
      <c r="D775" s="2" t="str">
        <f t="shared" si="11"/>
        <v>Error?</v>
      </c>
    </row>
    <row r="776" spans="1:4" x14ac:dyDescent="0.2">
      <c r="A776" s="5">
        <v>715</v>
      </c>
      <c r="B776" s="1832">
        <f>'Expenditures 15-22'!D14</f>
        <v>12469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479774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12569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12569</v>
      </c>
      <c r="C785" s="2" t="s">
        <v>569</v>
      </c>
      <c r="D785" s="2" t="str">
        <f t="shared" si="11"/>
        <v>Error?</v>
      </c>
    </row>
    <row r="786" spans="1:4" x14ac:dyDescent="0.2">
      <c r="A786" s="5">
        <v>725</v>
      </c>
      <c r="B786" s="1832">
        <f>'Expenditures 15-22'!D44</f>
        <v>208</v>
      </c>
      <c r="D786" s="2" t="str">
        <f t="shared" si="11"/>
        <v>Error?</v>
      </c>
    </row>
    <row r="787" spans="1:4" x14ac:dyDescent="0.2">
      <c r="A787" s="5">
        <v>726</v>
      </c>
      <c r="B787" s="1832">
        <f>'Expenditures 15-22'!D45</f>
        <v>6633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6841</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20200</v>
      </c>
      <c r="D791" s="2" t="str">
        <f t="shared" si="11"/>
        <v>Error?</v>
      </c>
    </row>
    <row r="792" spans="1:4" x14ac:dyDescent="0.2">
      <c r="A792" s="5">
        <v>731</v>
      </c>
      <c r="B792" s="1832">
        <f>'Expenditures 15-22'!D53</f>
        <v>20200</v>
      </c>
      <c r="C792" s="2" t="s">
        <v>569</v>
      </c>
      <c r="D792" s="2" t="str">
        <f t="shared" si="11"/>
        <v>Error?</v>
      </c>
    </row>
    <row r="793" spans="1:4" x14ac:dyDescent="0.2">
      <c r="A793" s="5">
        <v>732</v>
      </c>
      <c r="B793" s="1832">
        <f>'Expenditures 15-22'!D55</f>
        <v>45065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45065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5732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13617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19349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5906</v>
      </c>
      <c r="D809" s="2" t="str">
        <f t="shared" si="11"/>
        <v>Error?</v>
      </c>
    </row>
    <row r="810" spans="1:4" x14ac:dyDescent="0.2">
      <c r="A810" s="10">
        <v>749</v>
      </c>
      <c r="B810" s="1832"/>
      <c r="D810" s="2" t="str">
        <f t="shared" si="11"/>
        <v>OK</v>
      </c>
    </row>
    <row r="811" spans="1:4" x14ac:dyDescent="0.2">
      <c r="A811" s="5">
        <v>750</v>
      </c>
      <c r="B811" s="1832">
        <f>'Expenditures 15-22'!D72</f>
        <v>5906</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109930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589704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53005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36320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121189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385</v>
      </c>
      <c r="D838" s="2" t="str">
        <f t="shared" si="12"/>
        <v>Error?</v>
      </c>
    </row>
    <row r="839" spans="1:4" x14ac:dyDescent="0.2">
      <c r="A839" s="5">
        <v>778</v>
      </c>
      <c r="B839" s="1832">
        <f>'Expenditures 15-22'!E38</f>
        <v>39160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39545</v>
      </c>
      <c r="C843" s="2" t="s">
        <v>569</v>
      </c>
      <c r="D843" s="2" t="str">
        <f t="shared" si="12"/>
        <v>Error?</v>
      </c>
    </row>
    <row r="844" spans="1:4" x14ac:dyDescent="0.2">
      <c r="A844" s="5">
        <v>783</v>
      </c>
      <c r="B844" s="1832">
        <f>'Expenditures 15-22'!E44</f>
        <v>3450</v>
      </c>
      <c r="D844" s="2" t="str">
        <f t="shared" si="12"/>
        <v>Error?</v>
      </c>
    </row>
    <row r="845" spans="1:4" x14ac:dyDescent="0.2">
      <c r="A845" s="5">
        <v>784</v>
      </c>
      <c r="B845" s="1832">
        <f>'Expenditures 15-22'!E45</f>
        <v>1596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5046</v>
      </c>
      <c r="C847" s="2" t="s">
        <v>569</v>
      </c>
      <c r="D847" s="2" t="str">
        <f t="shared" si="12"/>
        <v>Error?</v>
      </c>
    </row>
    <row r="848" spans="1:4" x14ac:dyDescent="0.2">
      <c r="A848" s="5">
        <v>787</v>
      </c>
      <c r="B848" s="1832">
        <f>'Expenditures 15-22'!E49</f>
        <v>60182</v>
      </c>
      <c r="D848" s="2" t="str">
        <f t="shared" si="12"/>
        <v>Error?</v>
      </c>
    </row>
    <row r="849" spans="1:4" x14ac:dyDescent="0.2">
      <c r="A849" s="5">
        <v>788</v>
      </c>
      <c r="B849" s="1832">
        <f>'Expenditures 15-22'!E50</f>
        <v>5557</v>
      </c>
      <c r="D849" s="2" t="str">
        <f t="shared" si="12"/>
        <v>Error?</v>
      </c>
    </row>
    <row r="850" spans="1:4" x14ac:dyDescent="0.2">
      <c r="A850" s="5">
        <v>789</v>
      </c>
      <c r="B850" s="1832">
        <f>'Expenditures 15-22'!E53</f>
        <v>65739</v>
      </c>
      <c r="C850" s="2" t="s">
        <v>569</v>
      </c>
      <c r="D850" s="2" t="str">
        <f t="shared" si="12"/>
        <v>Error?</v>
      </c>
    </row>
    <row r="851" spans="1:4" x14ac:dyDescent="0.2">
      <c r="A851" s="5">
        <v>790</v>
      </c>
      <c r="B851" s="1832">
        <f>'Expenditures 15-22'!E55</f>
        <v>12955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12955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4329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1313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5642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4065</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14536</v>
      </c>
      <c r="D867" s="2" t="str">
        <f t="shared" si="12"/>
        <v>Error?</v>
      </c>
    </row>
    <row r="868" spans="1:4" x14ac:dyDescent="0.2">
      <c r="A868" s="10">
        <v>807</v>
      </c>
      <c r="B868" s="1832"/>
      <c r="D868" s="2" t="str">
        <f t="shared" si="12"/>
        <v>OK</v>
      </c>
    </row>
    <row r="869" spans="1:4" x14ac:dyDescent="0.2">
      <c r="A869" s="5">
        <v>808</v>
      </c>
      <c r="B869" s="1832">
        <f>'Expenditures 15-22'!E72</f>
        <v>18601</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147528</v>
      </c>
      <c r="C871" s="2" t="s">
        <v>569</v>
      </c>
      <c r="D871" s="2" t="str">
        <f t="shared" si="12"/>
        <v>Error?</v>
      </c>
    </row>
    <row r="872" spans="1:4" x14ac:dyDescent="0.2">
      <c r="A872" s="5">
        <v>811</v>
      </c>
      <c r="B872" s="1832">
        <f>'Expenditures 15-22'!E75</f>
        <v>24991</v>
      </c>
      <c r="D872" s="2" t="str">
        <f t="shared" si="12"/>
        <v>Error?</v>
      </c>
    </row>
    <row r="873" spans="1:4" x14ac:dyDescent="0.2">
      <c r="A873" s="5">
        <v>812</v>
      </c>
      <c r="B873" s="1832">
        <f>'Expenditures 15-22'!E114</f>
        <v>293708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61280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5926</v>
      </c>
      <c r="D891" s="2" t="str">
        <f t="shared" si="12"/>
        <v>Error?</v>
      </c>
    </row>
    <row r="892" spans="1:4" x14ac:dyDescent="0.2">
      <c r="A892" s="5">
        <v>831</v>
      </c>
      <c r="B892" s="1832">
        <f>'Expenditures 15-22'!F14</f>
        <v>81185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245006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1350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1350</v>
      </c>
      <c r="C905" s="2" t="s">
        <v>569</v>
      </c>
      <c r="D905" s="2" t="str">
        <f t="shared" si="13"/>
        <v>Error?</v>
      </c>
    </row>
    <row r="906" spans="1:4" x14ac:dyDescent="0.2">
      <c r="A906" s="5">
        <v>845</v>
      </c>
      <c r="B906" s="1832">
        <f>'Expenditures 15-22'!F49</f>
        <v>3116</v>
      </c>
      <c r="D906" s="2" t="str">
        <f t="shared" si="13"/>
        <v>Error?</v>
      </c>
    </row>
    <row r="907" spans="1:4" x14ac:dyDescent="0.2">
      <c r="A907" s="5">
        <v>846</v>
      </c>
      <c r="B907" s="1832">
        <f>'Expenditures 15-22'!F50</f>
        <v>5588</v>
      </c>
      <c r="D907" s="2" t="str">
        <f t="shared" si="13"/>
        <v>Error?</v>
      </c>
    </row>
    <row r="908" spans="1:4" x14ac:dyDescent="0.2">
      <c r="A908" s="5">
        <v>847</v>
      </c>
      <c r="B908" s="1832">
        <f>'Expenditures 15-22'!F53</f>
        <v>8704</v>
      </c>
      <c r="C908" s="2" t="s">
        <v>569</v>
      </c>
      <c r="D908" s="2" t="str">
        <f t="shared" si="13"/>
        <v>Error?</v>
      </c>
    </row>
    <row r="909" spans="1:4" x14ac:dyDescent="0.2">
      <c r="A909" s="5">
        <v>848</v>
      </c>
      <c r="B909" s="1832">
        <f>'Expenditures 15-22'!F55</f>
        <v>4835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4835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196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90367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90563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34562</v>
      </c>
      <c r="D925" s="2" t="str">
        <f t="shared" si="13"/>
        <v>Error?</v>
      </c>
    </row>
    <row r="926" spans="1:4" x14ac:dyDescent="0.2">
      <c r="A926" s="10">
        <v>865</v>
      </c>
      <c r="B926" s="1832"/>
      <c r="D926" s="2" t="str">
        <f t="shared" si="13"/>
        <v>OK</v>
      </c>
    </row>
    <row r="927" spans="1:4" x14ac:dyDescent="0.2">
      <c r="A927" s="5">
        <v>866</v>
      </c>
      <c r="B927" s="1832">
        <f>'Expenditures 15-22'!F72</f>
        <v>34562</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140014</v>
      </c>
      <c r="C929" s="2" t="s">
        <v>569</v>
      </c>
      <c r="D929" s="2" t="str">
        <f t="shared" si="13"/>
        <v>Error?</v>
      </c>
    </row>
    <row r="930" spans="1:4" x14ac:dyDescent="0.2">
      <c r="A930" s="5">
        <v>869</v>
      </c>
      <c r="B930" s="1832">
        <f>'Expenditures 15-22'!F75</f>
        <v>375</v>
      </c>
      <c r="D930" s="2" t="str">
        <f t="shared" si="13"/>
        <v>Error?</v>
      </c>
    </row>
    <row r="931" spans="1:4" x14ac:dyDescent="0.2">
      <c r="A931" s="5">
        <v>870</v>
      </c>
      <c r="B931" s="1832">
        <f>'Expenditures 15-22'!F114</f>
        <v>385395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10700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2000</v>
      </c>
      <c r="D949" s="2" t="str">
        <f t="shared" si="13"/>
        <v>Error?</v>
      </c>
    </row>
    <row r="950" spans="1:4" x14ac:dyDescent="0.2">
      <c r="A950" s="5">
        <v>889</v>
      </c>
      <c r="B950" s="1832">
        <f>'Expenditures 15-22'!G14</f>
        <v>33363</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83218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34410</v>
      </c>
      <c r="D983" s="2" t="str">
        <f t="shared" si="14"/>
        <v>Error?</v>
      </c>
    </row>
    <row r="984" spans="1:4" x14ac:dyDescent="0.2">
      <c r="A984" s="10">
        <v>923</v>
      </c>
      <c r="B984" s="1832"/>
      <c r="D984" s="2" t="str">
        <f t="shared" si="14"/>
        <v>OK</v>
      </c>
    </row>
    <row r="985" spans="1:4" x14ac:dyDescent="0.2">
      <c r="A985" s="5">
        <v>924</v>
      </c>
      <c r="B985" s="1832">
        <f>'Expenditures 15-22'!G72</f>
        <v>34410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34410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117628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1224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8797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10021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45</v>
      </c>
      <c r="D1022" s="2" t="str">
        <f t="shared" si="14"/>
        <v>Error?</v>
      </c>
    </row>
    <row r="1023" spans="1:4" x14ac:dyDescent="0.2">
      <c r="A1023" s="5">
        <v>962</v>
      </c>
      <c r="B1023" s="1832">
        <f>'Expenditures 15-22'!H50</f>
        <v>1183</v>
      </c>
      <c r="D1023" s="2" t="str">
        <f t="shared" ref="D1023:D1086" si="15">IF(ISBLANK(B1023),"OK",IF(A1023-B1023=0,"OK","Error?"))</f>
        <v>Error?</v>
      </c>
    </row>
    <row r="1024" spans="1:4" x14ac:dyDescent="0.2">
      <c r="A1024" s="5">
        <v>963</v>
      </c>
      <c r="B1024" s="1832">
        <f>'Expenditures 15-22'!H53</f>
        <v>1228</v>
      </c>
      <c r="C1024" s="2" t="s">
        <v>569</v>
      </c>
      <c r="D1024" s="2" t="str">
        <f t="shared" si="15"/>
        <v>Error?</v>
      </c>
    </row>
    <row r="1025" spans="1:4" x14ac:dyDescent="0.2">
      <c r="A1025" s="5">
        <v>964</v>
      </c>
      <c r="B1025" s="1832">
        <f>'Expenditures 15-22'!H55</f>
        <v>1476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1476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2704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866661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879386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2423416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227350</v>
      </c>
      <c r="C1105" s="2" t="s">
        <v>569</v>
      </c>
      <c r="D1105" s="2" t="str">
        <f t="shared" si="16"/>
        <v>Error?</v>
      </c>
    </row>
    <row r="1106" spans="1:4" x14ac:dyDescent="0.2">
      <c r="A1106" s="5">
        <v>1045</v>
      </c>
      <c r="B1106" s="1832">
        <f>'Expenditures 15-22'!K14</f>
        <v>352387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3414729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96230</v>
      </c>
      <c r="C1110" s="2" t="s">
        <v>569</v>
      </c>
      <c r="D1110" s="2" t="str">
        <f t="shared" si="16"/>
        <v>Error?</v>
      </c>
    </row>
    <row r="1111" spans="1:4" x14ac:dyDescent="0.2">
      <c r="A1111" s="5">
        <v>1050</v>
      </c>
      <c r="B1111" s="1832">
        <f>'Expenditures 15-22'!K38</f>
        <v>39160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135390</v>
      </c>
      <c r="C1115" s="2" t="s">
        <v>569</v>
      </c>
      <c r="D1115" s="2" t="str">
        <f t="shared" si="16"/>
        <v>Error?</v>
      </c>
    </row>
    <row r="1116" spans="1:4" x14ac:dyDescent="0.2">
      <c r="A1116" s="5">
        <v>1055</v>
      </c>
      <c r="B1116" s="1832">
        <f>'Expenditures 15-22'!K44</f>
        <v>5486</v>
      </c>
      <c r="C1116" s="2" t="s">
        <v>569</v>
      </c>
      <c r="D1116" s="2" t="str">
        <f t="shared" si="16"/>
        <v>Error?</v>
      </c>
    </row>
    <row r="1117" spans="1:4" x14ac:dyDescent="0.2">
      <c r="A1117" s="5">
        <v>1056</v>
      </c>
      <c r="B1117" s="1832">
        <f>'Expenditures 15-22'!K45</f>
        <v>28241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33727</v>
      </c>
      <c r="C1119" s="2" t="s">
        <v>569</v>
      </c>
      <c r="D1119" s="2" t="str">
        <f t="shared" si="16"/>
        <v>Error?</v>
      </c>
    </row>
    <row r="1120" spans="1:4" x14ac:dyDescent="0.2">
      <c r="A1120" s="5">
        <v>1059</v>
      </c>
      <c r="B1120" s="1832">
        <f>'Expenditures 15-22'!K49</f>
        <v>63343</v>
      </c>
      <c r="C1120" s="2" t="s">
        <v>569</v>
      </c>
      <c r="D1120" s="2" t="str">
        <f t="shared" si="16"/>
        <v>Error?</v>
      </c>
    </row>
    <row r="1121" spans="1:4" x14ac:dyDescent="0.2">
      <c r="A1121" s="5">
        <v>1060</v>
      </c>
      <c r="B1121" s="1832">
        <f>'Expenditures 15-22'!K50</f>
        <v>165717</v>
      </c>
      <c r="C1121" s="2" t="s">
        <v>569</v>
      </c>
      <c r="D1121" s="2" t="str">
        <f t="shared" si="16"/>
        <v>Error?</v>
      </c>
    </row>
    <row r="1122" spans="1:4" x14ac:dyDescent="0.2">
      <c r="A1122" s="5">
        <v>1061</v>
      </c>
      <c r="B1122" s="1832">
        <f>'Expenditures 15-22'!K53</f>
        <v>229060</v>
      </c>
      <c r="C1122" s="2" t="s">
        <v>569</v>
      </c>
      <c r="D1122" s="2" t="str">
        <f t="shared" si="16"/>
        <v>Error?</v>
      </c>
    </row>
    <row r="1123" spans="1:4" x14ac:dyDescent="0.2">
      <c r="A1123" s="5">
        <v>1062</v>
      </c>
      <c r="B1123" s="1832">
        <f>'Expenditures 15-22'!K55</f>
        <v>312290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312290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38444</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160452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198896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4065</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144765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148830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1058193</v>
      </c>
      <c r="C1143" s="2" t="s">
        <v>569</v>
      </c>
      <c r="D1143" s="2" t="str">
        <f t="shared" si="16"/>
        <v>Error?</v>
      </c>
    </row>
    <row r="1144" spans="1:4" x14ac:dyDescent="0.2">
      <c r="A1144" s="5">
        <v>1083</v>
      </c>
      <c r="B1144" s="1832">
        <f>'Expenditures 15-22'!K75</f>
        <v>25366</v>
      </c>
      <c r="C1144" s="2" t="s">
        <v>569</v>
      </c>
      <c r="D1144" s="2" t="str">
        <f t="shared" si="16"/>
        <v>Error?</v>
      </c>
    </row>
    <row r="1145" spans="1:4" x14ac:dyDescent="0.2">
      <c r="A1145" s="5">
        <v>1084</v>
      </c>
      <c r="B1145" s="1832">
        <f>'Expenditures 15-22'!K102</f>
        <v>866661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5364949</v>
      </c>
      <c r="C1152" s="2" t="s">
        <v>569</v>
      </c>
      <c r="D1152" s="2" t="str">
        <f t="shared" si="17"/>
        <v>Error?</v>
      </c>
    </row>
    <row r="1153" spans="1:4" x14ac:dyDescent="0.2">
      <c r="A1153" s="5">
        <v>1092</v>
      </c>
      <c r="B1153" s="1832">
        <f>'Expenditures 15-22'!K115</f>
        <v>470937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203067</v>
      </c>
      <c r="D1221" s="2" t="str">
        <f t="shared" si="18"/>
        <v>Error?</v>
      </c>
    </row>
    <row r="1222" spans="1:4" x14ac:dyDescent="0.2">
      <c r="A1222" s="10">
        <v>1161</v>
      </c>
      <c r="B1222" s="1832"/>
      <c r="D1222" s="2" t="str">
        <f t="shared" si="18"/>
        <v>OK</v>
      </c>
    </row>
    <row r="1223" spans="1:4" x14ac:dyDescent="0.2">
      <c r="A1223" s="5">
        <v>1162</v>
      </c>
      <c r="B1223" s="1832">
        <f>'Expenditures 15-22'!C127</f>
        <v>203067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203067</v>
      </c>
      <c r="C1225" s="2" t="s">
        <v>569</v>
      </c>
      <c r="D1225" s="2" t="str">
        <f t="shared" si="18"/>
        <v>Error?</v>
      </c>
    </row>
    <row r="1226" spans="1:4" x14ac:dyDescent="0.2">
      <c r="A1226" s="5">
        <v>1165</v>
      </c>
      <c r="B1226" s="1832">
        <f>'Expenditures 15-22'!C151</f>
        <v>203067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35433</v>
      </c>
      <c r="D1229" s="2" t="str">
        <f t="shared" si="18"/>
        <v>Error?</v>
      </c>
    </row>
    <row r="1230" spans="1:4" x14ac:dyDescent="0.2">
      <c r="A1230" s="10">
        <v>1169</v>
      </c>
      <c r="B1230" s="1832"/>
      <c r="D1230" s="2" t="str">
        <f t="shared" si="18"/>
        <v>OK</v>
      </c>
    </row>
    <row r="1231" spans="1:4" x14ac:dyDescent="0.2">
      <c r="A1231" s="5">
        <v>1170</v>
      </c>
      <c r="B1231" s="1832">
        <f>'Expenditures 15-22'!D127</f>
        <v>35433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35433</v>
      </c>
      <c r="C1233" s="2" t="s">
        <v>569</v>
      </c>
      <c r="D1233" s="2" t="str">
        <f t="shared" si="18"/>
        <v>Error?</v>
      </c>
    </row>
    <row r="1234" spans="1:4" x14ac:dyDescent="0.2">
      <c r="A1234" s="5">
        <v>1173</v>
      </c>
      <c r="B1234" s="1832">
        <f>'Expenditures 15-22'!D151</f>
        <v>35433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454814</v>
      </c>
      <c r="D1237" s="2" t="str">
        <f t="shared" si="18"/>
        <v>Error?</v>
      </c>
    </row>
    <row r="1238" spans="1:4" x14ac:dyDescent="0.2">
      <c r="A1238" s="10">
        <v>1177</v>
      </c>
      <c r="B1238" s="1832"/>
      <c r="D1238" s="2" t="str">
        <f t="shared" si="18"/>
        <v>OK</v>
      </c>
    </row>
    <row r="1239" spans="1:4" x14ac:dyDescent="0.2">
      <c r="A1239" s="5">
        <v>1178</v>
      </c>
      <c r="B1239" s="1832">
        <f>'Expenditures 15-22'!E127</f>
        <v>454814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454814</v>
      </c>
      <c r="C1241" s="2" t="s">
        <v>569</v>
      </c>
      <c r="D1241" s="2" t="str">
        <f t="shared" si="18"/>
        <v>Error?</v>
      </c>
    </row>
    <row r="1242" spans="1:4" x14ac:dyDescent="0.2">
      <c r="A1242" s="5">
        <v>1181</v>
      </c>
      <c r="B1242" s="1832">
        <f>'Expenditures 15-22'!E151</f>
        <v>454814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160915</v>
      </c>
      <c r="D1245" s="2" t="str">
        <f t="shared" si="18"/>
        <v>Error?</v>
      </c>
    </row>
    <row r="1246" spans="1:4" x14ac:dyDescent="0.2">
      <c r="A1246" s="10">
        <v>1185</v>
      </c>
      <c r="B1246" s="1832"/>
      <c r="D1246" s="2" t="str">
        <f t="shared" si="18"/>
        <v>OK</v>
      </c>
    </row>
    <row r="1247" spans="1:4" x14ac:dyDescent="0.2">
      <c r="A1247" s="5">
        <v>1186</v>
      </c>
      <c r="B1247" s="1832">
        <f>'Expenditures 15-22'!F127</f>
        <v>160915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160915</v>
      </c>
      <c r="C1249" s="2" t="s">
        <v>569</v>
      </c>
      <c r="D1249" s="2" t="str">
        <f t="shared" si="18"/>
        <v>Error?</v>
      </c>
    </row>
    <row r="1250" spans="1:4" x14ac:dyDescent="0.2">
      <c r="A1250" s="5">
        <v>1189</v>
      </c>
      <c r="B1250" s="1832">
        <f>'Expenditures 15-22'!F151</f>
        <v>160915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745010</v>
      </c>
      <c r="D1252" s="2" t="str">
        <f t="shared" si="18"/>
        <v>Error?</v>
      </c>
    </row>
    <row r="1253" spans="1:4" x14ac:dyDescent="0.2">
      <c r="A1253" s="5">
        <v>1192</v>
      </c>
      <c r="B1253" s="1832">
        <f>'Expenditures 15-22'!G124</f>
        <v>48255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793265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793265</v>
      </c>
      <c r="C1258" s="2" t="s">
        <v>569</v>
      </c>
      <c r="D1258" s="2" t="str">
        <f t="shared" si="18"/>
        <v>Error?</v>
      </c>
    </row>
    <row r="1259" spans="1:4" x14ac:dyDescent="0.2">
      <c r="A1259" s="5">
        <v>1198</v>
      </c>
      <c r="B1259" s="1832">
        <f>'Expenditures 15-22'!G151</f>
        <v>793265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745010</v>
      </c>
      <c r="C1275" s="2" t="s">
        <v>569</v>
      </c>
      <c r="D1275" s="2" t="str">
        <f t="shared" si="18"/>
        <v>Error?</v>
      </c>
    </row>
    <row r="1276" spans="1:4" x14ac:dyDescent="0.2">
      <c r="A1276" s="5">
        <v>1215</v>
      </c>
      <c r="B1276" s="1832">
        <f>'Expenditures 15-22'!K124</f>
        <v>902484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1647494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1647494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1647494</v>
      </c>
      <c r="C1288" s="2" t="s">
        <v>569</v>
      </c>
      <c r="D1288" s="2" t="str">
        <f t="shared" si="19"/>
        <v>Error?</v>
      </c>
    </row>
    <row r="1289" spans="1:4" x14ac:dyDescent="0.2">
      <c r="A1289" s="5">
        <v>1228</v>
      </c>
      <c r="B1289" s="1832">
        <f>'Expenditures 15-22'!K152</f>
        <v>-899940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722406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377525</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1099931</v>
      </c>
      <c r="C1317" s="2" t="s">
        <v>569</v>
      </c>
      <c r="D1317" s="2" t="str">
        <f t="shared" si="19"/>
        <v>Error?</v>
      </c>
    </row>
    <row r="1318" spans="1:4" x14ac:dyDescent="0.2">
      <c r="A1318" s="5">
        <v>1257</v>
      </c>
      <c r="B1318" s="1832">
        <f>'Expenditures 15-22'!H174</f>
        <v>1099931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722406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377525</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1099931</v>
      </c>
      <c r="C1331" s="2" t="s">
        <v>569</v>
      </c>
      <c r="D1331" s="2" t="str">
        <f t="shared" si="19"/>
        <v>Error?</v>
      </c>
    </row>
    <row r="1332" spans="1:4" x14ac:dyDescent="0.2">
      <c r="A1332" s="5">
        <v>1271</v>
      </c>
      <c r="B1332" s="1832">
        <f>'Expenditures 15-22'!K174</f>
        <v>1099931</v>
      </c>
      <c r="C1332" s="2" t="s">
        <v>569</v>
      </c>
      <c r="D1332" s="2" t="str">
        <f t="shared" si="19"/>
        <v>Error?</v>
      </c>
    </row>
    <row r="1333" spans="1:4" x14ac:dyDescent="0.2">
      <c r="A1333" s="5">
        <v>1272</v>
      </c>
      <c r="B1333" s="1832">
        <f>'Expenditures 15-22'!K175</f>
        <v>8869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174011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174011</v>
      </c>
      <c r="C1339" s="2" t="s">
        <v>569</v>
      </c>
      <c r="D1339" s="2" t="str">
        <f t="shared" si="19"/>
        <v>Error?</v>
      </c>
    </row>
    <row r="1340" spans="1:4" x14ac:dyDescent="0.2">
      <c r="A1340" s="5">
        <v>1279</v>
      </c>
      <c r="B1340" s="1832">
        <f>'Expenditures 15-22'!C210</f>
        <v>174011</v>
      </c>
      <c r="C1340" s="2" t="s">
        <v>569</v>
      </c>
      <c r="D1340" s="2" t="str">
        <f t="shared" si="19"/>
        <v>Error?</v>
      </c>
    </row>
    <row r="1341" spans="1:4" x14ac:dyDescent="0.2">
      <c r="A1341" s="5">
        <v>1280</v>
      </c>
      <c r="B1341" s="1832">
        <f>'Expenditures 15-22'!D182</f>
        <v>3159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3159</v>
      </c>
      <c r="C1345" s="2" t="s">
        <v>569</v>
      </c>
      <c r="D1345" s="2" t="str">
        <f t="shared" si="20"/>
        <v>Error?</v>
      </c>
    </row>
    <row r="1346" spans="1:4" x14ac:dyDescent="0.2">
      <c r="A1346" s="5">
        <v>1285</v>
      </c>
      <c r="B1346" s="1832">
        <f>'Expenditures 15-22'!D210</f>
        <v>3159</v>
      </c>
      <c r="C1346" s="2" t="s">
        <v>569</v>
      </c>
      <c r="D1346" s="2" t="str">
        <f t="shared" si="20"/>
        <v>Error?</v>
      </c>
    </row>
    <row r="1347" spans="1:4" x14ac:dyDescent="0.2">
      <c r="A1347" s="5">
        <v>1286</v>
      </c>
      <c r="B1347" s="1832">
        <f>'Expenditures 15-22'!E182</f>
        <v>136140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136140</v>
      </c>
      <c r="C1351" s="2" t="s">
        <v>569</v>
      </c>
      <c r="D1351" s="2" t="str">
        <f t="shared" si="20"/>
        <v>Error?</v>
      </c>
    </row>
    <row r="1352" spans="1:4" x14ac:dyDescent="0.2">
      <c r="A1352" s="5">
        <v>1291</v>
      </c>
      <c r="B1352" s="1832">
        <f>'Expenditures 15-22'!E196</f>
        <v>115963</v>
      </c>
      <c r="C1352" s="2" t="s">
        <v>569</v>
      </c>
      <c r="D1352" s="2" t="str">
        <f t="shared" si="20"/>
        <v>Error?</v>
      </c>
    </row>
    <row r="1353" spans="1:4" x14ac:dyDescent="0.2">
      <c r="A1353" s="5">
        <v>1292</v>
      </c>
      <c r="B1353" s="1832">
        <f>'Expenditures 15-22'!E210</f>
        <v>252103</v>
      </c>
      <c r="C1353" s="2" t="s">
        <v>569</v>
      </c>
      <c r="D1353" s="2" t="str">
        <f t="shared" si="20"/>
        <v>Error?</v>
      </c>
    </row>
    <row r="1354" spans="1:4" x14ac:dyDescent="0.2">
      <c r="A1354" s="5">
        <v>1293</v>
      </c>
      <c r="B1354" s="1832">
        <f>'Expenditures 15-22'!F182</f>
        <v>50943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50943</v>
      </c>
      <c r="C1358" s="2" t="s">
        <v>569</v>
      </c>
      <c r="D1358" s="2" t="str">
        <f t="shared" si="20"/>
        <v>Error?</v>
      </c>
    </row>
    <row r="1359" spans="1:4" x14ac:dyDescent="0.2">
      <c r="A1359" s="5">
        <v>1298</v>
      </c>
      <c r="B1359" s="1832">
        <f>'Expenditures 15-22'!F210</f>
        <v>50943</v>
      </c>
      <c r="C1359" s="2" t="s">
        <v>569</v>
      </c>
      <c r="D1359" s="2" t="str">
        <f t="shared" si="20"/>
        <v>Error?</v>
      </c>
    </row>
    <row r="1360" spans="1:4" x14ac:dyDescent="0.2">
      <c r="A1360" s="5">
        <v>1299</v>
      </c>
      <c r="B1360" s="1832">
        <f>'Expenditures 15-22'!G182</f>
        <v>53893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53893</v>
      </c>
      <c r="C1364" s="2" t="s">
        <v>569</v>
      </c>
      <c r="D1364" s="2" t="str">
        <f t="shared" si="20"/>
        <v>Error?</v>
      </c>
    </row>
    <row r="1365" spans="1:4" x14ac:dyDescent="0.2">
      <c r="A1365" s="5">
        <v>1304</v>
      </c>
      <c r="B1365" s="1832">
        <f>'Expenditures 15-22'!G210</f>
        <v>53893</v>
      </c>
      <c r="C1365" s="2" t="s">
        <v>569</v>
      </c>
      <c r="D1365" s="2" t="str">
        <f t="shared" si="20"/>
        <v>Error?</v>
      </c>
    </row>
    <row r="1366" spans="1:4" x14ac:dyDescent="0.2">
      <c r="A1366" s="5">
        <v>1305</v>
      </c>
      <c r="B1366" s="1832">
        <f>'Expenditures 15-22'!H182</f>
        <v>144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144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144</v>
      </c>
      <c r="C1376" s="2" t="s">
        <v>569</v>
      </c>
      <c r="D1376" s="2" t="str">
        <f t="shared" si="20"/>
        <v>Error?</v>
      </c>
    </row>
    <row r="1377" spans="1:4" x14ac:dyDescent="0.2">
      <c r="A1377" s="5">
        <v>1316</v>
      </c>
      <c r="B1377" s="1832">
        <f>'Expenditures 15-22'!K182</f>
        <v>418290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418290</v>
      </c>
      <c r="C1381" s="2" t="s">
        <v>569</v>
      </c>
      <c r="D1381" s="2" t="str">
        <f t="shared" si="20"/>
        <v>Error?</v>
      </c>
    </row>
    <row r="1382" spans="1:4" x14ac:dyDescent="0.2">
      <c r="A1382" s="5">
        <v>1321</v>
      </c>
      <c r="B1382" s="1832">
        <f>'Expenditures 15-22'!K196</f>
        <v>115963</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534253</v>
      </c>
      <c r="C1388" s="2" t="s">
        <v>569</v>
      </c>
      <c r="D1388" s="2" t="str">
        <f t="shared" si="20"/>
        <v>Error?</v>
      </c>
    </row>
    <row r="1389" spans="1:4" x14ac:dyDescent="0.2">
      <c r="A1389" s="5">
        <v>1328</v>
      </c>
      <c r="B1389" s="1832">
        <f>'Expenditures 15-22'!K211</f>
        <v>-57445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2334</v>
      </c>
      <c r="D1407" s="2" t="str">
        <f t="shared" ref="D1407:D1470" si="21">IF(ISBLANK(B1407),"OK",IF(A1407-B1407=0,"OK","Error?"))</f>
        <v>Error?</v>
      </c>
    </row>
    <row r="1408" spans="1:4" x14ac:dyDescent="0.2">
      <c r="A1408" s="5">
        <v>1347</v>
      </c>
      <c r="B1408" s="1832">
        <f>'Expenditures 15-22'!D223</f>
        <v>7045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49489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1176</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1176</v>
      </c>
      <c r="C1417" s="2" t="s">
        <v>569</v>
      </c>
      <c r="D1417" s="2" t="str">
        <f t="shared" si="21"/>
        <v>Error?</v>
      </c>
    </row>
    <row r="1418" spans="1:4" x14ac:dyDescent="0.2">
      <c r="A1418" s="5">
        <v>1357</v>
      </c>
      <c r="B1418" s="1832">
        <f>'Expenditures 15-22'!D240</f>
        <v>27</v>
      </c>
      <c r="D1418" s="2" t="str">
        <f t="shared" si="21"/>
        <v>Error?</v>
      </c>
    </row>
    <row r="1419" spans="1:4" x14ac:dyDescent="0.2">
      <c r="A1419" s="5">
        <v>1358</v>
      </c>
      <c r="B1419" s="1832">
        <f>'Expenditures 15-22'!D241</f>
        <v>2537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2564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7259</v>
      </c>
      <c r="D1423" s="2" t="str">
        <f t="shared" si="21"/>
        <v>Error?</v>
      </c>
    </row>
    <row r="1424" spans="1:4" x14ac:dyDescent="0.2">
      <c r="A1424" s="5">
        <v>1363</v>
      </c>
      <c r="B1424" s="1832">
        <f>'Expenditures 15-22'!D257</f>
        <v>33286</v>
      </c>
      <c r="C1424" s="2" t="s">
        <v>569</v>
      </c>
      <c r="D1424" s="2" t="str">
        <f t="shared" si="21"/>
        <v>Error?</v>
      </c>
    </row>
    <row r="1425" spans="1:4" x14ac:dyDescent="0.2">
      <c r="A1425" s="5">
        <v>1364</v>
      </c>
      <c r="B1425" s="1832">
        <f>'Expenditures 15-22'!D259</f>
        <v>11034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11034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4809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34122</v>
      </c>
      <c r="D1431" s="2" t="str">
        <f t="shared" si="21"/>
        <v>Error?</v>
      </c>
    </row>
    <row r="1432" spans="1:4" x14ac:dyDescent="0.2">
      <c r="A1432" s="5">
        <v>1371</v>
      </c>
      <c r="B1432" s="1832">
        <f>'Expenditures 15-22'!D267</f>
        <v>14734</v>
      </c>
      <c r="D1432" s="2" t="str">
        <f t="shared" si="21"/>
        <v>Error?</v>
      </c>
    </row>
    <row r="1433" spans="1:4" x14ac:dyDescent="0.2">
      <c r="A1433" s="5">
        <v>1372</v>
      </c>
      <c r="B1433" s="1832">
        <f>'Expenditures 15-22'!D268</f>
        <v>7997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61662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9025</v>
      </c>
      <c r="D1442" s="2" t="str">
        <f t="shared" si="21"/>
        <v>Error?</v>
      </c>
    </row>
    <row r="1443" spans="1:4" x14ac:dyDescent="0.2">
      <c r="A1443" s="10">
        <v>1382</v>
      </c>
      <c r="B1443" s="1832"/>
      <c r="D1443" s="2" t="str">
        <f t="shared" si="21"/>
        <v>OK</v>
      </c>
    </row>
    <row r="1444" spans="1:4" x14ac:dyDescent="0.2">
      <c r="A1444" s="5">
        <v>1383</v>
      </c>
      <c r="B1444" s="1832">
        <f>'Expenditures 15-22'!D277</f>
        <v>9025</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118747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168236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2334</v>
      </c>
      <c r="C1471" s="2" t="s">
        <v>569</v>
      </c>
      <c r="D1471" s="2" t="str">
        <f t="shared" ref="D1471:D1534" si="22">IF(ISBLANK(B1471),"OK",IF(A1471-B1471=0,"OK","Error?"))</f>
        <v>Error?</v>
      </c>
    </row>
    <row r="1472" spans="1:4" x14ac:dyDescent="0.2">
      <c r="A1472" s="5">
        <v>1411</v>
      </c>
      <c r="B1472" s="1832">
        <f>'Expenditures 15-22'!K223</f>
        <v>7045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49489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1176</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1176</v>
      </c>
      <c r="C1481" s="2" t="s">
        <v>569</v>
      </c>
      <c r="D1481" s="2" t="str">
        <f t="shared" si="22"/>
        <v>Error?</v>
      </c>
    </row>
    <row r="1482" spans="1:4" x14ac:dyDescent="0.2">
      <c r="A1482" s="5">
        <v>1421</v>
      </c>
      <c r="B1482" s="1832">
        <f>'Expenditures 15-22'!K240</f>
        <v>27</v>
      </c>
      <c r="C1482" s="2" t="s">
        <v>569</v>
      </c>
      <c r="D1482" s="2" t="str">
        <f t="shared" si="22"/>
        <v>Error?</v>
      </c>
    </row>
    <row r="1483" spans="1:4" x14ac:dyDescent="0.2">
      <c r="A1483" s="5">
        <v>1422</v>
      </c>
      <c r="B1483" s="1832">
        <f>'Expenditures 15-22'!K241</f>
        <v>2537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2564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7259</v>
      </c>
      <c r="C1487" s="2" t="s">
        <v>569</v>
      </c>
      <c r="D1487" s="2" t="str">
        <f t="shared" si="22"/>
        <v>Error?</v>
      </c>
    </row>
    <row r="1488" spans="1:4" x14ac:dyDescent="0.2">
      <c r="A1488" s="5">
        <v>1427</v>
      </c>
      <c r="B1488" s="1832">
        <f>'Expenditures 15-22'!K257</f>
        <v>33286</v>
      </c>
      <c r="C1488" s="2" t="s">
        <v>569</v>
      </c>
      <c r="D1488" s="2" t="str">
        <f t="shared" si="22"/>
        <v>Error?</v>
      </c>
    </row>
    <row r="1489" spans="1:4" x14ac:dyDescent="0.2">
      <c r="A1489" s="5">
        <v>1428</v>
      </c>
      <c r="B1489" s="1832">
        <f>'Expenditures 15-22'!K259</f>
        <v>11034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11034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4809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34122</v>
      </c>
      <c r="C1495" s="2" t="s">
        <v>569</v>
      </c>
      <c r="D1495" s="2" t="str">
        <f t="shared" si="22"/>
        <v>Error?</v>
      </c>
    </row>
    <row r="1496" spans="1:4" x14ac:dyDescent="0.2">
      <c r="A1496" s="5">
        <v>1435</v>
      </c>
      <c r="B1496" s="1832">
        <f>'Expenditures 15-22'!K267</f>
        <v>14734</v>
      </c>
      <c r="C1496" s="2" t="s">
        <v>569</v>
      </c>
      <c r="D1496" s="2" t="str">
        <f t="shared" si="22"/>
        <v>Error?</v>
      </c>
    </row>
    <row r="1497" spans="1:4" x14ac:dyDescent="0.2">
      <c r="A1497" s="5">
        <v>1436</v>
      </c>
      <c r="B1497" s="1832">
        <f>'Expenditures 15-22'!K268</f>
        <v>7997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61662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9025</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9025</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118747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168236</v>
      </c>
      <c r="C1517" s="2" t="s">
        <v>569</v>
      </c>
      <c r="D1517" s="2" t="str">
        <f t="shared" si="22"/>
        <v>Error?</v>
      </c>
    </row>
    <row r="1518" spans="1:4" x14ac:dyDescent="0.2">
      <c r="A1518" s="5">
        <v>1457</v>
      </c>
      <c r="B1518" s="1832">
        <f>'Expenditures 15-22'!K296</f>
        <v>64472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3529319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4000256</v>
      </c>
      <c r="C1630" s="2" t="s">
        <v>569</v>
      </c>
      <c r="D1630" s="2" t="str">
        <f t="shared" si="24"/>
        <v>Error?</v>
      </c>
    </row>
    <row r="1631" spans="1:4" x14ac:dyDescent="0.2">
      <c r="A1631" s="5">
        <v>1570</v>
      </c>
      <c r="B1631" s="1832">
        <f>'Acct Summary 7-8'!D79</f>
        <v>1158347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258407</v>
      </c>
      <c r="C1644" s="2" t="s">
        <v>569</v>
      </c>
      <c r="D1644" s="2" t="str">
        <f t="shared" si="24"/>
        <v>Error?</v>
      </c>
    </row>
    <row r="1645" spans="1:4" x14ac:dyDescent="0.2">
      <c r="A1645" s="5">
        <v>1584</v>
      </c>
      <c r="B1645" s="1832">
        <f>'Acct Summary 7-8'!E79</f>
        <v>23192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32061</v>
      </c>
      <c r="C1658" s="2" t="s">
        <v>569</v>
      </c>
      <c r="D1658" s="2" t="str">
        <f t="shared" si="24"/>
        <v>Error?</v>
      </c>
    </row>
    <row r="1659" spans="1:4" x14ac:dyDescent="0.2">
      <c r="A1659" s="5">
        <v>1598</v>
      </c>
      <c r="B1659" s="1832">
        <f>'Acct Summary 7-8'!F79</f>
        <v>429734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372289</v>
      </c>
      <c r="C1672" s="2" t="s">
        <v>569</v>
      </c>
      <c r="D1672" s="2" t="str">
        <f t="shared" si="25"/>
        <v>Error?</v>
      </c>
    </row>
    <row r="1673" spans="1:4" x14ac:dyDescent="0.2">
      <c r="A1673" s="5">
        <v>1612</v>
      </c>
      <c r="B1673" s="1832">
        <f>'Acct Summary 7-8'!G79</f>
        <v>382643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447115</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2811199</v>
      </c>
      <c r="C1744" s="2" t="s">
        <v>569</v>
      </c>
      <c r="D1744" s="2" t="str">
        <f t="shared" si="26"/>
        <v>Error?</v>
      </c>
    </row>
    <row r="1745" spans="1:5" x14ac:dyDescent="0.2">
      <c r="A1745" s="5">
        <v>1684</v>
      </c>
      <c r="B1745" s="1832">
        <f>'Tax Sched 23'!B5</f>
        <v>660942</v>
      </c>
      <c r="C1745" s="2" t="s">
        <v>569</v>
      </c>
      <c r="D1745" s="2" t="str">
        <f t="shared" si="26"/>
        <v>Error?</v>
      </c>
    </row>
    <row r="1746" spans="1:5" x14ac:dyDescent="0.2">
      <c r="A1746" s="5">
        <v>1685</v>
      </c>
      <c r="B1746" s="1832">
        <f>'Tax Sched 23'!B6</f>
        <v>1108155</v>
      </c>
      <c r="C1746" s="2" t="s">
        <v>569</v>
      </c>
      <c r="D1746" s="2" t="str">
        <f t="shared" si="26"/>
        <v>Error?</v>
      </c>
    </row>
    <row r="1747" spans="1:5" x14ac:dyDescent="0.2">
      <c r="A1747" s="5">
        <v>1686</v>
      </c>
      <c r="B1747" s="1832">
        <f>'Tax Sched 23'!B7</f>
        <v>211499</v>
      </c>
      <c r="C1747" s="2" t="s">
        <v>569</v>
      </c>
      <c r="D1747" s="2" t="str">
        <f t="shared" si="26"/>
        <v>Error?</v>
      </c>
    </row>
    <row r="1748" spans="1:5" x14ac:dyDescent="0.2">
      <c r="A1748" s="5">
        <v>1687</v>
      </c>
      <c r="B1748" s="1832">
        <f>'Tax Sched 23'!B8</f>
        <v>85491</v>
      </c>
      <c r="C1748" s="2" t="s">
        <v>569</v>
      </c>
      <c r="D1748" s="2" t="str">
        <f t="shared" si="26"/>
        <v>Error?</v>
      </c>
    </row>
    <row r="1749" spans="1:5" x14ac:dyDescent="0.2">
      <c r="A1749" s="5">
        <v>1688</v>
      </c>
      <c r="B1749" s="1832">
        <f>'Tax Sched 23'!B10</f>
        <v>44060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546432</v>
      </c>
      <c r="C1752" s="2" t="s">
        <v>569</v>
      </c>
      <c r="D1752" s="2" t="str">
        <f t="shared" si="26"/>
        <v>Error?</v>
      </c>
    </row>
    <row r="1753" spans="1:5" x14ac:dyDescent="0.2">
      <c r="A1753" s="5">
        <v>1692</v>
      </c>
      <c r="B1753" s="1832">
        <f>'Tax Sched 23'!B12</f>
        <v>44060</v>
      </c>
      <c r="C1753" s="2" t="s">
        <v>569</v>
      </c>
      <c r="D1753" s="2" t="str">
        <f t="shared" si="26"/>
        <v>Error?</v>
      </c>
    </row>
    <row r="1754" spans="1:5" x14ac:dyDescent="0.2">
      <c r="A1754" s="5">
        <v>1693</v>
      </c>
      <c r="B1754" s="1832">
        <f>'Tax Sched 23'!B14</f>
        <v>35253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5723354</v>
      </c>
      <c r="C1759" s="2" t="s">
        <v>569</v>
      </c>
      <c r="D1759" s="2" t="str">
        <f t="shared" si="26"/>
        <v>Error?</v>
      </c>
    </row>
    <row r="1760" spans="1:5" x14ac:dyDescent="0.2">
      <c r="A1760" s="5">
        <v>1699</v>
      </c>
      <c r="B1760" s="1832">
        <f>'Tax Sched 23'!D4</f>
        <v>2811199</v>
      </c>
      <c r="C1760" s="2" t="s">
        <v>569</v>
      </c>
      <c r="D1760" s="2" t="str">
        <f t="shared" si="26"/>
        <v>Error?</v>
      </c>
    </row>
    <row r="1761" spans="1:7" x14ac:dyDescent="0.2">
      <c r="A1761" s="5">
        <v>1700</v>
      </c>
      <c r="B1761" s="1832">
        <f>'Tax Sched 23'!D5</f>
        <v>660942</v>
      </c>
      <c r="C1761" s="2" t="s">
        <v>569</v>
      </c>
      <c r="D1761" s="2" t="str">
        <f t="shared" si="26"/>
        <v>Error?</v>
      </c>
    </row>
    <row r="1762" spans="1:7" s="8" customFormat="1" x14ac:dyDescent="0.2">
      <c r="A1762" s="5">
        <v>1701</v>
      </c>
      <c r="B1762" s="1832">
        <f>'Tax Sched 23'!D6</f>
        <v>1108155</v>
      </c>
      <c r="C1762" s="2" t="s">
        <v>569</v>
      </c>
      <c r="D1762" s="2" t="str">
        <f t="shared" si="26"/>
        <v>Error?</v>
      </c>
      <c r="E1762" s="9"/>
      <c r="G1762"/>
    </row>
    <row r="1763" spans="1:7" x14ac:dyDescent="0.2">
      <c r="A1763" s="5">
        <v>1702</v>
      </c>
      <c r="B1763" s="1832">
        <f>'Tax Sched 23'!D7</f>
        <v>211499</v>
      </c>
      <c r="C1763" s="2" t="s">
        <v>569</v>
      </c>
      <c r="D1763" s="2" t="str">
        <f t="shared" si="26"/>
        <v>Error?</v>
      </c>
    </row>
    <row r="1764" spans="1:7" x14ac:dyDescent="0.2">
      <c r="A1764" s="5">
        <v>1703</v>
      </c>
      <c r="B1764" s="1832">
        <f>'Tax Sched 23'!D8</f>
        <v>85491</v>
      </c>
      <c r="C1764" s="2" t="s">
        <v>569</v>
      </c>
      <c r="D1764" s="2" t="str">
        <f t="shared" si="26"/>
        <v>Error?</v>
      </c>
    </row>
    <row r="1765" spans="1:7" x14ac:dyDescent="0.2">
      <c r="A1765" s="5">
        <v>1704</v>
      </c>
      <c r="B1765" s="1832">
        <f>'Tax Sched 23'!D10</f>
        <v>44060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546432</v>
      </c>
      <c r="C1768" s="2" t="s">
        <v>569</v>
      </c>
      <c r="D1768" s="2" t="str">
        <f t="shared" si="26"/>
        <v>Error?</v>
      </c>
    </row>
    <row r="1769" spans="1:7" x14ac:dyDescent="0.2">
      <c r="A1769" s="5">
        <v>1708</v>
      </c>
      <c r="B1769" s="1832">
        <f>'Tax Sched 23'!D12</f>
        <v>44060</v>
      </c>
      <c r="C1769" s="2" t="s">
        <v>569</v>
      </c>
      <c r="D1769" s="2" t="str">
        <f t="shared" si="26"/>
        <v>Error?</v>
      </c>
    </row>
    <row r="1770" spans="1:7" x14ac:dyDescent="0.2">
      <c r="A1770" s="5">
        <v>1709</v>
      </c>
      <c r="B1770" s="1832">
        <f>'Tax Sched 23'!D14</f>
        <v>35253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5723354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2967363</v>
      </c>
      <c r="C1792" s="2" t="s">
        <v>569</v>
      </c>
      <c r="D1792" s="2" t="str">
        <f t="shared" si="27"/>
        <v>Error?</v>
      </c>
    </row>
    <row r="1793" spans="1:4" x14ac:dyDescent="0.2">
      <c r="A1793" s="5">
        <v>1732</v>
      </c>
      <c r="B1793" s="1832">
        <f>'Tax Sched 23'!F5</f>
        <v>697656</v>
      </c>
      <c r="C1793" s="2" t="s">
        <v>569</v>
      </c>
      <c r="D1793" s="2" t="str">
        <f t="shared" si="27"/>
        <v>Error?</v>
      </c>
    </row>
    <row r="1794" spans="1:4" x14ac:dyDescent="0.2">
      <c r="A1794" s="5">
        <v>1733</v>
      </c>
      <c r="B1794" s="1832">
        <f>'Tax Sched 23'!F6</f>
        <v>977862</v>
      </c>
      <c r="C1794" s="2" t="s">
        <v>569</v>
      </c>
      <c r="D1794" s="2" t="str">
        <f t="shared" si="27"/>
        <v>Error?</v>
      </c>
    </row>
    <row r="1795" spans="1:4" x14ac:dyDescent="0.2">
      <c r="A1795" s="5">
        <v>1734</v>
      </c>
      <c r="B1795" s="1832">
        <f>'Tax Sched 23'!F7</f>
        <v>223250</v>
      </c>
      <c r="C1795" s="2" t="s">
        <v>569</v>
      </c>
      <c r="D1795" s="2" t="str">
        <f t="shared" si="27"/>
        <v>Error?</v>
      </c>
    </row>
    <row r="1796" spans="1:4" x14ac:dyDescent="0.2">
      <c r="A1796" s="5">
        <v>1735</v>
      </c>
      <c r="B1796" s="1832">
        <f>'Tax Sched 23'!F8</f>
        <v>20009</v>
      </c>
      <c r="C1796" s="2" t="s">
        <v>569</v>
      </c>
      <c r="D1796" s="2" t="str">
        <f t="shared" si="27"/>
        <v>Error?</v>
      </c>
    </row>
    <row r="1797" spans="1:4" x14ac:dyDescent="0.2">
      <c r="A1797" s="5">
        <v>1736</v>
      </c>
      <c r="B1797" s="1832">
        <f>'Tax Sched 23'!F10</f>
        <v>46510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475001</v>
      </c>
      <c r="C1800" s="2" t="s">
        <v>569</v>
      </c>
      <c r="D1800" s="2" t="str">
        <f t="shared" si="27"/>
        <v>Error?</v>
      </c>
    </row>
    <row r="1801" spans="1:4" x14ac:dyDescent="0.2">
      <c r="A1801" s="5">
        <v>1740</v>
      </c>
      <c r="B1801" s="1832">
        <f>'Tax Sched 23'!F12</f>
        <v>46510</v>
      </c>
      <c r="C1801" s="2" t="s">
        <v>569</v>
      </c>
      <c r="D1801" s="2" t="str">
        <f t="shared" si="27"/>
        <v>Error?</v>
      </c>
    </row>
    <row r="1802" spans="1:4" x14ac:dyDescent="0.2">
      <c r="A1802" s="5">
        <v>1741</v>
      </c>
      <c r="B1802" s="1832">
        <f>'Tax Sched 23'!F14</f>
        <v>37208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5642881</v>
      </c>
      <c r="C1807" s="2" t="s">
        <v>569</v>
      </c>
      <c r="D1807" s="2" t="str">
        <f t="shared" si="27"/>
        <v>Error?</v>
      </c>
    </row>
    <row r="1808" spans="1:4" x14ac:dyDescent="0.2">
      <c r="A1808" s="5">
        <v>1747</v>
      </c>
      <c r="B1808" s="1832">
        <f>'Tax Sched 23'!E4</f>
        <v>2967363</v>
      </c>
      <c r="D1808" s="2" t="str">
        <f t="shared" si="27"/>
        <v>Error?</v>
      </c>
    </row>
    <row r="1809" spans="1:4" x14ac:dyDescent="0.2">
      <c r="A1809" s="5">
        <v>1748</v>
      </c>
      <c r="B1809" s="1832">
        <f>'Tax Sched 23'!E5</f>
        <v>697656</v>
      </c>
      <c r="D1809" s="2" t="str">
        <f t="shared" si="27"/>
        <v>Error?</v>
      </c>
    </row>
    <row r="1810" spans="1:4" x14ac:dyDescent="0.2">
      <c r="A1810" s="5">
        <v>1749</v>
      </c>
      <c r="B1810" s="1832">
        <f>'Tax Sched 23'!E6</f>
        <v>977862</v>
      </c>
      <c r="D1810" s="2" t="str">
        <f t="shared" si="27"/>
        <v>Error?</v>
      </c>
    </row>
    <row r="1811" spans="1:4" x14ac:dyDescent="0.2">
      <c r="A1811" s="5">
        <v>1750</v>
      </c>
      <c r="B1811" s="1832">
        <f>'Tax Sched 23'!E7</f>
        <v>223250</v>
      </c>
      <c r="D1811" s="2" t="str">
        <f t="shared" si="27"/>
        <v>Error?</v>
      </c>
    </row>
    <row r="1812" spans="1:4" x14ac:dyDescent="0.2">
      <c r="A1812" s="5">
        <v>1751</v>
      </c>
      <c r="B1812" s="1832">
        <f>'Tax Sched 23'!E8</f>
        <v>20009</v>
      </c>
      <c r="D1812" s="2" t="str">
        <f t="shared" si="27"/>
        <v>Error?</v>
      </c>
    </row>
    <row r="1813" spans="1:4" x14ac:dyDescent="0.2">
      <c r="A1813" s="5">
        <v>1752</v>
      </c>
      <c r="B1813" s="1832">
        <f>'Tax Sched 23'!E10</f>
        <v>46510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475001</v>
      </c>
      <c r="D1816" s="2" t="str">
        <f t="shared" si="27"/>
        <v>Error?</v>
      </c>
    </row>
    <row r="1817" spans="1:4" x14ac:dyDescent="0.2">
      <c r="A1817" s="5">
        <v>1756</v>
      </c>
      <c r="B1817" s="1832">
        <f>'Tax Sched 23'!E12</f>
        <v>46510</v>
      </c>
      <c r="D1817" s="2" t="str">
        <f t="shared" si="27"/>
        <v>Error?</v>
      </c>
    </row>
    <row r="1818" spans="1:4" x14ac:dyDescent="0.2">
      <c r="A1818" s="5">
        <v>1757</v>
      </c>
      <c r="B1818" s="1832">
        <f>'Tax Sched 23'!E14</f>
        <v>37208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5642881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17618380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35273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35273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35273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47992</v>
      </c>
      <c r="D2008" s="2" t="str">
        <f t="shared" si="30"/>
        <v>Error?</v>
      </c>
    </row>
    <row r="2009" spans="1:4" x14ac:dyDescent="0.2">
      <c r="A2009" s="5">
        <v>1948</v>
      </c>
      <c r="B2009" s="1832">
        <f>'Cap Outlay Deprec 26'!C8</f>
        <v>20349587</v>
      </c>
      <c r="D2009" s="2" t="str">
        <f t="shared" si="30"/>
        <v>Error?</v>
      </c>
    </row>
    <row r="2010" spans="1:4" x14ac:dyDescent="0.2">
      <c r="A2010" s="5">
        <v>1949</v>
      </c>
      <c r="B2010" s="1832">
        <f>'Cap Outlay Deprec 26'!C10</f>
        <v>4795736</v>
      </c>
      <c r="D2010" s="2" t="str">
        <f t="shared" si="30"/>
        <v>Error?</v>
      </c>
    </row>
    <row r="2011" spans="1:4" x14ac:dyDescent="0.2">
      <c r="A2011" s="5">
        <v>1950</v>
      </c>
      <c r="B2011" s="1832">
        <f>'Cap Outlay Deprec 26'!C12</f>
        <v>2591808</v>
      </c>
      <c r="D2011" s="2" t="str">
        <f t="shared" si="30"/>
        <v>Error?</v>
      </c>
    </row>
    <row r="2012" spans="1:4" x14ac:dyDescent="0.2">
      <c r="A2012" s="5">
        <v>1951</v>
      </c>
      <c r="B2012" s="1832">
        <f>'Cap Outlay Deprec 26'!C13</f>
        <v>789522</v>
      </c>
      <c r="D2012" s="2" t="str">
        <f t="shared" si="30"/>
        <v>Error?</v>
      </c>
    </row>
    <row r="2013" spans="1:4" x14ac:dyDescent="0.2">
      <c r="A2013" s="5">
        <v>1952</v>
      </c>
      <c r="B2013" s="1832">
        <f>'Cap Outlay Deprec 26'!C16</f>
        <v>28574645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793265</v>
      </c>
      <c r="D2016" s="2" t="str">
        <f t="shared" si="30"/>
        <v>Error?</v>
      </c>
    </row>
    <row r="2017" spans="1:4" x14ac:dyDescent="0.2">
      <c r="A2017" s="5">
        <v>1956</v>
      </c>
      <c r="B2017" s="1832">
        <f>'Cap Outlay Deprec 26'!D12</f>
        <v>117628</v>
      </c>
      <c r="D2017" s="2" t="str">
        <f t="shared" si="30"/>
        <v>Error?</v>
      </c>
    </row>
    <row r="2018" spans="1:4" x14ac:dyDescent="0.2">
      <c r="A2018" s="5">
        <v>1957</v>
      </c>
      <c r="B2018" s="1832">
        <f>'Cap Outlay Deprec 26'!D13</f>
        <v>53893</v>
      </c>
      <c r="D2018" s="2" t="str">
        <f t="shared" si="30"/>
        <v>Error?</v>
      </c>
    </row>
    <row r="2019" spans="1:4" x14ac:dyDescent="0.2">
      <c r="A2019" s="5">
        <v>1958</v>
      </c>
      <c r="B2019" s="1832">
        <f>'Cap Outlay Deprec 26'!D16</f>
        <v>964786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47992</v>
      </c>
      <c r="C2026" s="2" t="s">
        <v>569</v>
      </c>
      <c r="D2026" s="2" t="str">
        <f t="shared" si="30"/>
        <v>Error?</v>
      </c>
    </row>
    <row r="2027" spans="1:4" x14ac:dyDescent="0.2">
      <c r="A2027" s="5">
        <v>1966</v>
      </c>
      <c r="B2027" s="1832">
        <f>'Cap Outlay Deprec 26'!F8</f>
        <v>20349587</v>
      </c>
      <c r="C2027" s="2" t="s">
        <v>569</v>
      </c>
      <c r="D2027" s="2" t="str">
        <f t="shared" si="30"/>
        <v>Error?</v>
      </c>
    </row>
    <row r="2028" spans="1:4" x14ac:dyDescent="0.2">
      <c r="A2028" s="5">
        <v>1967</v>
      </c>
      <c r="B2028" s="1832">
        <f>'Cap Outlay Deprec 26'!F10</f>
        <v>5589001</v>
      </c>
      <c r="C2028" s="2" t="s">
        <v>569</v>
      </c>
      <c r="D2028" s="2" t="str">
        <f t="shared" si="30"/>
        <v>Error?</v>
      </c>
    </row>
    <row r="2029" spans="1:4" x14ac:dyDescent="0.2">
      <c r="A2029" s="5">
        <v>1968</v>
      </c>
      <c r="B2029" s="1832">
        <f>'Cap Outlay Deprec 26'!F12</f>
        <v>2709436</v>
      </c>
      <c r="C2029" s="2" t="s">
        <v>569</v>
      </c>
      <c r="D2029" s="2" t="str">
        <f t="shared" si="30"/>
        <v>Error?</v>
      </c>
    </row>
    <row r="2030" spans="1:4" x14ac:dyDescent="0.2">
      <c r="A2030" s="5">
        <v>1969</v>
      </c>
      <c r="B2030" s="1832">
        <f>'Cap Outlay Deprec 26'!F13</f>
        <v>843415</v>
      </c>
      <c r="C2030" s="2" t="s">
        <v>569</v>
      </c>
      <c r="D2030" s="2" t="str">
        <f t="shared" si="30"/>
        <v>Error?</v>
      </c>
    </row>
    <row r="2031" spans="1:4" x14ac:dyDescent="0.2">
      <c r="A2031" s="5">
        <v>1970</v>
      </c>
      <c r="B2031" s="1832">
        <f>'Cap Outlay Deprec 26'!F16</f>
        <v>29539431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3052324</v>
      </c>
      <c r="D2033" s="2" t="str">
        <f t="shared" si="30"/>
        <v>Error?</v>
      </c>
    </row>
    <row r="2034" spans="1:4" x14ac:dyDescent="0.2">
      <c r="A2034" s="5">
        <v>1973</v>
      </c>
      <c r="B2034" s="1832">
        <f>'Cap Outlay Deprec 26'!H10</f>
        <v>2892176</v>
      </c>
      <c r="D2034" s="2" t="str">
        <f t="shared" si="30"/>
        <v>Error?</v>
      </c>
    </row>
    <row r="2035" spans="1:4" x14ac:dyDescent="0.2">
      <c r="A2035" s="5">
        <v>1974</v>
      </c>
      <c r="B2035" s="1832">
        <f>'Cap Outlay Deprec 26'!H12</f>
        <v>2032412</v>
      </c>
      <c r="D2035" s="2" t="str">
        <f t="shared" si="30"/>
        <v>Error?</v>
      </c>
    </row>
    <row r="2036" spans="1:4" x14ac:dyDescent="0.2">
      <c r="A2036" s="5">
        <v>1975</v>
      </c>
      <c r="B2036" s="1832">
        <f>'Cap Outlay Deprec 26'!H13</f>
        <v>476229</v>
      </c>
      <c r="D2036" s="2" t="str">
        <f t="shared" si="30"/>
        <v>Error?</v>
      </c>
    </row>
    <row r="2037" spans="1:4" x14ac:dyDescent="0.2">
      <c r="A2037" s="5">
        <v>1976</v>
      </c>
      <c r="B2037" s="1832">
        <f>'Cap Outlay Deprec 26'!H16</f>
        <v>8453141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406992</v>
      </c>
      <c r="D2039" s="2" t="str">
        <f t="shared" si="30"/>
        <v>Error?</v>
      </c>
    </row>
    <row r="2040" spans="1:4" x14ac:dyDescent="0.2">
      <c r="A2040" s="5">
        <v>1979</v>
      </c>
      <c r="B2040" s="1832">
        <f>'Cap Outlay Deprec 26'!I10</f>
        <v>271511</v>
      </c>
      <c r="D2040" s="2" t="str">
        <f t="shared" si="30"/>
        <v>Error?</v>
      </c>
    </row>
    <row r="2041" spans="1:4" x14ac:dyDescent="0.2">
      <c r="A2041" s="5">
        <v>1980</v>
      </c>
      <c r="B2041" s="1832">
        <f>'Cap Outlay Deprec 26'!I12</f>
        <v>124093</v>
      </c>
      <c r="D2041" s="2" t="str">
        <f t="shared" si="30"/>
        <v>Error?</v>
      </c>
    </row>
    <row r="2042" spans="1:4" x14ac:dyDescent="0.2">
      <c r="A2042" s="5">
        <v>1981</v>
      </c>
      <c r="B2042" s="1832">
        <f>'Cap Outlay Deprec 26'!I13</f>
        <v>115090</v>
      </c>
      <c r="D2042" s="2" t="str">
        <f t="shared" si="30"/>
        <v>Error?</v>
      </c>
    </row>
    <row r="2043" spans="1:4" x14ac:dyDescent="0.2">
      <c r="A2043" s="5">
        <v>1982</v>
      </c>
      <c r="B2043" s="1832">
        <f>'Cap Outlay Deprec 26'!I16</f>
        <v>917686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3459316</v>
      </c>
      <c r="C2051" s="2" t="s">
        <v>569</v>
      </c>
      <c r="D2051" s="2" t="str">
        <f t="shared" si="31"/>
        <v>Error?</v>
      </c>
    </row>
    <row r="2052" spans="1:4" x14ac:dyDescent="0.2">
      <c r="A2052" s="5">
        <v>1991</v>
      </c>
      <c r="B2052" s="1832">
        <f>'Cap Outlay Deprec 26'!K10</f>
        <v>3163687</v>
      </c>
      <c r="C2052" s="2" t="s">
        <v>569</v>
      </c>
      <c r="D2052" s="2" t="str">
        <f t="shared" si="31"/>
        <v>Error?</v>
      </c>
    </row>
    <row r="2053" spans="1:4" x14ac:dyDescent="0.2">
      <c r="A2053" s="5">
        <v>1992</v>
      </c>
      <c r="B2053" s="1832">
        <f>'Cap Outlay Deprec 26'!K12</f>
        <v>2156505</v>
      </c>
      <c r="C2053" s="2" t="s">
        <v>569</v>
      </c>
      <c r="D2053" s="2" t="str">
        <f t="shared" si="31"/>
        <v>Error?</v>
      </c>
    </row>
    <row r="2054" spans="1:4" x14ac:dyDescent="0.2">
      <c r="A2054" s="5">
        <v>1993</v>
      </c>
      <c r="B2054" s="1832">
        <f>'Cap Outlay Deprec 26'!K13</f>
        <v>591319</v>
      </c>
      <c r="C2054" s="2" t="s">
        <v>569</v>
      </c>
      <c r="D2054" s="2" t="str">
        <f t="shared" si="31"/>
        <v>Error?</v>
      </c>
    </row>
    <row r="2055" spans="1:4" x14ac:dyDescent="0.2">
      <c r="A2055" s="5">
        <v>1994</v>
      </c>
      <c r="B2055" s="1832">
        <f>'Cap Outlay Deprec 26'!K16</f>
        <v>9370827</v>
      </c>
      <c r="C2055" s="2" t="s">
        <v>569</v>
      </c>
      <c r="D2055" s="2" t="str">
        <f t="shared" si="31"/>
        <v>Error?</v>
      </c>
    </row>
    <row r="2056" spans="1:4" x14ac:dyDescent="0.2">
      <c r="A2056" s="5">
        <v>1995</v>
      </c>
      <c r="B2056" s="1832">
        <f>'Cap Outlay Deprec 26'!L5</f>
        <v>47992</v>
      </c>
      <c r="C2056" s="2" t="s">
        <v>569</v>
      </c>
      <c r="D2056" s="2" t="str">
        <f t="shared" si="31"/>
        <v>Error?</v>
      </c>
    </row>
    <row r="2057" spans="1:4" x14ac:dyDescent="0.2">
      <c r="A2057" s="5">
        <v>1996</v>
      </c>
      <c r="B2057" s="1832">
        <f>'Cap Outlay Deprec 26'!L8</f>
        <v>16890271</v>
      </c>
      <c r="C2057" s="2" t="s">
        <v>569</v>
      </c>
      <c r="D2057" s="2" t="str">
        <f t="shared" si="31"/>
        <v>Error?</v>
      </c>
    </row>
    <row r="2058" spans="1:4" x14ac:dyDescent="0.2">
      <c r="A2058" s="5">
        <v>1997</v>
      </c>
      <c r="B2058" s="1832">
        <f>'Cap Outlay Deprec 26'!L10</f>
        <v>2425314</v>
      </c>
      <c r="C2058" s="2" t="s">
        <v>569</v>
      </c>
      <c r="D2058" s="2" t="str">
        <f t="shared" si="31"/>
        <v>Error?</v>
      </c>
    </row>
    <row r="2059" spans="1:4" x14ac:dyDescent="0.2">
      <c r="A2059" s="5">
        <v>1998</v>
      </c>
      <c r="B2059" s="1832">
        <f>'Cap Outlay Deprec 26'!L12</f>
        <v>552931</v>
      </c>
      <c r="C2059" s="2" t="s">
        <v>569</v>
      </c>
      <c r="D2059" s="2" t="str">
        <f t="shared" si="31"/>
        <v>Error?</v>
      </c>
    </row>
    <row r="2060" spans="1:4" x14ac:dyDescent="0.2">
      <c r="A2060" s="5">
        <v>1999</v>
      </c>
      <c r="B2060" s="1832">
        <f>'Cap Outlay Deprec 26'!L13</f>
        <v>252096</v>
      </c>
      <c r="C2060" s="2" t="s">
        <v>569</v>
      </c>
      <c r="D2060" s="2" t="str">
        <f t="shared" si="31"/>
        <v>Error?</v>
      </c>
    </row>
    <row r="2061" spans="1:4" x14ac:dyDescent="0.2">
      <c r="A2061" s="5">
        <v>2000</v>
      </c>
      <c r="B2061" s="1832">
        <f>'Cap Outlay Deprec 26'!L16</f>
        <v>20168604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866661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866661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63630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3382283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1770773</v>
      </c>
      <c r="C2553" s="2" t="s">
        <v>569</v>
      </c>
      <c r="D2553" s="2" t="str">
        <f t="shared" si="38"/>
        <v>Error?</v>
      </c>
    </row>
    <row r="2554" spans="1:4" x14ac:dyDescent="0.2">
      <c r="A2554" s="5">
        <v>2493</v>
      </c>
      <c r="B2554" s="1832">
        <f>'Acct Summary 7-8'!C7</f>
        <v>638131</v>
      </c>
      <c r="C2554" s="2" t="s">
        <v>569</v>
      </c>
      <c r="D2554" s="2" t="str">
        <f t="shared" si="38"/>
        <v>Error?</v>
      </c>
    </row>
    <row r="2555" spans="1:4" x14ac:dyDescent="0.2">
      <c r="A2555" s="5">
        <v>2494</v>
      </c>
      <c r="B2555" s="1832">
        <f>'Acct Summary 7-8'!C8</f>
        <v>5835886</v>
      </c>
      <c r="C2555" s="2" t="s">
        <v>569</v>
      </c>
      <c r="D2555" s="2" t="str">
        <f t="shared" si="38"/>
        <v>Error?</v>
      </c>
    </row>
    <row r="2556" spans="1:4" x14ac:dyDescent="0.2">
      <c r="A2556" s="5">
        <v>2495</v>
      </c>
      <c r="B2556" s="1832">
        <f>'Acct Summary 7-8'!C12</f>
        <v>3414729</v>
      </c>
      <c r="C2556" s="2" t="s">
        <v>569</v>
      </c>
      <c r="D2556" s="2" t="str">
        <f t="shared" si="38"/>
        <v>Error?</v>
      </c>
    </row>
    <row r="2557" spans="1:4" x14ac:dyDescent="0.2">
      <c r="A2557" s="5">
        <v>2496</v>
      </c>
      <c r="B2557" s="1832">
        <f>'Acct Summary 7-8'!C13</f>
        <v>1058193</v>
      </c>
      <c r="C2557" s="2" t="s">
        <v>569</v>
      </c>
      <c r="D2557" s="2" t="str">
        <f t="shared" si="38"/>
        <v>Error?</v>
      </c>
    </row>
    <row r="2558" spans="1:4" x14ac:dyDescent="0.2">
      <c r="A2558" s="5">
        <v>2497</v>
      </c>
      <c r="B2558" s="1832">
        <f>'Acct Summary 7-8'!C14</f>
        <v>25366</v>
      </c>
      <c r="C2558" s="2" t="s">
        <v>569</v>
      </c>
      <c r="D2558" s="2" t="str">
        <f t="shared" si="38"/>
        <v>Error?</v>
      </c>
    </row>
    <row r="2559" spans="1:4" x14ac:dyDescent="0.2">
      <c r="A2559" s="5">
        <v>2498</v>
      </c>
      <c r="B2559" s="1832">
        <f>'Acct Summary 7-8'!C15</f>
        <v>866661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5364949</v>
      </c>
      <c r="C2561" s="2" t="s">
        <v>569</v>
      </c>
      <c r="D2561" s="2" t="str">
        <f t="shared" si="39"/>
        <v>Error?</v>
      </c>
    </row>
    <row r="2562" spans="1:4" x14ac:dyDescent="0.2">
      <c r="A2562" s="5">
        <v>2501</v>
      </c>
      <c r="B2562" s="1832">
        <f>'Acct Summary 7-8'!C20</f>
        <v>470937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699600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47954</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747554</v>
      </c>
      <c r="C2568" s="2" t="s">
        <v>569</v>
      </c>
      <c r="D2568" s="2" t="str">
        <f t="shared" si="39"/>
        <v>Error?</v>
      </c>
    </row>
    <row r="2569" spans="1:4" x14ac:dyDescent="0.2">
      <c r="A2569" s="5">
        <v>2508</v>
      </c>
      <c r="B2569" s="1832">
        <f>'Acct Summary 7-8'!D13</f>
        <v>1647494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1647494</v>
      </c>
      <c r="C2573" s="2" t="s">
        <v>569</v>
      </c>
      <c r="D2573" s="2" t="str">
        <f t="shared" si="39"/>
        <v>Error?</v>
      </c>
    </row>
    <row r="2574" spans="1:4" x14ac:dyDescent="0.2">
      <c r="A2574" s="5">
        <v>2513</v>
      </c>
      <c r="B2574" s="1832">
        <f>'Acct Summary 7-8'!D20</f>
        <v>-899940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221229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255579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476808</v>
      </c>
      <c r="C2595" s="2" t="s">
        <v>569</v>
      </c>
      <c r="D2595" s="2" t="str">
        <f t="shared" si="39"/>
        <v>Error?</v>
      </c>
    </row>
    <row r="2596" spans="1:4" x14ac:dyDescent="0.2">
      <c r="A2596" s="5">
        <v>2535</v>
      </c>
      <c r="B2596" s="1832">
        <f>'Acct Summary 7-8'!F13</f>
        <v>418290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115963</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534253</v>
      </c>
      <c r="C2600" s="2" t="s">
        <v>569</v>
      </c>
      <c r="D2600" s="2" t="str">
        <f t="shared" si="39"/>
        <v>Error?</v>
      </c>
    </row>
    <row r="2601" spans="1:4" x14ac:dyDescent="0.2">
      <c r="A2601" s="5">
        <v>2540</v>
      </c>
      <c r="B2601" s="1832">
        <f>'Acct Summary 7-8'!F20</f>
        <v>-57445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232708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232708</v>
      </c>
      <c r="C2606" s="2" t="s">
        <v>569</v>
      </c>
      <c r="D2606" s="2" t="str">
        <f t="shared" si="39"/>
        <v>Error?</v>
      </c>
    </row>
    <row r="2607" spans="1:4" x14ac:dyDescent="0.2">
      <c r="A2607" s="5">
        <v>2546</v>
      </c>
      <c r="B2607" s="1832">
        <f>'Acct Summary 7-8'!G12</f>
        <v>49489</v>
      </c>
      <c r="C2607" s="2" t="s">
        <v>569</v>
      </c>
      <c r="D2607" s="2" t="str">
        <f t="shared" si="39"/>
        <v>Error?</v>
      </c>
    </row>
    <row r="2608" spans="1:4" x14ac:dyDescent="0.2">
      <c r="A2608" s="5">
        <v>2547</v>
      </c>
      <c r="B2608" s="1832">
        <f>'Acct Summary 7-8'!G13</f>
        <v>118747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168236</v>
      </c>
      <c r="C2612" s="2" t="s">
        <v>569</v>
      </c>
      <c r="D2612" s="2" t="str">
        <f t="shared" si="39"/>
        <v>Error?</v>
      </c>
    </row>
    <row r="2613" spans="1:4" x14ac:dyDescent="0.2">
      <c r="A2613" s="5">
        <v>2552</v>
      </c>
      <c r="B2613" s="1832">
        <f>'Acct Summary 7-8'!G20</f>
        <v>64472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1108800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1108800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1099931</v>
      </c>
      <c r="C2634" s="2" t="s">
        <v>569</v>
      </c>
      <c r="D2634" s="2" t="str">
        <f t="shared" si="40"/>
        <v>Error?</v>
      </c>
    </row>
    <row r="2635" spans="1:4" x14ac:dyDescent="0.2">
      <c r="A2635" s="5">
        <v>2574</v>
      </c>
      <c r="B2635" s="1832">
        <f>'Acct Summary 7-8'!E17</f>
        <v>1099931</v>
      </c>
      <c r="C2635" s="2" t="s">
        <v>569</v>
      </c>
      <c r="D2635" s="2" t="str">
        <f t="shared" si="40"/>
        <v>Error?</v>
      </c>
    </row>
    <row r="2636" spans="1:4" x14ac:dyDescent="0.2">
      <c r="A2636" s="5">
        <v>2575</v>
      </c>
      <c r="B2636" s="1832">
        <f>'Acct Summary 7-8'!E20</f>
        <v>8869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115963</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115963</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1447426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1575797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78433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1575797</v>
      </c>
      <c r="D2912" s="2" t="str">
        <f t="shared" si="44"/>
        <v>Error?</v>
      </c>
    </row>
    <row r="2913" spans="1:4" x14ac:dyDescent="0.2">
      <c r="A2913" s="5">
        <v>2852</v>
      </c>
      <c r="B2913" s="1832">
        <f>'Assets-Liab 5-6'!I41</f>
        <v>1575797</v>
      </c>
      <c r="C2913" s="2" t="s">
        <v>569</v>
      </c>
      <c r="D2913" s="2" t="str">
        <f t="shared" si="44"/>
        <v>Error?</v>
      </c>
    </row>
    <row r="2914" spans="1:4" x14ac:dyDescent="0.2">
      <c r="A2914" s="5">
        <v>2853</v>
      </c>
      <c r="B2914" s="1832">
        <f>'Assets-Liab 5-6'!L33</f>
        <v>78433</v>
      </c>
      <c r="D2914" s="2" t="str">
        <f t="shared" si="44"/>
        <v>Error?</v>
      </c>
    </row>
    <row r="2915" spans="1:4" x14ac:dyDescent="0.2">
      <c r="A2915" s="10">
        <v>2854</v>
      </c>
      <c r="B2915" s="1832"/>
      <c r="D2915" s="2" t="str">
        <f t="shared" si="44"/>
        <v>OK</v>
      </c>
    </row>
    <row r="2916" spans="1:4" x14ac:dyDescent="0.2">
      <c r="A2916" s="5">
        <v>2855</v>
      </c>
      <c r="B2916" s="1832">
        <f>'Assets-Liab 5-6'!L34</f>
        <v>78433</v>
      </c>
      <c r="C2916" s="2" t="s">
        <v>569</v>
      </c>
      <c r="D2916" s="2" t="str">
        <f t="shared" si="44"/>
        <v>Error?</v>
      </c>
    </row>
    <row r="2917" spans="1:4" x14ac:dyDescent="0.2">
      <c r="A2917" s="5">
        <v>2856</v>
      </c>
      <c r="B2917" s="1832">
        <f>'Assets-Liab 5-6'!L41</f>
        <v>78433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6194</v>
      </c>
      <c r="D2955" s="2" t="str">
        <f t="shared" si="45"/>
        <v>Error?</v>
      </c>
    </row>
    <row r="2956" spans="1:4" x14ac:dyDescent="0.2">
      <c r="A2956" s="5">
        <v>2895</v>
      </c>
      <c r="B2956" s="1832">
        <f>'Expenditures 15-22'!H79</f>
        <v>841174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19293</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6194</v>
      </c>
      <c r="C2973" s="2" t="s">
        <v>569</v>
      </c>
      <c r="D2973" s="2" t="str">
        <f t="shared" si="45"/>
        <v>Error?</v>
      </c>
    </row>
    <row r="2974" spans="1:4" x14ac:dyDescent="0.2">
      <c r="A2974" s="5">
        <v>2913</v>
      </c>
      <c r="B2974" s="1832">
        <f>'Expenditures 15-22'!K79</f>
        <v>841174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19293</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115963</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115963</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84526</v>
      </c>
      <c r="D3055" s="2" t="str">
        <f t="shared" si="46"/>
        <v>Error?</v>
      </c>
    </row>
    <row r="3056" spans="1:4" x14ac:dyDescent="0.2">
      <c r="A3056" s="5">
        <v>2995</v>
      </c>
      <c r="B3056" s="1832">
        <f>'Expenditures 15-22'!D10</f>
        <v>19933</v>
      </c>
      <c r="D3056" s="2" t="str">
        <f t="shared" si="46"/>
        <v>Error?</v>
      </c>
    </row>
    <row r="3057" spans="1:4" x14ac:dyDescent="0.2">
      <c r="A3057" s="5">
        <v>2996</v>
      </c>
      <c r="B3057" s="1832">
        <f>'Expenditures 15-22'!E10</f>
        <v>31714</v>
      </c>
      <c r="D3057" s="2" t="str">
        <f t="shared" si="46"/>
        <v>Error?</v>
      </c>
    </row>
    <row r="3058" spans="1:4" x14ac:dyDescent="0.2">
      <c r="A3058" s="5">
        <v>2997</v>
      </c>
      <c r="B3058" s="1832">
        <f>'Expenditures 15-22'!F10</f>
        <v>96226</v>
      </c>
      <c r="D3058" s="2" t="str">
        <f t="shared" si="46"/>
        <v>Error?</v>
      </c>
    </row>
    <row r="3059" spans="1:4" x14ac:dyDescent="0.2">
      <c r="A3059" s="5">
        <v>2998</v>
      </c>
      <c r="B3059" s="1832">
        <f>'Expenditures 15-22'!G10</f>
        <v>37155</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269554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5108</v>
      </c>
      <c r="D3064" s="2" t="str">
        <f t="shared" si="46"/>
        <v>Error?</v>
      </c>
    </row>
    <row r="3065" spans="1:4" x14ac:dyDescent="0.2">
      <c r="A3065" s="5">
        <v>3004</v>
      </c>
      <c r="B3065" s="1832">
        <f>'Expenditures 15-22'!K219</f>
        <v>5108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77934</v>
      </c>
      <c r="C3225" s="2" t="s">
        <v>569</v>
      </c>
      <c r="D3225" s="2" t="str">
        <f t="shared" si="49"/>
        <v>Error?</v>
      </c>
    </row>
    <row r="3226" spans="1:4" x14ac:dyDescent="0.2">
      <c r="A3226" s="5">
        <v>3165</v>
      </c>
      <c r="B3226" s="1832">
        <f>'Acct Summary 7-8'!I8</f>
        <v>77934</v>
      </c>
      <c r="C3226" s="2" t="s">
        <v>569</v>
      </c>
      <c r="D3226" s="2" t="str">
        <f t="shared" si="49"/>
        <v>Error?</v>
      </c>
    </row>
    <row r="3227" spans="1:4" x14ac:dyDescent="0.2">
      <c r="A3227" s="5">
        <v>3166</v>
      </c>
      <c r="B3227" s="1832">
        <f>'Acct Summary 7-8'!I20</f>
        <v>77934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470937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-899940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-57445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64472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8869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77934</v>
      </c>
      <c r="C3320" s="2" t="s">
        <v>569</v>
      </c>
      <c r="D3320" s="2" t="str">
        <f t="shared" si="50"/>
        <v>Error?</v>
      </c>
    </row>
    <row r="3321" spans="1:4" x14ac:dyDescent="0.2">
      <c r="A3321" s="5">
        <v>3260</v>
      </c>
      <c r="B3321" s="1832">
        <f>'Acct Summary 7-8'!I79</f>
        <v>1497863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1575797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31752</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31752</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44699</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1473798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128407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32061</v>
      </c>
      <c r="D3417" s="2" t="str">
        <f t="shared" si="52"/>
        <v>Error?</v>
      </c>
    </row>
    <row r="3418" spans="1:4" x14ac:dyDescent="0.2">
      <c r="A3418" s="10">
        <v>3357</v>
      </c>
      <c r="B3418" s="1832"/>
      <c r="D3418" s="2" t="str">
        <f t="shared" si="52"/>
        <v>OK</v>
      </c>
    </row>
    <row r="3419" spans="1:4" x14ac:dyDescent="0.2">
      <c r="A3419" s="5">
        <v>3358</v>
      </c>
      <c r="B3419" s="1832">
        <f>'Assets-Liab 5-6'!F4</f>
        <v>237149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169436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128371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78433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132203</v>
      </c>
      <c r="C3446" s="2" t="s">
        <v>569</v>
      </c>
      <c r="D3446" s="2" t="str">
        <f t="shared" si="52"/>
        <v>Error?</v>
      </c>
    </row>
    <row r="3447" spans="1:4" x14ac:dyDescent="0.2">
      <c r="A3447" s="5">
        <v>3386</v>
      </c>
      <c r="B3447" s="1832">
        <f>'Tax Sched 23'!D16</f>
        <v>132203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105002</v>
      </c>
      <c r="C3449" s="2" t="s">
        <v>569</v>
      </c>
      <c r="D3449" s="2" t="str">
        <f t="shared" si="52"/>
        <v>Error?</v>
      </c>
    </row>
    <row r="3450" spans="1:4" x14ac:dyDescent="0.2">
      <c r="A3450" s="5">
        <v>3389</v>
      </c>
      <c r="B3450" s="1832">
        <f>'Tax Sched 23'!E16</f>
        <v>105002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100184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33000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133184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133184</v>
      </c>
      <c r="D3567" s="2" t="str">
        <f t="shared" si="54"/>
        <v>Error?</v>
      </c>
    </row>
    <row r="3568" spans="1:4" x14ac:dyDescent="0.2">
      <c r="A3568" s="5">
        <v>3507</v>
      </c>
      <c r="B3568" s="1832">
        <f>'Assets-Liab 5-6'!K41</f>
        <v>133184</v>
      </c>
      <c r="C3568" s="2" t="s">
        <v>569</v>
      </c>
      <c r="D3568" s="2" t="str">
        <f t="shared" si="54"/>
        <v>Error?</v>
      </c>
    </row>
    <row r="3569" spans="1:4" x14ac:dyDescent="0.2">
      <c r="A3569" s="5">
        <v>3508</v>
      </c>
      <c r="B3569" s="1832">
        <f>'Acct Summary 7-8'!K4</f>
        <v>44910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44910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44910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44910</v>
      </c>
      <c r="C3588" s="2" t="s">
        <v>569</v>
      </c>
      <c r="D3588" s="2" t="str">
        <f t="shared" si="55"/>
        <v>Error?</v>
      </c>
    </row>
    <row r="3589" spans="1:4" x14ac:dyDescent="0.2">
      <c r="A3589" s="5">
        <v>3528</v>
      </c>
      <c r="B3589" s="1832">
        <f>'Acct Summary 7-8'!K79</f>
        <v>88274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133184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44910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44060</v>
      </c>
      <c r="C3725" s="2" t="s">
        <v>569</v>
      </c>
      <c r="D3725" s="2" t="str">
        <f t="shared" si="57"/>
        <v>Error?</v>
      </c>
    </row>
    <row r="3726" spans="1:4" x14ac:dyDescent="0.2">
      <c r="A3726" s="5">
        <v>3665</v>
      </c>
      <c r="B3726" s="1832">
        <f>'Tax Sched 23'!D13</f>
        <v>44060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46510</v>
      </c>
      <c r="C3728" s="2" t="s">
        <v>569</v>
      </c>
      <c r="D3728" s="2" t="str">
        <f t="shared" si="57"/>
        <v>Error?</v>
      </c>
    </row>
    <row r="3729" spans="1:4" x14ac:dyDescent="0.2">
      <c r="A3729" s="5">
        <v>3668</v>
      </c>
      <c r="B3729" s="1832">
        <f>'Tax Sched 23'!E13</f>
        <v>46510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2602664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8438550</v>
      </c>
      <c r="C4122" s="2" t="s">
        <v>569</v>
      </c>
      <c r="D4122" s="2" t="str">
        <f t="shared" si="63"/>
        <v>Error?</v>
      </c>
    </row>
    <row r="4123" spans="1:4" x14ac:dyDescent="0.2">
      <c r="A4123" s="5">
        <v>4062</v>
      </c>
      <c r="B4123" s="1832">
        <f>'Acct Summary 7-8'!D10</f>
        <v>747554</v>
      </c>
      <c r="C4123" s="2" t="s">
        <v>569</v>
      </c>
      <c r="D4123" s="2" t="str">
        <f t="shared" si="63"/>
        <v>Error?</v>
      </c>
    </row>
    <row r="4124" spans="1:4" x14ac:dyDescent="0.2">
      <c r="A4124" s="5">
        <v>4063</v>
      </c>
      <c r="B4124" s="1832">
        <f>'Acct Summary 7-8'!E10</f>
        <v>1108800</v>
      </c>
      <c r="C4124" s="2" t="s">
        <v>569</v>
      </c>
      <c r="D4124" s="2" t="str">
        <f t="shared" si="63"/>
        <v>Error?</v>
      </c>
    </row>
    <row r="4125" spans="1:4" x14ac:dyDescent="0.2">
      <c r="A4125" s="5">
        <v>4064</v>
      </c>
      <c r="B4125" s="1832">
        <f>'Acct Summary 7-8'!F10</f>
        <v>476808</v>
      </c>
      <c r="C4125" s="2" t="s">
        <v>569</v>
      </c>
      <c r="D4125" s="2" t="str">
        <f t="shared" si="63"/>
        <v>Error?</v>
      </c>
    </row>
    <row r="4126" spans="1:4" x14ac:dyDescent="0.2">
      <c r="A4126" s="5">
        <v>4065</v>
      </c>
      <c r="B4126" s="1832">
        <f>'Acct Summary 7-8'!G10</f>
        <v>232708</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77934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44910</v>
      </c>
      <c r="C4130" s="2" t="s">
        <v>569</v>
      </c>
      <c r="D4130" s="2" t="str">
        <f t="shared" si="63"/>
        <v>Error?</v>
      </c>
    </row>
    <row r="4131" spans="1:4" x14ac:dyDescent="0.2">
      <c r="A4131" s="5">
        <v>4070</v>
      </c>
      <c r="B4131" s="1832">
        <f>'Acct Summary 7-8'!C18</f>
        <v>2602664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7967613</v>
      </c>
      <c r="C4136" s="2" t="s">
        <v>569</v>
      </c>
      <c r="D4136" s="2" t="str">
        <f t="shared" si="63"/>
        <v>Error?</v>
      </c>
    </row>
    <row r="4137" spans="1:4" x14ac:dyDescent="0.2">
      <c r="A4137" s="5">
        <v>4076</v>
      </c>
      <c r="B4137" s="1832">
        <f>'Acct Summary 7-8'!D19</f>
        <v>1647494</v>
      </c>
      <c r="C4137" s="2" t="s">
        <v>569</v>
      </c>
      <c r="D4137" s="2" t="str">
        <f t="shared" si="63"/>
        <v>Error?</v>
      </c>
    </row>
    <row r="4138" spans="1:4" x14ac:dyDescent="0.2">
      <c r="A4138" s="5">
        <v>4077</v>
      </c>
      <c r="B4138" s="1832">
        <f>'Acct Summary 7-8'!E19</f>
        <v>1099931</v>
      </c>
      <c r="C4138" s="2" t="s">
        <v>569</v>
      </c>
      <c r="D4138" s="2" t="str">
        <f t="shared" si="63"/>
        <v>Error?</v>
      </c>
    </row>
    <row r="4139" spans="1:4" x14ac:dyDescent="0.2">
      <c r="A4139" s="5">
        <v>4078</v>
      </c>
      <c r="B4139" s="1832">
        <f>'Acct Summary 7-8'!F19</f>
        <v>534253</v>
      </c>
      <c r="C4139" s="2" t="s">
        <v>569</v>
      </c>
      <c r="D4139" s="2" t="str">
        <f t="shared" si="63"/>
        <v>Error?</v>
      </c>
    </row>
    <row r="4140" spans="1:4" x14ac:dyDescent="0.2">
      <c r="A4140" s="5">
        <v>4079</v>
      </c>
      <c r="B4140" s="1832">
        <f>'Acct Summary 7-8'!G19</f>
        <v>168236</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17240855</v>
      </c>
      <c r="C4171" s="2" t="s">
        <v>569</v>
      </c>
      <c r="D4171" s="2" t="str">
        <f t="shared" si="64"/>
        <v>Error?</v>
      </c>
    </row>
    <row r="4172" spans="1:4" x14ac:dyDescent="0.2">
      <c r="A4172" s="5">
        <v>4111</v>
      </c>
      <c r="B4172" s="1832">
        <f>'Short-Term Long-Term Debt 24'!J49</f>
        <v>17208794</v>
      </c>
      <c r="C4172" s="2" t="s">
        <v>569</v>
      </c>
      <c r="D4172" s="2" t="str">
        <f t="shared" si="64"/>
        <v>Error?</v>
      </c>
    </row>
    <row r="4173" spans="1:4" x14ac:dyDescent="0.2">
      <c r="A4173" s="5">
        <v>4112</v>
      </c>
      <c r="B4173" s="1832">
        <f>'Short-Term Long-Term Debt 24'!H49</f>
        <v>377525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342</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319</v>
      </c>
      <c r="C4265" s="2" t="s">
        <v>569</v>
      </c>
      <c r="D4265" s="2" t="str">
        <f t="shared" si="65"/>
        <v>Error?</v>
      </c>
      <c r="E4265" s="125"/>
    </row>
    <row r="4266" spans="1:5" x14ac:dyDescent="0.2">
      <c r="A4266" s="12">
        <v>4205</v>
      </c>
      <c r="B4266" s="1832">
        <f>('FP Info 3'!F10)*100000</f>
        <v>750</v>
      </c>
      <c r="C4266" s="2" t="s">
        <v>569</v>
      </c>
      <c r="D4266" s="2" t="str">
        <f t="shared" si="65"/>
        <v>Error?</v>
      </c>
      <c r="E4266" s="125"/>
    </row>
    <row r="4267" spans="1:5" x14ac:dyDescent="0.2">
      <c r="A4267" s="12">
        <v>4206</v>
      </c>
      <c r="B4267" s="1832">
        <f>('FP Info 3'!H10)*100000</f>
        <v>239.99999999999997</v>
      </c>
      <c r="C4267" s="2" t="s">
        <v>569</v>
      </c>
      <c r="D4267" s="2" t="str">
        <f t="shared" si="65"/>
        <v>Error?</v>
      </c>
      <c r="E4267" s="125"/>
    </row>
    <row r="4268" spans="1:5" x14ac:dyDescent="0.2">
      <c r="A4268" s="12">
        <v>4207</v>
      </c>
      <c r="B4268" s="1832">
        <f>('FP Info 3'!J10)*100000</f>
        <v>1309</v>
      </c>
      <c r="C4268" s="2" t="s">
        <v>569</v>
      </c>
      <c r="D4268" s="2" t="str">
        <f t="shared" si="65"/>
        <v>Error?</v>
      </c>
    </row>
    <row r="4269" spans="1:5" x14ac:dyDescent="0.2">
      <c r="A4269" s="12">
        <v>4208</v>
      </c>
      <c r="B4269" s="1832">
        <f>'FP Info 3'!J16</f>
        <v>6206749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47954</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36787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22736</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16158</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93020765</v>
      </c>
      <c r="D4995" s="2" t="str">
        <f t="shared" si="77"/>
        <v>Error?</v>
      </c>
    </row>
    <row r="4996" spans="1:4" x14ac:dyDescent="0.2">
      <c r="A4996" s="12">
        <v>4935</v>
      </c>
      <c r="B4996" s="1832">
        <f>'FP Info 3'!H31</f>
        <v>12836865.57</v>
      </c>
      <c r="D4996" s="2" t="str">
        <f t="shared" si="77"/>
        <v>Error?</v>
      </c>
    </row>
    <row r="4997" spans="1:4" x14ac:dyDescent="0.2">
      <c r="A4997" s="12">
        <v>4936</v>
      </c>
      <c r="B4997" s="1832">
        <f>'FP Info 3'!H37</f>
        <v>17240855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44060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2811199</v>
      </c>
      <c r="D5061" s="2" t="str">
        <f t="shared" si="78"/>
        <v>Error?</v>
      </c>
    </row>
    <row r="5062" spans="1:4" x14ac:dyDescent="0.2">
      <c r="A5062" s="10">
        <v>5001</v>
      </c>
      <c r="B5062" s="1832"/>
      <c r="D5062" s="2" t="str">
        <f t="shared" si="78"/>
        <v>OK</v>
      </c>
    </row>
    <row r="5063" spans="1:4" x14ac:dyDescent="0.2">
      <c r="A5063" s="5">
        <v>5002</v>
      </c>
      <c r="B5063" s="1832">
        <f>'Revenues 9-14'!C7</f>
        <v>35253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2890512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202038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202038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57797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57797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5312</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41416</v>
      </c>
      <c r="C5096" s="2" t="s">
        <v>569</v>
      </c>
      <c r="D5096" s="2" t="str">
        <f t="shared" si="78"/>
        <v>Error?</v>
      </c>
    </row>
    <row r="5097" spans="1:4" x14ac:dyDescent="0.2">
      <c r="A5097" s="5">
        <v>5036</v>
      </c>
      <c r="B5097" s="1832">
        <f>'Revenues 9-14'!C77</f>
        <v>31963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791</v>
      </c>
      <c r="D5101" s="2" t="str">
        <f t="shared" si="78"/>
        <v>Error?</v>
      </c>
    </row>
    <row r="5102" spans="1:4" x14ac:dyDescent="0.2">
      <c r="A5102" s="5">
        <v>5041</v>
      </c>
      <c r="B5102" s="1832">
        <f>'Revenues 9-14'!C82</f>
        <v>32754</v>
      </c>
      <c r="C5102" s="2" t="s">
        <v>569</v>
      </c>
      <c r="D5102" s="2" t="str">
        <f t="shared" si="78"/>
        <v>Error?</v>
      </c>
    </row>
    <row r="5103" spans="1:4" x14ac:dyDescent="0.2">
      <c r="A5103" s="5">
        <v>5042</v>
      </c>
      <c r="B5103" s="1832">
        <f>'Revenues 9-14'!C84</f>
        <v>27179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27179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12320</v>
      </c>
      <c r="D5114" s="2" t="str">
        <f t="shared" si="78"/>
        <v>Error?</v>
      </c>
    </row>
    <row r="5115" spans="1:4" x14ac:dyDescent="0.2">
      <c r="A5115" s="5">
        <v>5054</v>
      </c>
      <c r="B5115" s="1832">
        <f>'Revenues 9-14'!C98</f>
        <v>46787</v>
      </c>
      <c r="D5115" s="2" t="str">
        <f t="shared" si="78"/>
        <v>Error?</v>
      </c>
    </row>
    <row r="5116" spans="1:4" x14ac:dyDescent="0.2">
      <c r="A5116" s="5">
        <v>5055</v>
      </c>
      <c r="B5116" s="1832">
        <f>'Revenues 9-14'!C99</f>
        <v>2787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68693</v>
      </c>
      <c r="D5119" s="2" t="str">
        <f t="shared" ref="D5119:D5182" si="79">IF(ISBLANK(B5119),"OK",IF(A5119-B5119=0,"OK","Error?"))</f>
        <v>Error?</v>
      </c>
    </row>
    <row r="5120" spans="1:4" x14ac:dyDescent="0.2">
      <c r="A5120" s="5">
        <v>5059</v>
      </c>
      <c r="B5120" s="1832">
        <f>'Revenues 9-14'!C108</f>
        <v>130587</v>
      </c>
      <c r="C5120" s="2" t="s">
        <v>569</v>
      </c>
      <c r="D5120" s="2" t="str">
        <f t="shared" si="79"/>
        <v>Error?</v>
      </c>
    </row>
    <row r="5121" spans="1:4" x14ac:dyDescent="0.2">
      <c r="A5121" s="5">
        <v>5060</v>
      </c>
      <c r="B5121" s="1832">
        <f>'Revenues 9-14'!C109</f>
        <v>3382283</v>
      </c>
      <c r="C5121" s="2" t="s">
        <v>569</v>
      </c>
      <c r="D5121" s="2" t="str">
        <f t="shared" si="79"/>
        <v>Error?</v>
      </c>
    </row>
    <row r="5122" spans="1:4" x14ac:dyDescent="0.2">
      <c r="A5122" s="5">
        <v>5061</v>
      </c>
      <c r="B5122" s="1832">
        <f>'Revenues 9-14'!C111</f>
        <v>16681</v>
      </c>
      <c r="D5122" s="2" t="str">
        <f t="shared" si="79"/>
        <v>Error?</v>
      </c>
    </row>
    <row r="5123" spans="1:4" x14ac:dyDescent="0.2">
      <c r="A5123" s="5">
        <v>5062</v>
      </c>
      <c r="B5123" s="1832">
        <f>'Revenues 9-14'!C112</f>
        <v>28018</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44699</v>
      </c>
      <c r="C5125" s="2" t="s">
        <v>569</v>
      </c>
      <c r="D5125" s="2" t="str">
        <f t="shared" si="79"/>
        <v>Error?</v>
      </c>
    </row>
    <row r="5126" spans="1:4" x14ac:dyDescent="0.2">
      <c r="A5126" s="5">
        <v>5065</v>
      </c>
      <c r="B5126" s="1832">
        <f>'Revenues 9-14'!C117</f>
        <v>1687220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1687220</v>
      </c>
      <c r="C5132" s="2" t="s">
        <v>569</v>
      </c>
      <c r="D5132" s="2" t="str">
        <f t="shared" si="79"/>
        <v>Error?</v>
      </c>
    </row>
    <row r="5133" spans="1:4" x14ac:dyDescent="0.2">
      <c r="A5133" s="5">
        <v>5072</v>
      </c>
      <c r="B5133" s="1832">
        <f>'Revenues 9-14'!C125</f>
        <v>46534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46534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7140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1715</v>
      </c>
      <c r="D5167" s="2" t="str">
        <f t="shared" si="79"/>
        <v>Error?</v>
      </c>
    </row>
    <row r="5168" spans="1:4" x14ac:dyDescent="0.2">
      <c r="A5168" s="5">
        <v>5107</v>
      </c>
      <c r="B5168" s="1832">
        <f>'Revenues 9-14'!C148</f>
        <v>5428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83553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1770773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16158</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93377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25448</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118825</v>
      </c>
      <c r="C5246" s="2" t="s">
        <v>569</v>
      </c>
      <c r="D5246" s="2" t="str">
        <f t="shared" si="80"/>
        <v>Error?</v>
      </c>
    </row>
    <row r="5247" spans="1:4" x14ac:dyDescent="0.2">
      <c r="A5247" s="5">
        <v>5186</v>
      </c>
      <c r="B5247" s="1832">
        <f>'Revenues 9-14'!C200</f>
        <v>311655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311655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3525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143500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147025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7681</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7681</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621973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638131</v>
      </c>
      <c r="C5326" s="2" t="s">
        <v>569</v>
      </c>
      <c r="D5326" s="2" t="str">
        <f t="shared" si="82"/>
        <v>Error?</v>
      </c>
    </row>
    <row r="5327" spans="1:5" x14ac:dyDescent="0.2">
      <c r="A5327" s="5">
        <v>5266</v>
      </c>
      <c r="B5327" s="1832">
        <f>'Revenues 9-14'!C268</f>
        <v>5835886</v>
      </c>
      <c r="C5327" s="2" t="s">
        <v>569</v>
      </c>
      <c r="D5327" s="2" t="str">
        <f t="shared" si="82"/>
        <v>Error?</v>
      </c>
    </row>
    <row r="5328" spans="1:5" x14ac:dyDescent="0.2">
      <c r="A5328" s="5">
        <v>5267</v>
      </c>
      <c r="B5328" s="1832">
        <f>'Revenues 9-14'!D5</f>
        <v>660942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660942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6232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6232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8150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1746</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22530</v>
      </c>
      <c r="D5354" s="2" t="str">
        <f t="shared" si="82"/>
        <v>Error?</v>
      </c>
    </row>
    <row r="5355" spans="1:4" x14ac:dyDescent="0.2">
      <c r="A5355" s="5">
        <v>5294</v>
      </c>
      <c r="B5355" s="1832">
        <f>'Revenues 9-14'!D108</f>
        <v>32426</v>
      </c>
      <c r="C5355" s="2" t="s">
        <v>569</v>
      </c>
      <c r="D5355" s="2" t="str">
        <f t="shared" si="82"/>
        <v>Error?</v>
      </c>
    </row>
    <row r="5356" spans="1:4" x14ac:dyDescent="0.2">
      <c r="A5356" s="5">
        <v>5295</v>
      </c>
      <c r="B5356" s="1832">
        <f>'Revenues 9-14'!D109</f>
        <v>699600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47954</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47954</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747554</v>
      </c>
      <c r="C5508" s="2" t="s">
        <v>569</v>
      </c>
      <c r="D5508" s="2" t="str">
        <f t="shared" si="85"/>
        <v>Error?</v>
      </c>
    </row>
    <row r="5509" spans="1:4" x14ac:dyDescent="0.2">
      <c r="A5509" s="5">
        <v>5448</v>
      </c>
      <c r="B5509" s="1832">
        <f>'Revenues 9-14'!E5</f>
        <v>1108155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1108155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645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645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1108800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1108800</v>
      </c>
      <c r="C5552" s="2" t="s">
        <v>569</v>
      </c>
      <c r="D5552" s="2" t="str">
        <f t="shared" si="85"/>
        <v>Error?</v>
      </c>
    </row>
    <row r="5553" spans="1:4" x14ac:dyDescent="0.2">
      <c r="A5553" s="5">
        <v>5492</v>
      </c>
      <c r="B5553" s="1832">
        <f>'Revenues 9-14'!F5</f>
        <v>211499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211499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3785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3785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2669</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3276</v>
      </c>
      <c r="D5586" s="2" t="str">
        <f t="shared" si="86"/>
        <v>Error?</v>
      </c>
    </row>
    <row r="5587" spans="1:4" x14ac:dyDescent="0.2">
      <c r="A5587" s="5">
        <v>5526</v>
      </c>
      <c r="B5587" s="1832">
        <f>'Revenues 9-14'!F108</f>
        <v>5945</v>
      </c>
      <c r="C5587" s="2" t="s">
        <v>569</v>
      </c>
      <c r="D5587" s="2" t="str">
        <f t="shared" si="86"/>
        <v>Error?</v>
      </c>
    </row>
    <row r="5588" spans="1:4" x14ac:dyDescent="0.2">
      <c r="A5588" s="5">
        <v>5527</v>
      </c>
      <c r="B5588" s="1832">
        <f>'Revenues 9-14'!F109</f>
        <v>221229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204896</v>
      </c>
      <c r="D5615" s="2" t="str">
        <f t="shared" si="86"/>
        <v>Error?</v>
      </c>
    </row>
    <row r="5616" spans="1:4" x14ac:dyDescent="0.2">
      <c r="A5616" s="10">
        <v>5555</v>
      </c>
      <c r="B5616" s="1832"/>
      <c r="D5616" s="2" t="str">
        <f t="shared" si="86"/>
        <v>OK</v>
      </c>
    </row>
    <row r="5617" spans="1:5" x14ac:dyDescent="0.2">
      <c r="A5617" s="5">
        <v>5556</v>
      </c>
      <c r="B5617" s="1832">
        <f>'Revenues 9-14'!F153</f>
        <v>50683</v>
      </c>
      <c r="D5617" s="2" t="str">
        <f t="shared" si="86"/>
        <v>Error?</v>
      </c>
    </row>
    <row r="5618" spans="1:5" x14ac:dyDescent="0.2">
      <c r="A5618" s="5">
        <v>5557</v>
      </c>
      <c r="B5618" s="1832">
        <f>'Revenues 9-14'!F155</f>
        <v>255579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255579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255579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476808</v>
      </c>
      <c r="C5720" s="2" t="s">
        <v>569</v>
      </c>
      <c r="D5720" s="2" t="str">
        <f t="shared" si="88"/>
        <v>Error?</v>
      </c>
    </row>
    <row r="5721" spans="1:4" x14ac:dyDescent="0.2">
      <c r="A5721" s="5">
        <v>5660</v>
      </c>
      <c r="B5721" s="1832">
        <f>'Revenues 9-14'!G5</f>
        <v>85491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132203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217694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9520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9520</v>
      </c>
      <c r="C5730" s="2" t="s">
        <v>569</v>
      </c>
      <c r="D5730" s="2" t="str">
        <f t="shared" si="88"/>
        <v>Error?</v>
      </c>
    </row>
    <row r="5731" spans="1:4" x14ac:dyDescent="0.2">
      <c r="A5731" s="5">
        <v>5670</v>
      </c>
      <c r="B5731" s="1832">
        <f>'Revenues 9-14'!G65</f>
        <v>5494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5494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232708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44060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44060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33874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33874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77934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44060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44060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850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850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44910</v>
      </c>
      <c r="C6023" s="2" t="s">
        <v>569</v>
      </c>
      <c r="D6023" s="2" t="str">
        <f t="shared" si="93"/>
        <v>Error?</v>
      </c>
    </row>
    <row r="6024" spans="1:5" x14ac:dyDescent="0.2">
      <c r="A6024" s="5">
        <v>5963</v>
      </c>
      <c r="B6024" s="1832">
        <f>'Revenues 9-14'!G109</f>
        <v>232708</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77934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44910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36104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507.6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8983</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451197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451197</v>
      </c>
      <c r="D6215" s="2" t="str">
        <f t="shared" si="96"/>
        <v>Error?</v>
      </c>
      <c r="E6215" s="2" t="s">
        <v>189</v>
      </c>
    </row>
    <row r="6216" spans="1:5" x14ac:dyDescent="0.2">
      <c r="A6216">
        <v>6155</v>
      </c>
      <c r="B6216" s="1832">
        <f>'Assets-Liab 5-6'!J41</f>
        <v>451197</v>
      </c>
      <c r="D6216" s="2" t="str">
        <f t="shared" si="96"/>
        <v>Error?</v>
      </c>
      <c r="E6216" s="2" t="s">
        <v>189</v>
      </c>
    </row>
    <row r="6217" spans="1:5" x14ac:dyDescent="0.2">
      <c r="A6217">
        <v>6156</v>
      </c>
      <c r="B6217" s="1832">
        <f>'Assets-Liab 5-6'!J4</f>
        <v>151197</v>
      </c>
      <c r="D6217" s="2" t="str">
        <f t="shared" si="96"/>
        <v>Error?</v>
      </c>
      <c r="E6217" s="2" t="s">
        <v>189</v>
      </c>
    </row>
    <row r="6218" spans="1:5" x14ac:dyDescent="0.2">
      <c r="A6218">
        <v>6157</v>
      </c>
      <c r="B6218" s="1832">
        <f>'Assets-Liab 5-6'!J5</f>
        <v>300000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564519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564519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564519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543144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543144</v>
      </c>
      <c r="D6229" s="2" t="str">
        <f t="shared" si="96"/>
        <v>Error?</v>
      </c>
      <c r="E6229" s="2" t="s">
        <v>189</v>
      </c>
    </row>
    <row r="6230" spans="1:5" x14ac:dyDescent="0.2">
      <c r="A6230">
        <v>6169</v>
      </c>
      <c r="B6230" s="1832">
        <f>'Acct Summary 7-8'!J20</f>
        <v>21375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21375</v>
      </c>
      <c r="D6263" s="2" t="str">
        <f t="shared" si="96"/>
        <v>Error?</v>
      </c>
      <c r="E6263" s="2" t="s">
        <v>189</v>
      </c>
    </row>
    <row r="6264" spans="1:5" x14ac:dyDescent="0.2">
      <c r="A6264">
        <v>6203</v>
      </c>
      <c r="B6264" s="1832">
        <f>'Acct Summary 7-8'!J79</f>
        <v>429822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451197</v>
      </c>
      <c r="D6266" s="2" t="str">
        <f t="shared" si="96"/>
        <v>Error?</v>
      </c>
      <c r="E6266" s="2" t="s">
        <v>189</v>
      </c>
    </row>
    <row r="6267" spans="1:5" x14ac:dyDescent="0.2">
      <c r="A6267">
        <v>6206</v>
      </c>
      <c r="B6267" s="1832">
        <f>'Acct Summary 7-8'!C82</f>
        <v>470937</v>
      </c>
      <c r="D6267" s="2" t="str">
        <f t="shared" si="96"/>
        <v>Error?</v>
      </c>
      <c r="E6267" s="2" t="s">
        <v>189</v>
      </c>
    </row>
    <row r="6268" spans="1:5" x14ac:dyDescent="0.2">
      <c r="A6268">
        <v>6207</v>
      </c>
      <c r="B6268" s="1832">
        <f>'Acct Summary 7-8'!D82</f>
        <v>-899940</v>
      </c>
      <c r="D6268" s="2" t="str">
        <f t="shared" si="96"/>
        <v>Error?</v>
      </c>
      <c r="E6268" s="2" t="s">
        <v>189</v>
      </c>
    </row>
    <row r="6269" spans="1:5" x14ac:dyDescent="0.2">
      <c r="A6269">
        <v>6208</v>
      </c>
      <c r="B6269" s="1832">
        <f>'Acct Summary 7-8'!E82</f>
        <v>8869</v>
      </c>
      <c r="D6269" s="2" t="str">
        <f t="shared" si="96"/>
        <v>Error?</v>
      </c>
      <c r="E6269" s="2" t="s">
        <v>189</v>
      </c>
    </row>
    <row r="6270" spans="1:5" x14ac:dyDescent="0.2">
      <c r="A6270">
        <v>6209</v>
      </c>
      <c r="B6270" s="1832">
        <f>'Acct Summary 7-8'!F82</f>
        <v>-57445</v>
      </c>
      <c r="D6270" s="2" t="str">
        <f t="shared" si="96"/>
        <v>Error?</v>
      </c>
      <c r="E6270" s="2" t="s">
        <v>189</v>
      </c>
    </row>
    <row r="6271" spans="1:5" x14ac:dyDescent="0.2">
      <c r="A6271">
        <v>6210</v>
      </c>
      <c r="B6271" s="1832">
        <f>'Acct Summary 7-8'!G82</f>
        <v>64472</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77934</v>
      </c>
      <c r="D6273" s="2" t="str">
        <f t="shared" si="97"/>
        <v>Error?</v>
      </c>
      <c r="E6273" s="2" t="s">
        <v>189</v>
      </c>
    </row>
    <row r="6274" spans="1:5" x14ac:dyDescent="0.2">
      <c r="A6274">
        <v>6213</v>
      </c>
      <c r="B6274" s="1832">
        <f>'Acct Summary 7-8'!J82</f>
        <v>21375</v>
      </c>
      <c r="D6274" s="2" t="str">
        <f t="shared" si="97"/>
        <v>Error?</v>
      </c>
      <c r="E6274" s="2" t="s">
        <v>189</v>
      </c>
    </row>
    <row r="6275" spans="1:5" x14ac:dyDescent="0.2">
      <c r="A6275">
        <v>6214</v>
      </c>
      <c r="B6275" s="1832">
        <f>'Acct Summary 7-8'!K82</f>
        <v>44910</v>
      </c>
      <c r="D6275" s="2" t="str">
        <f t="shared" si="97"/>
        <v>Error?</v>
      </c>
      <c r="E6275" s="2" t="s">
        <v>189</v>
      </c>
    </row>
    <row r="6276" spans="1:5" x14ac:dyDescent="0.2">
      <c r="A6276">
        <v>6215</v>
      </c>
      <c r="B6276" s="1832">
        <f>'Acct Summary 7-8'!C83</f>
        <v>0.11772671549020863</v>
      </c>
      <c r="D6276" s="2" t="str">
        <f t="shared" si="97"/>
        <v>Error?</v>
      </c>
      <c r="E6276" s="2" t="s">
        <v>189</v>
      </c>
    </row>
    <row r="6277" spans="1:5" x14ac:dyDescent="0.2">
      <c r="A6277">
        <v>6216</v>
      </c>
      <c r="B6277" s="1832">
        <f>'Acct Summary 7-8'!D83</f>
        <v>-3.4826455939661076</v>
      </c>
      <c r="D6277" s="2" t="str">
        <f t="shared" si="97"/>
        <v>Error?</v>
      </c>
      <c r="E6277" s="2" t="s">
        <v>189</v>
      </c>
    </row>
    <row r="6278" spans="1:5" x14ac:dyDescent="0.2">
      <c r="A6278">
        <v>6217</v>
      </c>
      <c r="B6278" s="1832">
        <f>'Acct Summary 7-8'!E83</f>
        <v>0.27662892610960355</v>
      </c>
      <c r="D6278" s="2" t="str">
        <f t="shared" si="97"/>
        <v>Error?</v>
      </c>
      <c r="E6278" s="2" t="s">
        <v>189</v>
      </c>
    </row>
    <row r="6279" spans="1:5" x14ac:dyDescent="0.2">
      <c r="A6279">
        <v>6218</v>
      </c>
      <c r="B6279" s="1832">
        <f>'Acct Summary 7-8'!F83</f>
        <v>-0.15430216847664047</v>
      </c>
      <c r="D6279" s="2" t="str">
        <f t="shared" si="97"/>
        <v>Error?</v>
      </c>
      <c r="E6279" s="2" t="s">
        <v>189</v>
      </c>
    </row>
    <row r="6280" spans="1:5" x14ac:dyDescent="0.2">
      <c r="A6280">
        <v>6219</v>
      </c>
      <c r="B6280" s="1832">
        <f>'Acct Summary 7-8'!G83</f>
        <v>0.14419556489941066</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4.9456878011571288E-2</v>
      </c>
      <c r="D6282" s="2" t="str">
        <f t="shared" si="97"/>
        <v>Error?</v>
      </c>
      <c r="E6282" s="2" t="s">
        <v>189</v>
      </c>
    </row>
    <row r="6283" spans="1:5" x14ac:dyDescent="0.2">
      <c r="A6283">
        <v>6222</v>
      </c>
      <c r="B6283" s="1832">
        <f>'Acct Summary 7-8'!J83</f>
        <v>4.7373985199369674E-2</v>
      </c>
      <c r="D6283" s="2" t="str">
        <f t="shared" si="97"/>
        <v>Error?</v>
      </c>
      <c r="E6283" s="2" t="s">
        <v>189</v>
      </c>
    </row>
    <row r="6284" spans="1:5" x14ac:dyDescent="0.2">
      <c r="A6284">
        <v>6223</v>
      </c>
      <c r="B6284" s="1832">
        <f>'Acct Summary 7-8'!K83</f>
        <v>0.33720266698702545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546432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546432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7501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7501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10586</v>
      </c>
      <c r="D6350" s="2" t="str">
        <f t="shared" si="98"/>
        <v>Error?</v>
      </c>
      <c r="E6350" s="2" t="s">
        <v>189</v>
      </c>
    </row>
    <row r="6351" spans="1:5" x14ac:dyDescent="0.2">
      <c r="A6351">
        <v>6290</v>
      </c>
      <c r="B6351" s="1832">
        <f>'Revenues 9-14'!J108</f>
        <v>10586</v>
      </c>
      <c r="D6351" s="2" t="str">
        <f t="shared" si="98"/>
        <v>Error?</v>
      </c>
      <c r="E6351" s="2" t="s">
        <v>189</v>
      </c>
    </row>
    <row r="6352" spans="1:5" x14ac:dyDescent="0.2">
      <c r="A6352">
        <v>6291</v>
      </c>
      <c r="B6352" s="1832">
        <f>'Revenues 9-14'!J109</f>
        <v>564519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6798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103163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121410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20612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543144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564519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3016</v>
      </c>
      <c r="D7073" s="2" t="str">
        <f t="shared" si="109"/>
        <v>Error?</v>
      </c>
    </row>
    <row r="7074" spans="1:4" x14ac:dyDescent="0.2">
      <c r="A7074">
        <v>7013</v>
      </c>
      <c r="B7074" s="1832">
        <f>'Expenditures 15-22'!K216</f>
        <v>3016</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234</v>
      </c>
      <c r="D7079" s="2" t="str">
        <f t="shared" si="109"/>
        <v>Error?</v>
      </c>
    </row>
    <row r="7080" spans="1:4" x14ac:dyDescent="0.2">
      <c r="A7080">
        <v>7019</v>
      </c>
      <c r="B7080" s="1832">
        <f>'Expenditures 15-22'!K226</f>
        <v>234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26027</v>
      </c>
      <c r="D7093" s="2" t="str">
        <f t="shared" si="109"/>
        <v>Error?</v>
      </c>
    </row>
    <row r="7094" spans="1:4" x14ac:dyDescent="0.2">
      <c r="A7094">
        <v>7033</v>
      </c>
      <c r="B7094" s="1832">
        <f>'Expenditures 15-22'!K254</f>
        <v>26027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385767</v>
      </c>
      <c r="D7172" s="2" t="str">
        <f t="shared" si="111"/>
        <v>Error?</v>
      </c>
    </row>
    <row r="7173" spans="1:4" x14ac:dyDescent="0.2">
      <c r="A7173">
        <v>7112</v>
      </c>
      <c r="B7173" s="1832">
        <f>'Expenditures 15-22'!D325</f>
        <v>73552</v>
      </c>
      <c r="D7173" s="2" t="str">
        <f t="shared" si="111"/>
        <v>Error?</v>
      </c>
    </row>
    <row r="7174" spans="1:4" x14ac:dyDescent="0.2">
      <c r="A7174">
        <v>7113</v>
      </c>
      <c r="B7174" s="1832">
        <f>'Expenditures 15-22'!E325</f>
        <v>83722</v>
      </c>
      <c r="D7174" s="2" t="str">
        <f t="shared" si="111"/>
        <v>Error?</v>
      </c>
    </row>
    <row r="7175" spans="1:4" x14ac:dyDescent="0.2">
      <c r="A7175">
        <v>7114</v>
      </c>
      <c r="B7175" s="1832">
        <f>'Expenditures 15-22'!F325</f>
        <v>103</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543144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385767</v>
      </c>
      <c r="D7199" s="2" t="str">
        <f t="shared" si="111"/>
        <v>Error?</v>
      </c>
    </row>
    <row r="7200" spans="1:4" x14ac:dyDescent="0.2">
      <c r="A7200">
        <v>7139</v>
      </c>
      <c r="B7200" s="1832">
        <f>'Expenditures 15-22'!D330</f>
        <v>73552</v>
      </c>
      <c r="D7200" s="2" t="str">
        <f t="shared" si="111"/>
        <v>Error?</v>
      </c>
    </row>
    <row r="7201" spans="1:4" x14ac:dyDescent="0.2">
      <c r="A7201">
        <v>7140</v>
      </c>
      <c r="B7201" s="1832">
        <f>'Expenditures 15-22'!E330</f>
        <v>83722</v>
      </c>
      <c r="D7201" s="2" t="str">
        <f t="shared" si="111"/>
        <v>Error?</v>
      </c>
    </row>
    <row r="7202" spans="1:4" x14ac:dyDescent="0.2">
      <c r="A7202">
        <v>7141</v>
      </c>
      <c r="B7202" s="1832">
        <f>'Expenditures 15-22'!F330</f>
        <v>103</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543144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385767</v>
      </c>
      <c r="D7216" s="2" t="str">
        <f t="shared" si="111"/>
        <v>Error?</v>
      </c>
    </row>
    <row r="7217" spans="1:4" x14ac:dyDescent="0.2">
      <c r="A7217">
        <v>7156</v>
      </c>
      <c r="B7217" s="1832">
        <f>'Expenditures 15-22'!D342</f>
        <v>73552</v>
      </c>
      <c r="D7217" s="2" t="str">
        <f t="shared" si="111"/>
        <v>Error?</v>
      </c>
    </row>
    <row r="7218" spans="1:4" x14ac:dyDescent="0.2">
      <c r="A7218">
        <v>7157</v>
      </c>
      <c r="B7218" s="1832">
        <f>'Expenditures 15-22'!E342</f>
        <v>83722</v>
      </c>
      <c r="D7218" s="2" t="str">
        <f t="shared" si="111"/>
        <v>Error?</v>
      </c>
    </row>
    <row r="7219" spans="1:4" x14ac:dyDescent="0.2">
      <c r="A7219">
        <v>7158</v>
      </c>
      <c r="B7219" s="1832">
        <f>'Expenditures 15-22'!F342</f>
        <v>103</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543144</v>
      </c>
      <c r="D7224" s="2" t="str">
        <f t="shared" si="111"/>
        <v>Error?</v>
      </c>
    </row>
    <row r="7225" spans="1:4" x14ac:dyDescent="0.2">
      <c r="A7225">
        <v>7164</v>
      </c>
      <c r="B7225" s="1832">
        <f>'Expenditures 15-22'!K343</f>
        <v>21375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18247</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17292</v>
      </c>
      <c r="D7263" s="2" t="str">
        <f t="shared" si="112"/>
        <v>Error?</v>
      </c>
    </row>
    <row r="7264" spans="1:4" x14ac:dyDescent="0.2">
      <c r="A7264">
        <f t="shared" si="113"/>
        <v>7203</v>
      </c>
      <c r="B7264" s="1832">
        <f>'Expenditures 15-22'!D17</f>
        <v>2781</v>
      </c>
      <c r="D7264" s="2" t="str">
        <f t="shared" si="112"/>
        <v>Error?</v>
      </c>
    </row>
    <row r="7265" spans="1:5" x14ac:dyDescent="0.2">
      <c r="A7265">
        <f t="shared" si="113"/>
        <v>7204</v>
      </c>
      <c r="B7265" s="1832">
        <f>'Expenditures 15-22'!E17</f>
        <v>150</v>
      </c>
      <c r="D7265" s="2" t="str">
        <f t="shared" si="112"/>
        <v>Error?</v>
      </c>
    </row>
    <row r="7266" spans="1:5" x14ac:dyDescent="0.2">
      <c r="A7266">
        <f t="shared" si="113"/>
        <v>7205</v>
      </c>
      <c r="B7266" s="1832">
        <f>'Expenditures 15-22'!F17</f>
        <v>389</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917686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5428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5428</v>
      </c>
      <c r="D7719" s="2" t="str">
        <f t="shared" si="126"/>
        <v>Error?</v>
      </c>
      <c r="E7719" s="2" t="s">
        <v>822</v>
      </c>
    </row>
    <row r="7720" spans="1:6" x14ac:dyDescent="0.2">
      <c r="A7720">
        <v>7659</v>
      </c>
      <c r="B7720" s="1832">
        <f>'Rest Tax Levies-Tort Im 25'!H14</f>
        <v>35273</v>
      </c>
      <c r="D7720" s="2" t="str">
        <f t="shared" si="126"/>
        <v>Error?</v>
      </c>
      <c r="E7720" s="2" t="s">
        <v>822</v>
      </c>
    </row>
    <row r="7721" spans="1:6" x14ac:dyDescent="0.2">
      <c r="A7721">
        <v>7660</v>
      </c>
      <c r="B7721" s="1832">
        <f>'Rest Tax Levies-Tort Im 25'!K14</f>
        <v>5428</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5428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19694000</v>
      </c>
      <c r="D7817" s="2" t="str">
        <f t="shared" si="128"/>
        <v>Error?</v>
      </c>
      <c r="E7817" s="4" t="s">
        <v>1966</v>
      </c>
    </row>
    <row r="7818" spans="1:5" x14ac:dyDescent="0.2">
      <c r="A7818">
        <v>7757</v>
      </c>
      <c r="B7818" s="1832">
        <f>'PCTC-OEPP 27-28'!F172</f>
        <v>91714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9358007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121410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25366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2474727</v>
      </c>
      <c r="D7834" s="2" t="str">
        <f t="shared" si="129"/>
        <v>Error?</v>
      </c>
      <c r="E7834" s="4" t="s">
        <v>1998</v>
      </c>
    </row>
    <row r="7835" spans="1:5" x14ac:dyDescent="0.2">
      <c r="A7835">
        <v>7774</v>
      </c>
      <c r="B7835" s="1832">
        <f>'PCTC-OEPP 27-28'!F78</f>
        <v>6883280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13560.441292356185</v>
      </c>
      <c r="D7837" s="2" t="str">
        <f t="shared" si="129"/>
        <v>Error?</v>
      </c>
      <c r="E7837" s="4" t="s">
        <v>1998</v>
      </c>
    </row>
    <row r="7838" spans="1:5" x14ac:dyDescent="0.2">
      <c r="A7838">
        <v>7777</v>
      </c>
      <c r="B7838" s="1832">
        <f>'PCTC-OEPP 27-28'!F96</f>
        <v>32754</v>
      </c>
      <c r="D7838" s="2" t="str">
        <f t="shared" si="129"/>
        <v>Error?</v>
      </c>
      <c r="E7838" s="4" t="s">
        <v>1998</v>
      </c>
    </row>
    <row r="7839" spans="1:5" x14ac:dyDescent="0.2">
      <c r="A7839">
        <v>7778</v>
      </c>
      <c r="B7839" s="1832">
        <f>'PCTC-OEPP 27-28'!F102</f>
        <v>8150</v>
      </c>
      <c r="D7839" s="2" t="str">
        <f t="shared" si="129"/>
        <v>Error?</v>
      </c>
      <c r="E7839" s="4" t="s">
        <v>1998</v>
      </c>
    </row>
    <row r="7840" spans="1:5" x14ac:dyDescent="0.2">
      <c r="A7840">
        <v>7779</v>
      </c>
      <c r="B7840" s="1832">
        <f>'PCTC-OEPP 27-28'!F103</f>
        <v>51202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46534</v>
      </c>
      <c r="D7842" s="2" t="str">
        <f t="shared" si="129"/>
        <v>Error?</v>
      </c>
      <c r="E7842" s="4" t="s">
        <v>1998</v>
      </c>
    </row>
    <row r="7843" spans="1:5" x14ac:dyDescent="0.2">
      <c r="A7843">
        <v>7782</v>
      </c>
      <c r="B7843" s="1832">
        <f>'PCTC-OEPP 27-28'!F107</f>
        <v>7140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5428</v>
      </c>
      <c r="D7846" s="2" t="str">
        <f t="shared" si="129"/>
        <v>Error?</v>
      </c>
      <c r="E7846" s="4" t="s">
        <v>1998</v>
      </c>
    </row>
    <row r="7847" spans="1:5" x14ac:dyDescent="0.2">
      <c r="A7847">
        <v>7786</v>
      </c>
      <c r="B7847" s="1832">
        <f>'PCTC-OEPP 27-28'!F112</f>
        <v>255579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22736</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118825</v>
      </c>
      <c r="D7858" s="2" t="str">
        <f t="shared" si="129"/>
        <v>Error?</v>
      </c>
      <c r="E7858" s="4" t="s">
        <v>1998</v>
      </c>
    </row>
    <row r="7859" spans="1:5" x14ac:dyDescent="0.2">
      <c r="A7859">
        <v>7798</v>
      </c>
      <c r="B7859" s="1832">
        <f>'PCTC-OEPP 27-28'!F127</f>
        <v>311655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143500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7681</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36787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1257949</v>
      </c>
      <c r="D7877" s="2" t="str">
        <f t="shared" si="129"/>
        <v>Error?</v>
      </c>
      <c r="E7877" s="4" t="s">
        <v>1998</v>
      </c>
    </row>
    <row r="7878" spans="1:5" x14ac:dyDescent="0.2">
      <c r="A7878">
        <v>7817</v>
      </c>
      <c r="B7878" s="1832">
        <f>'PCTC-OEPP 27-28'!F176</f>
        <v>5625331</v>
      </c>
      <c r="D7878" s="2" t="str">
        <f t="shared" si="129"/>
        <v>Error?</v>
      </c>
      <c r="E7878" s="4" t="s">
        <v>1998</v>
      </c>
    </row>
    <row r="7879" spans="1:5" x14ac:dyDescent="0.2">
      <c r="A7879">
        <v>7818</v>
      </c>
      <c r="B7879" s="1832">
        <f>'PCTC-OEPP 27-28'!F178</f>
        <v>6543017</v>
      </c>
      <c r="D7879" s="2" t="str">
        <f t="shared" si="129"/>
        <v>Error?</v>
      </c>
      <c r="E7879" s="4" t="s">
        <v>1998</v>
      </c>
    </row>
    <row r="7880" spans="1:5" x14ac:dyDescent="0.2">
      <c r="A7880">
        <v>7819</v>
      </c>
      <c r="B7880" s="1832">
        <f>'PCTC-OEPP 27-28'!F180</f>
        <v>12890.104412923562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1181</v>
      </c>
      <c r="B2" s="2514"/>
      <c r="C2" s="2514"/>
      <c r="D2" s="2514"/>
      <c r="E2" s="2514"/>
      <c r="F2" s="2514"/>
      <c r="G2" s="2514"/>
      <c r="H2" s="2514"/>
      <c r="I2" s="2514"/>
      <c r="J2" s="2514"/>
      <c r="K2" s="2514"/>
      <c r="L2" s="2514"/>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 xml:space="preserve">  Milford Area Public SD 124</v>
      </c>
      <c r="B7" s="2538"/>
      <c r="C7" s="2538"/>
      <c r="D7" s="2539"/>
      <c r="E7" s="2540">
        <f>COVER!A13</f>
        <v>32038124026</v>
      </c>
      <c r="F7" s="2541"/>
      <c r="G7" s="2547">
        <f>COVER!T23</f>
        <v>65.018319000000005</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20" t="str">
        <f>COVER!T13</f>
        <v>RUSSELL LEIGH &amp; ASSOCIATES LLC</v>
      </c>
      <c r="H9" s="2553"/>
      <c r="I9" s="2553"/>
      <c r="J9" s="2553"/>
      <c r="K9" s="2553"/>
      <c r="L9" s="2554"/>
    </row>
    <row r="10" spans="1:29" ht="13.5" customHeight="1" x14ac:dyDescent="0.2">
      <c r="A10" s="2526" t="str">
        <f>COVER!A38</f>
        <v>Dr. Michele Lindenmeyer</v>
      </c>
      <c r="B10" s="2527"/>
      <c r="C10" s="2527"/>
      <c r="D10" s="2527"/>
      <c r="E10" s="2527"/>
      <c r="F10" s="2528"/>
      <c r="G10" s="2520" t="str">
        <f>COVER!T17</f>
        <v>228 E MAIN ST</v>
      </c>
      <c r="H10" s="2521"/>
      <c r="I10" s="2521"/>
      <c r="J10" s="2521"/>
      <c r="K10" s="2521"/>
      <c r="L10" s="2522"/>
    </row>
    <row r="11" spans="1:29" ht="13.5" customHeight="1" x14ac:dyDescent="0.2">
      <c r="A11" s="963" t="s">
        <v>1502</v>
      </c>
      <c r="B11" s="964"/>
      <c r="C11" s="965"/>
      <c r="D11" s="970"/>
      <c r="E11" s="965"/>
      <c r="F11" s="969"/>
      <c r="G11" s="2520" t="str">
        <f>COVER!T19</f>
        <v>HOOPESTON</v>
      </c>
      <c r="H11" s="2521"/>
      <c r="I11" s="2521"/>
      <c r="J11" s="2521"/>
      <c r="K11" s="2521"/>
      <c r="L11" s="2522"/>
    </row>
    <row r="12" spans="1:29" ht="13.5" customHeight="1" x14ac:dyDescent="0.2">
      <c r="A12" s="2529" t="s">
        <v>1501</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1503</v>
      </c>
      <c r="H13" s="2516"/>
      <c r="I13" s="2532" t="str">
        <f>COVER!T25</f>
        <v>admin@russleigh.com</v>
      </c>
      <c r="J13" s="2533"/>
      <c r="K13" s="2533"/>
      <c r="L13" s="2534"/>
    </row>
    <row r="14" spans="1:29" ht="13.5" customHeight="1" x14ac:dyDescent="0.2">
      <c r="A14" s="2520" t="str">
        <f>COVER!A19</f>
        <v>208 S CHICAGO</v>
      </c>
      <c r="B14" s="2521"/>
      <c r="C14" s="2521"/>
      <c r="D14" s="2521"/>
      <c r="E14" s="2521"/>
      <c r="F14" s="2522"/>
      <c r="G14" s="974" t="s">
        <v>1175</v>
      </c>
      <c r="H14" s="972"/>
      <c r="I14" s="972"/>
      <c r="J14" s="972"/>
      <c r="K14" s="972"/>
      <c r="L14" s="973"/>
    </row>
    <row r="15" spans="1:29" ht="13.5" customHeight="1" x14ac:dyDescent="0.2">
      <c r="A15" s="2520" t="str">
        <f>COVER!A21</f>
        <v>MILFORD</v>
      </c>
      <c r="B15" s="2521"/>
      <c r="C15" s="2521"/>
      <c r="D15" s="2521"/>
      <c r="E15" s="2521"/>
      <c r="F15" s="2522"/>
      <c r="G15" s="2517" t="str">
        <f>COVER!T15</f>
        <v>RUSS LEIGH</v>
      </c>
      <c r="H15" s="2518"/>
      <c r="I15" s="2518"/>
      <c r="J15" s="2518"/>
      <c r="K15" s="2518"/>
      <c r="L15" s="2519"/>
    </row>
    <row r="16" spans="1:29" ht="12.2" customHeight="1" x14ac:dyDescent="0.2">
      <c r="A16" s="2543">
        <f>COVER!A25</f>
        <v>60953</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1174</v>
      </c>
      <c r="H17" s="972"/>
      <c r="I17" s="972"/>
      <c r="J17" s="972"/>
      <c r="K17" s="976" t="s">
        <v>1173</v>
      </c>
      <c r="L17" s="969"/>
      <c r="M17" s="962"/>
    </row>
    <row r="18" spans="1:13" ht="12.2" customHeight="1" x14ac:dyDescent="0.2">
      <c r="A18" s="2526"/>
      <c r="B18" s="2527"/>
      <c r="C18" s="2527"/>
      <c r="D18" s="2527"/>
      <c r="E18" s="2527"/>
      <c r="F18" s="2528"/>
      <c r="G18" s="2537" t="str">
        <f>COVER!T21</f>
        <v>217-283-9336</v>
      </c>
      <c r="H18" s="2538"/>
      <c r="I18" s="2538"/>
      <c r="J18" s="2538"/>
      <c r="K18" s="2537" t="str">
        <f>COVER!X21</f>
        <v>217-283-9736</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Milford Area Public SD 124</v>
      </c>
      <c r="B1" s="2560"/>
      <c r="C1" s="2560"/>
      <c r="D1" s="2560"/>
    </row>
    <row r="2" spans="1:11" s="991" customFormat="1" ht="12.75" x14ac:dyDescent="0.2">
      <c r="A2" s="2561">
        <f>'Single Audit Cover'!E7</f>
        <v>32038124026</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Milford Area Public SD 124</v>
      </c>
      <c r="B1" s="2564"/>
      <c r="C1" s="2564"/>
      <c r="D1" s="2564"/>
      <c r="E1" s="2564"/>
    </row>
    <row r="2" spans="1:5" x14ac:dyDescent="0.2">
      <c r="A2" s="2565">
        <f>'Single Audit Cover'!E7</f>
        <v>32038124026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638131</v>
      </c>
    </row>
    <row r="11" spans="1:5" ht="18" customHeight="1" x14ac:dyDescent="0.2">
      <c r="A11" s="1037" t="s">
        <v>1229</v>
      </c>
      <c r="B11" s="1038"/>
      <c r="C11" s="1038"/>
    </row>
    <row r="12" spans="1:5" x14ac:dyDescent="0.2">
      <c r="A12" s="1037" t="s">
        <v>1228</v>
      </c>
      <c r="B12" s="1038" t="s">
        <v>1227</v>
      </c>
      <c r="C12" s="1038"/>
      <c r="D12" s="1040">
        <f>SUM('Revenues 9-14'!C112:D112,'Revenues 9-14'!F112:G112)</f>
        <v>28018</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666149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666149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666149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Milford Area Public SD 124</v>
      </c>
      <c r="C1" s="2568"/>
      <c r="D1" s="2568"/>
      <c r="E1" s="2568"/>
      <c r="F1" s="2568"/>
      <c r="G1" s="2568"/>
      <c r="H1" s="2568"/>
      <c r="I1" s="2568"/>
      <c r="J1" s="2568"/>
      <c r="K1" s="2568"/>
      <c r="L1" s="2568"/>
      <c r="M1" s="2568"/>
    </row>
    <row r="2" spans="2:14" ht="15" x14ac:dyDescent="0.2">
      <c r="B2" s="2569">
        <f>'Single Audit Cover'!E7</f>
        <v>32038124026</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Milford Area Public SD 124</v>
      </c>
      <c r="B1" s="2581"/>
      <c r="C1" s="2581"/>
      <c r="D1" s="2581"/>
      <c r="E1" s="2581"/>
      <c r="F1" s="2581"/>
    </row>
    <row r="2" spans="1:7" ht="13.5" customHeight="1" x14ac:dyDescent="0.2">
      <c r="A2" s="2569">
        <f>'Single Audit Cover'!E7</f>
        <v>32038124026</v>
      </c>
      <c r="B2" s="2569"/>
      <c r="C2" s="2569"/>
      <c r="D2" s="2569"/>
      <c r="E2" s="2569"/>
      <c r="F2" s="2569"/>
      <c r="G2" s="1051"/>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1705</v>
      </c>
      <c r="C6" s="295"/>
      <c r="D6" s="295"/>
    </row>
    <row r="7" spans="1:7" ht="60.95" customHeight="1" x14ac:dyDescent="0.2">
      <c r="A7" s="2580" t="s">
        <v>1706</v>
      </c>
      <c r="B7" s="2580"/>
      <c r="C7" s="2580"/>
      <c r="D7" s="2580"/>
      <c r="E7" s="2580"/>
      <c r="F7" s="258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0" t="s">
        <v>1708</v>
      </c>
      <c r="B13" s="2580"/>
      <c r="C13" s="2580"/>
      <c r="D13" s="2580"/>
      <c r="E13" s="2580"/>
      <c r="F13" s="2580"/>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4" t="s">
        <v>1709</v>
      </c>
      <c r="B32" s="2574"/>
      <c r="C32" s="2574"/>
      <c r="D32" s="2574"/>
      <c r="E32" s="2574"/>
      <c r="F32" s="257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5">
        <f>+C33+C34</f>
        <v>0</v>
      </c>
      <c r="F34" s="257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2101</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Milford Area Public SD 124</v>
      </c>
      <c r="C1" s="2596"/>
      <c r="D1" s="2596"/>
      <c r="E1" s="2596"/>
      <c r="F1" s="2596"/>
      <c r="G1" s="2596"/>
      <c r="H1" s="2596"/>
      <c r="I1" s="2596"/>
      <c r="J1" s="1178"/>
    </row>
    <row r="2" spans="2:10" s="295" customFormat="1" ht="12.75" customHeight="1" x14ac:dyDescent="0.2">
      <c r="B2" s="2597">
        <f>'Single Audit Cover'!E7</f>
        <v>32038124026</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c r="E29" s="2602"/>
      <c r="F29" s="2602"/>
      <c r="G29" s="2602"/>
      <c r="H29" s="2602"/>
      <c r="I29" s="260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3" t="s">
        <v>1728</v>
      </c>
      <c r="D37" s="2604"/>
      <c r="E37" s="2604"/>
      <c r="F37" s="2605"/>
      <c r="G37" s="2603" t="s">
        <v>1575</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584" t="s">
        <v>1576</v>
      </c>
      <c r="D43" s="2585"/>
      <c r="E43" s="2585"/>
      <c r="F43" s="2586"/>
      <c r="G43" s="2587">
        <f>SUM(G38:I42)</f>
        <v>0</v>
      </c>
      <c r="H43" s="2587"/>
      <c r="I43" s="2587"/>
    </row>
    <row r="44" spans="2:9" ht="12.75" customHeight="1" x14ac:dyDescent="0.2"/>
    <row r="45" spans="2:9" ht="12.75" customHeight="1" x14ac:dyDescent="0.2">
      <c r="B45" s="1918" t="str">
        <f>"Total Federal Expenditures for 7/1/"&amp;MID('AFR20'!E2,3,2)-1&amp;"-6/30/"&amp;MID('AFR20'!E2,3,2)</f>
        <v>Total Federal Expenditures for 7/1/19-6/30/20</v>
      </c>
      <c r="C45" s="1919"/>
      <c r="D45" s="2588">
        <v>0</v>
      </c>
      <c r="E45" s="258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0"/>
      <c r="F49" s="2590"/>
      <c r="G49" s="259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Milford Area Public SD 124</v>
      </c>
      <c r="C1" s="2595"/>
      <c r="D1" s="2595"/>
      <c r="E1" s="2595"/>
      <c r="F1" s="2595"/>
      <c r="G1" s="2595"/>
      <c r="H1" s="2595"/>
      <c r="I1" s="2595"/>
      <c r="J1" s="2595"/>
      <c r="K1" s="2595"/>
      <c r="L1" s="1144"/>
      <c r="M1" s="1144"/>
    </row>
    <row r="2" spans="1:13" ht="12" customHeight="1" x14ac:dyDescent="0.2">
      <c r="B2" s="2597">
        <f>'Single Audit Cover'!E7</f>
        <v>32038124026</v>
      </c>
      <c r="C2" s="2597"/>
      <c r="D2" s="2597"/>
      <c r="E2" s="2597"/>
      <c r="F2" s="2597"/>
      <c r="G2" s="2597"/>
      <c r="H2" s="2597"/>
      <c r="I2" s="2597"/>
      <c r="J2" s="2597"/>
      <c r="K2" s="2597"/>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Milford Area Public SD 124</v>
      </c>
      <c r="C1" s="2618"/>
      <c r="D1" s="2618"/>
      <c r="E1" s="2618"/>
      <c r="F1" s="2618"/>
      <c r="G1" s="2618"/>
      <c r="H1" s="2618"/>
      <c r="I1" s="2618"/>
      <c r="J1" s="2618"/>
      <c r="K1" s="2618"/>
      <c r="L1" s="1221"/>
    </row>
    <row r="2" spans="1:12" ht="12.75" customHeight="1" x14ac:dyDescent="0.2">
      <c r="B2" s="2619">
        <f>'Single Audit Cover'!E7</f>
        <v>32038124026</v>
      </c>
      <c r="C2" s="2619"/>
      <c r="D2" s="2619"/>
      <c r="E2" s="2619"/>
      <c r="F2" s="2619"/>
      <c r="G2" s="2619"/>
      <c r="H2" s="2619"/>
      <c r="I2" s="2619"/>
      <c r="J2" s="2619"/>
      <c r="K2" s="2619"/>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Milford Area Public SD 124</v>
      </c>
      <c r="C1" s="2595"/>
      <c r="D1" s="2595"/>
      <c r="E1" s="1240"/>
    </row>
    <row r="2" spans="2:5" s="1058" customFormat="1" ht="12.75" customHeight="1" x14ac:dyDescent="0.2">
      <c r="B2" s="2597">
        <f>'Single Audit Cover'!E7</f>
        <v>32038124026</v>
      </c>
      <c r="C2" s="2597"/>
      <c r="D2" s="2597"/>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93020765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3.1900000000000001E-3</v>
      </c>
      <c r="E10" s="333" t="s">
        <v>998</v>
      </c>
      <c r="F10" s="332">
        <v>7.4999999999999997E-3</v>
      </c>
      <c r="G10" s="333" t="s">
        <v>998</v>
      </c>
      <c r="H10" s="332">
        <v>2.3999999999999998E-3</v>
      </c>
      <c r="I10" s="333" t="s">
        <v>999</v>
      </c>
      <c r="J10" s="1424">
        <f>ROUND(D10+F10+H10,5)</f>
        <v>1.3089999999999999E-2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7138182</v>
      </c>
      <c r="E16" s="1547"/>
      <c r="F16" s="1546">
        <f>SUM('Acct Summary 7-8'!C17,'Acct Summary 7-8'!D17,'Acct Summary 7-8'!F17)</f>
        <v>7546696</v>
      </c>
      <c r="G16" s="1547"/>
      <c r="H16" s="1546">
        <f>SUM(D16-F16)</f>
        <v>-408514</v>
      </c>
      <c r="I16" s="1548"/>
      <c r="J16" s="1546">
        <f>SUM('Acct Summary 7-8'!C81,'Acct Summary 7-8'!D81,'Acct Summary 7-8'!F81,'Acct Summary 7-8'!I81)</f>
        <v>6206749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12836865.57</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17240855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Milford Area Public SD 124</v>
      </c>
      <c r="E7" s="368"/>
      <c r="G7" s="247"/>
      <c r="H7" s="364"/>
      <c r="I7" s="364"/>
      <c r="J7" s="364"/>
      <c r="K7" s="364"/>
      <c r="L7" s="307"/>
      <c r="M7" s="307"/>
      <c r="N7" s="307"/>
      <c r="O7" s="307"/>
      <c r="P7" s="307"/>
    </row>
    <row r="8" spans="1:18" ht="12.75" x14ac:dyDescent="0.2">
      <c r="A8" s="307"/>
      <c r="B8" s="307"/>
      <c r="C8" s="366" t="s">
        <v>1115</v>
      </c>
      <c r="D8" s="369">
        <f>COVER!A13</f>
        <v>32038124026</v>
      </c>
      <c r="E8" s="370"/>
      <c r="G8" s="307"/>
      <c r="H8" s="307"/>
      <c r="I8" s="307"/>
      <c r="J8" s="307"/>
      <c r="K8" s="307"/>
      <c r="L8" s="307"/>
      <c r="M8" s="307"/>
      <c r="N8" s="307"/>
      <c r="O8" s="307"/>
      <c r="P8" s="307"/>
    </row>
    <row r="9" spans="1:18" ht="12.75" x14ac:dyDescent="0.2">
      <c r="A9" s="307"/>
      <c r="B9" s="307"/>
      <c r="C9" s="366" t="s">
        <v>708</v>
      </c>
      <c r="D9" s="371" t="str">
        <f>COVER!A15</f>
        <v>IROQUOIS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6206749</v>
      </c>
      <c r="I12" s="380"/>
      <c r="J12" s="380"/>
      <c r="K12" s="1559">
        <f>TRUNC((H12/H13*100000),5)/100000</f>
        <v>0.86951397419999998</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7138182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7546696</v>
      </c>
      <c r="I17" s="380"/>
      <c r="J17" s="389"/>
      <c r="K17" s="1559">
        <f>TRUNC((H17/H18*100000),5)/100000</f>
        <v>1.0572294177000001</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7138182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13.446126200000002</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6201325</v>
      </c>
      <c r="I24" s="394"/>
      <c r="J24" s="394"/>
      <c r="K24" s="1555">
        <f>TRUNC(((H24/H25*100000)/100000),2)</f>
        <v>295.82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20963.044440000001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1034995.54177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17240855</v>
      </c>
      <c r="I32" s="392"/>
      <c r="J32" s="392"/>
      <c r="K32" s="1555">
        <f>TRUNC(100-((((H32/H33*100))*100)/100),2)</f>
        <v>-34.299999999999997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12836865.57</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1473798</v>
      </c>
      <c r="D4" s="1573">
        <v>128407</v>
      </c>
      <c r="E4" s="1573">
        <v>32061</v>
      </c>
      <c r="F4" s="1573">
        <v>237149</v>
      </c>
      <c r="G4" s="1573">
        <v>169436</v>
      </c>
      <c r="H4" s="1573"/>
      <c r="I4" s="1573">
        <v>128371</v>
      </c>
      <c r="J4" s="1574">
        <v>151197</v>
      </c>
      <c r="K4" s="1573">
        <v>100184</v>
      </c>
      <c r="L4" s="1573">
        <v>78433</v>
      </c>
      <c r="M4" s="1575"/>
      <c r="N4" s="1576"/>
    </row>
    <row r="5" spans="1:14" x14ac:dyDescent="0.2">
      <c r="A5" s="427" t="s">
        <v>985</v>
      </c>
      <c r="B5" s="429">
        <v>120</v>
      </c>
      <c r="C5" s="1572">
        <v>2521034</v>
      </c>
      <c r="D5" s="1573">
        <v>130000</v>
      </c>
      <c r="E5" s="1573"/>
      <c r="F5" s="1573">
        <v>135140</v>
      </c>
      <c r="G5" s="1573">
        <v>277679</v>
      </c>
      <c r="H5" s="1573"/>
      <c r="I5" s="1573">
        <v>1447426</v>
      </c>
      <c r="J5" s="1574">
        <v>300000</v>
      </c>
      <c r="K5" s="1577">
        <v>33000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8983</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4003815</v>
      </c>
      <c r="D13" s="1587">
        <f t="shared" ref="D13:L13" si="0">SUM(D4:D12)</f>
        <v>258407</v>
      </c>
      <c r="E13" s="1587">
        <f t="shared" si="0"/>
        <v>32061</v>
      </c>
      <c r="F13" s="1587">
        <f t="shared" si="0"/>
        <v>372289</v>
      </c>
      <c r="G13" s="1587">
        <f t="shared" si="0"/>
        <v>447115</v>
      </c>
      <c r="H13" s="1587">
        <f t="shared" si="0"/>
        <v>0</v>
      </c>
      <c r="I13" s="1587">
        <f t="shared" si="0"/>
        <v>1575797</v>
      </c>
      <c r="J13" s="1587">
        <f t="shared" si="0"/>
        <v>451197</v>
      </c>
      <c r="K13" s="1587">
        <f t="shared" si="0"/>
        <v>133184</v>
      </c>
      <c r="L13" s="1587">
        <f t="shared" si="0"/>
        <v>78433</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47992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20349587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5589001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3552851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32061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17208794</v>
      </c>
    </row>
    <row r="23" spans="1:14" ht="13.5" customHeight="1" thickBot="1" x14ac:dyDescent="0.25">
      <c r="A23" s="1426" t="s">
        <v>638</v>
      </c>
      <c r="B23" s="1429"/>
      <c r="C23" s="1575"/>
      <c r="D23" s="1575"/>
      <c r="E23" s="1575"/>
      <c r="F23" s="1575"/>
      <c r="G23" s="1575"/>
      <c r="H23" s="1575"/>
      <c r="I23" s="1575"/>
      <c r="J23" s="1575"/>
      <c r="K23" s="1575"/>
      <c r="L23" s="1575"/>
      <c r="M23" s="1594">
        <f>SUM(M15:M22)</f>
        <v>29539431</v>
      </c>
      <c r="N23" s="1594">
        <f>SUM(N21:N22)</f>
        <v>17240855</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3559</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78433</v>
      </c>
      <c r="M33" s="1575"/>
      <c r="N33" s="1576"/>
    </row>
    <row r="34" spans="1:14" ht="13.5" customHeight="1" thickBot="1" x14ac:dyDescent="0.25">
      <c r="A34" s="1427" t="s">
        <v>649</v>
      </c>
      <c r="B34" s="1428"/>
      <c r="C34" s="1600">
        <f>SUM(C25:C33)</f>
        <v>3559</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78433</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17240855</v>
      </c>
    </row>
    <row r="37" spans="1:14" ht="13.5" thickBot="1" x14ac:dyDescent="0.25">
      <c r="A37" s="1426" t="s">
        <v>648</v>
      </c>
      <c r="B37" s="1429"/>
      <c r="C37" s="1582"/>
      <c r="D37" s="1582"/>
      <c r="E37" s="1582"/>
      <c r="F37" s="1582"/>
      <c r="G37" s="1582"/>
      <c r="H37" s="1582"/>
      <c r="I37" s="1582"/>
      <c r="J37" s="1582"/>
      <c r="K37" s="1582"/>
      <c r="L37" s="1585"/>
      <c r="M37" s="1575"/>
      <c r="N37" s="1594">
        <f>SUM(N36:N36)</f>
        <v>17240855</v>
      </c>
    </row>
    <row r="38" spans="1:14" s="307" customFormat="1" ht="13.5" customHeight="1" thickTop="1" x14ac:dyDescent="0.2">
      <c r="A38" s="438" t="s">
        <v>417</v>
      </c>
      <c r="B38" s="432">
        <v>714</v>
      </c>
      <c r="C38" s="1573"/>
      <c r="D38" s="1573"/>
      <c r="E38" s="1573"/>
      <c r="F38" s="1573"/>
      <c r="G38" s="1573">
        <v>63630</v>
      </c>
      <c r="H38" s="1573"/>
      <c r="I38" s="1573"/>
      <c r="J38" s="1574"/>
      <c r="K38" s="1573"/>
      <c r="L38" s="1586"/>
      <c r="M38" s="1604"/>
      <c r="N38" s="1604"/>
    </row>
    <row r="39" spans="1:14" s="307" customFormat="1" ht="13.5" customHeight="1" x14ac:dyDescent="0.2">
      <c r="A39" s="438" t="s">
        <v>339</v>
      </c>
      <c r="B39" s="432">
        <v>730</v>
      </c>
      <c r="C39" s="1573">
        <v>4000256</v>
      </c>
      <c r="D39" s="1573">
        <v>258407</v>
      </c>
      <c r="E39" s="1573">
        <v>32061</v>
      </c>
      <c r="F39" s="1573">
        <v>372289</v>
      </c>
      <c r="G39" s="1573">
        <v>383485</v>
      </c>
      <c r="H39" s="1573"/>
      <c r="I39" s="1573">
        <v>1575797</v>
      </c>
      <c r="J39" s="1574">
        <v>451197</v>
      </c>
      <c r="K39" s="1573">
        <v>133184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29539431</v>
      </c>
      <c r="N40" s="1604"/>
    </row>
    <row r="41" spans="1:14" ht="13.5" customHeight="1" thickBot="1" x14ac:dyDescent="0.25">
      <c r="A41" s="1426" t="s">
        <v>650</v>
      </c>
      <c r="B41" s="1405"/>
      <c r="C41" s="1594">
        <f>(SUM(C34,C37,C38,C39))</f>
        <v>4003815</v>
      </c>
      <c r="D41" s="1594">
        <f t="shared" ref="D41:L41" si="2">SUM(D34,D37,D38:D39)</f>
        <v>258407</v>
      </c>
      <c r="E41" s="1594">
        <f t="shared" si="2"/>
        <v>32061</v>
      </c>
      <c r="F41" s="1594">
        <f t="shared" si="2"/>
        <v>372289</v>
      </c>
      <c r="G41" s="1594">
        <f t="shared" si="2"/>
        <v>447115</v>
      </c>
      <c r="H41" s="1594">
        <f t="shared" si="2"/>
        <v>0</v>
      </c>
      <c r="I41" s="1594">
        <f t="shared" si="2"/>
        <v>1575797</v>
      </c>
      <c r="J41" s="1594">
        <f t="shared" si="2"/>
        <v>451197</v>
      </c>
      <c r="K41" s="1594">
        <f t="shared" si="2"/>
        <v>133184</v>
      </c>
      <c r="L41" s="1594">
        <f t="shared" si="2"/>
        <v>78433</v>
      </c>
      <c r="M41" s="1594">
        <f>SUM(M40)</f>
        <v>29539431</v>
      </c>
      <c r="N41" s="1594">
        <f>SUM(N37)</f>
        <v>17240855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4" sqref="C4:K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3382283</v>
      </c>
      <c r="D4" s="1606">
        <f>'Revenues 9-14'!D109</f>
        <v>699600</v>
      </c>
      <c r="E4" s="1606">
        <f>'Revenues 9-14'!E109</f>
        <v>1108800</v>
      </c>
      <c r="F4" s="1606">
        <f>'Revenues 9-14'!F109</f>
        <v>221229</v>
      </c>
      <c r="G4" s="1606">
        <f>'Revenues 9-14'!G109</f>
        <v>232708</v>
      </c>
      <c r="H4" s="1606">
        <f>'Revenues 9-14'!H109</f>
        <v>0</v>
      </c>
      <c r="I4" s="1606">
        <f>'Revenues 9-14'!I109</f>
        <v>77934</v>
      </c>
      <c r="J4" s="1606">
        <f>'Revenues 9-14'!J109</f>
        <v>564519</v>
      </c>
      <c r="K4" s="1606">
        <f>'Revenues 9-14'!K109</f>
        <v>44910</v>
      </c>
      <c r="L4" s="325"/>
    </row>
    <row r="5" spans="1:13" ht="15.75" customHeight="1" x14ac:dyDescent="0.2">
      <c r="A5" s="1314" t="s">
        <v>1483</v>
      </c>
      <c r="B5" s="1315">
        <v>2000</v>
      </c>
      <c r="C5" s="1607">
        <f>'Revenues 9-14'!C114</f>
        <v>44699</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1770773</v>
      </c>
      <c r="D6" s="1607">
        <f>'Revenues 9-14'!D170</f>
        <v>47954</v>
      </c>
      <c r="E6" s="1607">
        <f>'Revenues 9-14'!E170</f>
        <v>0</v>
      </c>
      <c r="F6" s="1607">
        <f>'Revenues 9-14'!F170</f>
        <v>255579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638131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5835886</v>
      </c>
      <c r="D8" s="1594">
        <f t="shared" ref="D8:K8" si="0">SUM(D4:D7)</f>
        <v>747554</v>
      </c>
      <c r="E8" s="1594">
        <f t="shared" si="0"/>
        <v>1108800</v>
      </c>
      <c r="F8" s="1594">
        <f t="shared" si="0"/>
        <v>476808</v>
      </c>
      <c r="G8" s="1594">
        <f t="shared" si="0"/>
        <v>232708</v>
      </c>
      <c r="H8" s="1594">
        <f t="shared" si="0"/>
        <v>0</v>
      </c>
      <c r="I8" s="1594">
        <f t="shared" si="0"/>
        <v>77934</v>
      </c>
      <c r="J8" s="1594">
        <f t="shared" si="0"/>
        <v>564519</v>
      </c>
      <c r="K8" s="1594">
        <f t="shared" si="0"/>
        <v>44910</v>
      </c>
      <c r="L8" s="325"/>
    </row>
    <row r="9" spans="1:13" ht="15.75" thickTop="1" x14ac:dyDescent="0.2">
      <c r="A9" s="449" t="s">
        <v>1634</v>
      </c>
      <c r="B9" s="450">
        <v>3998</v>
      </c>
      <c r="C9" s="1586">
        <v>2602664</v>
      </c>
      <c r="D9" s="1613"/>
      <c r="E9" s="1586"/>
      <c r="F9" s="1586"/>
      <c r="G9" s="1614"/>
      <c r="H9" s="1586"/>
      <c r="I9" s="1609" t="s">
        <v>1159</v>
      </c>
      <c r="J9" s="1583"/>
      <c r="K9" s="1586"/>
      <c r="L9" s="325"/>
    </row>
    <row r="10" spans="1:13" s="452" customFormat="1" ht="13.5" thickBot="1" x14ac:dyDescent="0.25">
      <c r="A10" s="1426" t="s">
        <v>1163</v>
      </c>
      <c r="B10" s="1407"/>
      <c r="C10" s="1594">
        <f>SUM(C8:C9)</f>
        <v>8438550</v>
      </c>
      <c r="D10" s="1594">
        <f t="shared" ref="D10:K10" si="1">SUM(D8:D9)</f>
        <v>747554</v>
      </c>
      <c r="E10" s="1594">
        <f t="shared" si="1"/>
        <v>1108800</v>
      </c>
      <c r="F10" s="1594">
        <f t="shared" si="1"/>
        <v>476808</v>
      </c>
      <c r="G10" s="1594">
        <f t="shared" si="1"/>
        <v>232708</v>
      </c>
      <c r="H10" s="1594">
        <f t="shared" si="1"/>
        <v>0</v>
      </c>
      <c r="I10" s="1594">
        <f t="shared" si="1"/>
        <v>77934</v>
      </c>
      <c r="J10" s="1594">
        <f t="shared" si="1"/>
        <v>564519</v>
      </c>
      <c r="K10" s="1594">
        <f t="shared" si="1"/>
        <v>44910</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3414729</v>
      </c>
      <c r="D12" s="1616" t="s">
        <v>1159</v>
      </c>
      <c r="E12" s="1575" t="s">
        <v>1159</v>
      </c>
      <c r="F12" s="1575" t="s">
        <v>1159</v>
      </c>
      <c r="G12" s="1606">
        <f>'Expenditures 15-22'!K229</f>
        <v>49489</v>
      </c>
      <c r="H12" s="1617"/>
      <c r="I12" s="1575" t="s">
        <v>1159</v>
      </c>
      <c r="J12" s="1575" t="s">
        <v>1159</v>
      </c>
      <c r="K12" s="1617" t="s">
        <v>1159</v>
      </c>
      <c r="L12" s="325"/>
    </row>
    <row r="13" spans="1:13" ht="15.75" customHeight="1" x14ac:dyDescent="0.2">
      <c r="A13" s="1314" t="s">
        <v>454</v>
      </c>
      <c r="B13" s="1316">
        <v>2000</v>
      </c>
      <c r="C13" s="1607">
        <f>'Expenditures 15-22'!K74</f>
        <v>1058193</v>
      </c>
      <c r="D13" s="1607">
        <f>'Expenditures 15-22'!K129</f>
        <v>1647494</v>
      </c>
      <c r="E13" s="1576" t="s">
        <v>1159</v>
      </c>
      <c r="F13" s="1607">
        <f>'Expenditures 15-22'!K184</f>
        <v>418290</v>
      </c>
      <c r="G13" s="1607">
        <f>'Expenditures 15-22'!K279</f>
        <v>118747</v>
      </c>
      <c r="H13" s="1607">
        <f>'Expenditures 15-22'!K303</f>
        <v>0</v>
      </c>
      <c r="I13" s="1575" t="s">
        <v>1159</v>
      </c>
      <c r="J13" s="1607">
        <f>'Expenditures 15-22'!K330</f>
        <v>543144</v>
      </c>
      <c r="K13" s="1618">
        <f>'Expenditures 15-22'!K352</f>
        <v>0</v>
      </c>
      <c r="L13" s="325"/>
    </row>
    <row r="14" spans="1:13" ht="15.75" customHeight="1" x14ac:dyDescent="0.2">
      <c r="A14" s="1314" t="s">
        <v>446</v>
      </c>
      <c r="B14" s="1316">
        <v>3000</v>
      </c>
      <c r="C14" s="1607">
        <f>'Expenditures 15-22'!K75</f>
        <v>25366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866661</v>
      </c>
      <c r="D15" s="1607">
        <f>'Expenditures 15-22'!K139</f>
        <v>0</v>
      </c>
      <c r="E15" s="1607">
        <f>'Expenditures 15-22'!K160</f>
        <v>0</v>
      </c>
      <c r="F15" s="1607">
        <f>'Expenditures 15-22'!K196</f>
        <v>115963</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1099931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5364949</v>
      </c>
      <c r="D17" s="1594">
        <f t="shared" si="2"/>
        <v>1647494</v>
      </c>
      <c r="E17" s="1594">
        <f t="shared" si="2"/>
        <v>1099931</v>
      </c>
      <c r="F17" s="1594">
        <f t="shared" si="2"/>
        <v>534253</v>
      </c>
      <c r="G17" s="1594">
        <f t="shared" si="2"/>
        <v>168236</v>
      </c>
      <c r="H17" s="1594">
        <f t="shared" si="2"/>
        <v>0</v>
      </c>
      <c r="I17" s="1575"/>
      <c r="J17" s="1594">
        <f>SUM(J12:J16)</f>
        <v>543144</v>
      </c>
      <c r="K17" s="1594">
        <f>SUM(K12:K16)</f>
        <v>0</v>
      </c>
      <c r="L17" s="325"/>
    </row>
    <row r="18" spans="1:12" ht="15" customHeight="1" thickTop="1" x14ac:dyDescent="0.2">
      <c r="A18" s="1430" t="s">
        <v>1635</v>
      </c>
      <c r="B18" s="1431">
        <v>4180</v>
      </c>
      <c r="C18" s="1606">
        <f t="shared" ref="C18:H18" si="3">C9</f>
        <v>2602664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7967613</v>
      </c>
      <c r="D19" s="1594">
        <f t="shared" si="4"/>
        <v>1647494</v>
      </c>
      <c r="E19" s="1594">
        <f t="shared" si="4"/>
        <v>1099931</v>
      </c>
      <c r="F19" s="1594">
        <f t="shared" si="4"/>
        <v>534253</v>
      </c>
      <c r="G19" s="1594">
        <f t="shared" si="4"/>
        <v>168236</v>
      </c>
      <c r="H19" s="1594">
        <f t="shared" si="4"/>
        <v>0</v>
      </c>
      <c r="I19" s="1575"/>
      <c r="J19" s="1594">
        <f>SUM(J17:J18)</f>
        <v>543144</v>
      </c>
      <c r="K19" s="1594">
        <f>SUM(K17:K18)</f>
        <v>0</v>
      </c>
      <c r="L19" s="325"/>
    </row>
    <row r="20" spans="1:12" ht="16.5" thickTop="1" thickBot="1" x14ac:dyDescent="0.25">
      <c r="A20" s="2233" t="s">
        <v>1636</v>
      </c>
      <c r="B20" s="2234"/>
      <c r="C20" s="1622">
        <f>C8-C17</f>
        <v>470937</v>
      </c>
      <c r="D20" s="1622">
        <f t="shared" ref="D20:K20" si="5">D8-D17</f>
        <v>-899940</v>
      </c>
      <c r="E20" s="1622">
        <f t="shared" si="5"/>
        <v>8869</v>
      </c>
      <c r="F20" s="1622">
        <f t="shared" si="5"/>
        <v>-57445</v>
      </c>
      <c r="G20" s="1622">
        <f t="shared" si="5"/>
        <v>64472</v>
      </c>
      <c r="H20" s="1622">
        <f t="shared" si="5"/>
        <v>0</v>
      </c>
      <c r="I20" s="1622">
        <f t="shared" si="5"/>
        <v>77934</v>
      </c>
      <c r="J20" s="1622">
        <f t="shared" si="5"/>
        <v>21375</v>
      </c>
      <c r="K20" s="1622">
        <f t="shared" si="5"/>
        <v>44910</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470937</v>
      </c>
      <c r="D78" s="1629">
        <f t="shared" si="9"/>
        <v>-899940</v>
      </c>
      <c r="E78" s="1629">
        <f t="shared" si="9"/>
        <v>8869</v>
      </c>
      <c r="F78" s="1629">
        <f t="shared" si="9"/>
        <v>-57445</v>
      </c>
      <c r="G78" s="1629">
        <f t="shared" si="9"/>
        <v>64472</v>
      </c>
      <c r="H78" s="1629">
        <f t="shared" si="9"/>
        <v>0</v>
      </c>
      <c r="I78" s="1629">
        <f t="shared" si="9"/>
        <v>77934</v>
      </c>
      <c r="J78" s="1629">
        <f t="shared" si="9"/>
        <v>21375</v>
      </c>
      <c r="K78" s="1629">
        <f t="shared" si="9"/>
        <v>44910</v>
      </c>
      <c r="L78" s="457"/>
    </row>
    <row r="79" spans="1:12" ht="13.5" thickTop="1" x14ac:dyDescent="0.2">
      <c r="A79" s="1844" t="str">
        <f>"Fund Balances - July 1, "&amp;'AFR20'!E2-1</f>
        <v>Fund Balances - July 1, 2019</v>
      </c>
      <c r="B79" s="458"/>
      <c r="C79" s="1583">
        <v>3529319</v>
      </c>
      <c r="D79" s="1630">
        <v>1158347</v>
      </c>
      <c r="E79" s="1630">
        <v>23192</v>
      </c>
      <c r="F79" s="1630">
        <v>429734</v>
      </c>
      <c r="G79" s="1630">
        <v>382643</v>
      </c>
      <c r="H79" s="1630">
        <v>0</v>
      </c>
      <c r="I79" s="1630">
        <v>1497863</v>
      </c>
      <c r="J79" s="1630">
        <v>429822</v>
      </c>
      <c r="K79" s="1630">
        <v>88274</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4000256</v>
      </c>
      <c r="D81" s="1594">
        <f>SUM(D78:D80)</f>
        <v>258407</v>
      </c>
      <c r="E81" s="1594">
        <f t="shared" ref="E81:K81" si="10">SUM(E78:E80)</f>
        <v>32061</v>
      </c>
      <c r="F81" s="1594">
        <f t="shared" si="10"/>
        <v>372289</v>
      </c>
      <c r="G81" s="1594">
        <f t="shared" si="10"/>
        <v>447115</v>
      </c>
      <c r="H81" s="1594">
        <f t="shared" si="10"/>
        <v>0</v>
      </c>
      <c r="I81" s="1594">
        <f t="shared" si="10"/>
        <v>1575797</v>
      </c>
      <c r="J81" s="1594">
        <f t="shared" si="10"/>
        <v>451197</v>
      </c>
      <c r="K81" s="1594">
        <f t="shared" si="10"/>
        <v>133184</v>
      </c>
      <c r="L81" s="325"/>
    </row>
    <row r="82" spans="1:12" ht="0.75" customHeight="1" thickTop="1" thickBot="1" x14ac:dyDescent="0.25">
      <c r="A82" s="459" t="s">
        <v>340</v>
      </c>
      <c r="B82" s="460"/>
      <c r="C82" s="461">
        <f>(C81-C79)</f>
        <v>470937</v>
      </c>
      <c r="D82" s="461">
        <f t="shared" ref="D82:K82" si="11">(D81-D79)</f>
        <v>-899940</v>
      </c>
      <c r="E82" s="461">
        <f t="shared" si="11"/>
        <v>8869</v>
      </c>
      <c r="F82" s="461">
        <f t="shared" si="11"/>
        <v>-57445</v>
      </c>
      <c r="G82" s="461">
        <f t="shared" si="11"/>
        <v>64472</v>
      </c>
      <c r="H82" s="461">
        <f t="shared" si="11"/>
        <v>0</v>
      </c>
      <c r="I82" s="461">
        <f t="shared" si="11"/>
        <v>77934</v>
      </c>
      <c r="J82" s="461">
        <f t="shared" si="11"/>
        <v>21375</v>
      </c>
      <c r="K82" s="461">
        <f t="shared" si="11"/>
        <v>44910</v>
      </c>
    </row>
    <row r="83" spans="1:12" ht="14.25" hidden="1" thickTop="1" thickBot="1" x14ac:dyDescent="0.25">
      <c r="A83" s="462" t="s">
        <v>341</v>
      </c>
      <c r="B83" s="428"/>
      <c r="C83" s="463">
        <f>C82/C81</f>
        <v>0.11772671549020863</v>
      </c>
      <c r="D83" s="463">
        <f t="shared" ref="D83:K83" si="12">D82/D81</f>
        <v>-3.4826455939661076</v>
      </c>
      <c r="E83" s="463">
        <f t="shared" si="12"/>
        <v>0.27662892610960355</v>
      </c>
      <c r="F83" s="463">
        <f t="shared" si="12"/>
        <v>-0.15430216847664047</v>
      </c>
      <c r="G83" s="463">
        <f t="shared" si="12"/>
        <v>0.14419556489941066</v>
      </c>
      <c r="H83" s="463" t="e">
        <f t="shared" si="12"/>
        <v>#DIV/0!</v>
      </c>
      <c r="I83" s="463">
        <f t="shared" si="12"/>
        <v>4.9456878011571288E-2</v>
      </c>
      <c r="J83" s="463">
        <f t="shared" si="12"/>
        <v>4.7373985199369674E-2</v>
      </c>
      <c r="K83" s="463">
        <f t="shared" si="12"/>
        <v>0.33720266698702545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2811199</v>
      </c>
      <c r="D5" s="1586">
        <v>660942</v>
      </c>
      <c r="E5" s="1573">
        <v>1108155</v>
      </c>
      <c r="F5" s="1631">
        <v>211499</v>
      </c>
      <c r="G5" s="1573">
        <v>85491</v>
      </c>
      <c r="H5" s="1573"/>
      <c r="I5" s="1573">
        <v>44060</v>
      </c>
      <c r="J5" s="1574">
        <v>546432</v>
      </c>
      <c r="K5" s="1573">
        <v>44060</v>
      </c>
    </row>
    <row r="6" spans="1:12" ht="15" x14ac:dyDescent="0.2">
      <c r="A6" s="427" t="s">
        <v>1643</v>
      </c>
      <c r="B6" s="429">
        <v>1130</v>
      </c>
      <c r="C6" s="1573">
        <v>44060</v>
      </c>
      <c r="D6" s="1573"/>
      <c r="E6" s="1580"/>
      <c r="F6" s="1580"/>
      <c r="G6" s="1575"/>
      <c r="H6" s="1575"/>
      <c r="I6" s="1575"/>
      <c r="J6" s="1575"/>
      <c r="K6" s="1575"/>
    </row>
    <row r="7" spans="1:12" x14ac:dyDescent="0.2">
      <c r="A7" s="427" t="s">
        <v>110</v>
      </c>
      <c r="B7" s="471">
        <v>1140</v>
      </c>
      <c r="C7" s="1573">
        <v>35253</v>
      </c>
      <c r="D7" s="1573"/>
      <c r="E7" s="1575"/>
      <c r="F7" s="1574"/>
      <c r="G7" s="1574"/>
      <c r="H7" s="1574"/>
      <c r="I7" s="1575"/>
      <c r="J7" s="1575"/>
      <c r="K7" s="1575"/>
    </row>
    <row r="8" spans="1:12" x14ac:dyDescent="0.2">
      <c r="A8" s="427" t="s">
        <v>410</v>
      </c>
      <c r="B8" s="429">
        <v>1150</v>
      </c>
      <c r="C8" s="1580"/>
      <c r="D8" s="1580"/>
      <c r="E8" s="1582"/>
      <c r="F8" s="1582"/>
      <c r="G8" s="1586">
        <v>132203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2890512</v>
      </c>
      <c r="D12" s="1633">
        <f t="shared" si="0"/>
        <v>660942</v>
      </c>
      <c r="E12" s="1633">
        <f t="shared" si="0"/>
        <v>1108155</v>
      </c>
      <c r="F12" s="1633">
        <f t="shared" si="0"/>
        <v>211499</v>
      </c>
      <c r="G12" s="1633">
        <f t="shared" si="0"/>
        <v>217694</v>
      </c>
      <c r="H12" s="1633">
        <f t="shared" si="0"/>
        <v>0</v>
      </c>
      <c r="I12" s="1633">
        <f t="shared" si="0"/>
        <v>44060</v>
      </c>
      <c r="J12" s="1633">
        <f t="shared" si="0"/>
        <v>546432</v>
      </c>
      <c r="K12" s="1594">
        <f t="shared" si="0"/>
        <v>44060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202038</v>
      </c>
      <c r="D16" s="1573"/>
      <c r="E16" s="1573"/>
      <c r="F16" s="1573"/>
      <c r="G16" s="1573">
        <v>9520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202038</v>
      </c>
      <c r="D18" s="1635">
        <f t="shared" ref="D18:K18" si="1">SUM(D14:D17)</f>
        <v>0</v>
      </c>
      <c r="E18" s="1635">
        <f t="shared" si="1"/>
        <v>0</v>
      </c>
      <c r="F18" s="1635">
        <f t="shared" si="1"/>
        <v>0</v>
      </c>
      <c r="G18" s="1635">
        <f t="shared" si="1"/>
        <v>9520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57797</v>
      </c>
      <c r="D65" s="1573">
        <v>6232</v>
      </c>
      <c r="E65" s="1573">
        <v>645</v>
      </c>
      <c r="F65" s="1574">
        <v>3785</v>
      </c>
      <c r="G65" s="1573">
        <v>5494</v>
      </c>
      <c r="H65" s="1573"/>
      <c r="I65" s="1573">
        <v>33874</v>
      </c>
      <c r="J65" s="1574">
        <v>7501</v>
      </c>
      <c r="K65" s="1573">
        <v>850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57797</v>
      </c>
      <c r="D67" s="1594">
        <f t="shared" ref="D67:K67" si="2">SUM(D65:D66)</f>
        <v>6232</v>
      </c>
      <c r="E67" s="1594">
        <f t="shared" si="2"/>
        <v>645</v>
      </c>
      <c r="F67" s="1594">
        <f t="shared" si="2"/>
        <v>3785</v>
      </c>
      <c r="G67" s="1594">
        <f t="shared" si="2"/>
        <v>5494</v>
      </c>
      <c r="H67" s="1594">
        <f t="shared" si="2"/>
        <v>0</v>
      </c>
      <c r="I67" s="1594">
        <f t="shared" si="2"/>
        <v>33874</v>
      </c>
      <c r="J67" s="1594">
        <f t="shared" si="2"/>
        <v>7501</v>
      </c>
      <c r="K67" s="1594">
        <f t="shared" si="2"/>
        <v>850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36104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5312</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41416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31963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791</v>
      </c>
      <c r="D81" s="1573"/>
      <c r="E81" s="1575"/>
      <c r="F81" s="1575"/>
      <c r="G81" s="1575"/>
      <c r="H81" s="1575"/>
      <c r="I81" s="1575"/>
      <c r="J81" s="1575"/>
      <c r="K81" s="1575"/>
    </row>
    <row r="82" spans="1:11" ht="12.75" customHeight="1" thickBot="1" x14ac:dyDescent="0.25">
      <c r="A82" s="1406" t="s">
        <v>239</v>
      </c>
      <c r="B82" s="1407"/>
      <c r="C82" s="1633">
        <f>SUM(C77:C81)</f>
        <v>32754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27179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27179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8150</v>
      </c>
      <c r="E95" s="1617"/>
      <c r="F95" s="1617"/>
      <c r="G95" s="1617"/>
      <c r="H95" s="1617"/>
      <c r="I95" s="1617"/>
      <c r="J95" s="1617"/>
      <c r="K95" s="1617"/>
    </row>
    <row r="96" spans="1:11" ht="12.75" customHeight="1" x14ac:dyDescent="0.2">
      <c r="A96" s="427" t="s">
        <v>388</v>
      </c>
      <c r="B96" s="429">
        <v>1920</v>
      </c>
      <c r="C96" s="1632">
        <v>12320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46787</v>
      </c>
      <c r="D98" s="1573">
        <v>1746</v>
      </c>
      <c r="E98" s="1612"/>
      <c r="F98" s="1573">
        <v>2669</v>
      </c>
      <c r="G98" s="1612"/>
      <c r="H98" s="1612"/>
      <c r="I98" s="1610"/>
      <c r="J98" s="1612"/>
      <c r="K98" s="1612"/>
    </row>
    <row r="99" spans="1:12" ht="12.75" customHeight="1" x14ac:dyDescent="0.2">
      <c r="A99" s="427" t="s">
        <v>816</v>
      </c>
      <c r="B99" s="429">
        <v>1950</v>
      </c>
      <c r="C99" s="1598">
        <v>2787</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68693</v>
      </c>
      <c r="D107" s="1573">
        <v>22530</v>
      </c>
      <c r="E107" s="1573"/>
      <c r="F107" s="1573">
        <v>3276</v>
      </c>
      <c r="G107" s="1573"/>
      <c r="H107" s="1573"/>
      <c r="I107" s="1573"/>
      <c r="J107" s="1574">
        <v>10586</v>
      </c>
      <c r="K107" s="1573"/>
    </row>
    <row r="108" spans="1:12" ht="12.75" customHeight="1" thickBot="1" x14ac:dyDescent="0.25">
      <c r="A108" s="1406" t="s">
        <v>484</v>
      </c>
      <c r="B108" s="1408"/>
      <c r="C108" s="1633">
        <f>SUM(C95:C107)</f>
        <v>130587</v>
      </c>
      <c r="D108" s="1633">
        <f t="shared" ref="D108:K108" si="3">SUM(D95:D107)</f>
        <v>32426</v>
      </c>
      <c r="E108" s="1633">
        <f t="shared" si="3"/>
        <v>0</v>
      </c>
      <c r="F108" s="1633">
        <f t="shared" si="3"/>
        <v>5945</v>
      </c>
      <c r="G108" s="1633">
        <f t="shared" si="3"/>
        <v>0</v>
      </c>
      <c r="H108" s="1633">
        <f t="shared" si="3"/>
        <v>0</v>
      </c>
      <c r="I108" s="1633">
        <f t="shared" si="3"/>
        <v>0</v>
      </c>
      <c r="J108" s="1633">
        <f t="shared" si="3"/>
        <v>10586</v>
      </c>
      <c r="K108" s="1594">
        <f t="shared" si="3"/>
        <v>0</v>
      </c>
    </row>
    <row r="109" spans="1:12" ht="14.25" thickTop="1" thickBot="1" x14ac:dyDescent="0.25">
      <c r="A109" s="1409" t="s">
        <v>246</v>
      </c>
      <c r="B109" s="1410" t="s">
        <v>566</v>
      </c>
      <c r="C109" s="1641">
        <f t="shared" ref="C109:K109" si="4">SUM(C12,C18,C40,C63,C67,C75,C82,C93,C108,)</f>
        <v>3382283</v>
      </c>
      <c r="D109" s="1641">
        <f t="shared" si="4"/>
        <v>699600</v>
      </c>
      <c r="E109" s="1641">
        <f t="shared" si="4"/>
        <v>1108800</v>
      </c>
      <c r="F109" s="1641">
        <f t="shared" si="4"/>
        <v>221229</v>
      </c>
      <c r="G109" s="1641">
        <f t="shared" si="4"/>
        <v>232708</v>
      </c>
      <c r="H109" s="1641">
        <f t="shared" si="4"/>
        <v>0</v>
      </c>
      <c r="I109" s="1641">
        <f t="shared" si="4"/>
        <v>77934</v>
      </c>
      <c r="J109" s="1641">
        <f t="shared" si="4"/>
        <v>564519</v>
      </c>
      <c r="K109" s="1629">
        <f t="shared" si="4"/>
        <v>44910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16681</v>
      </c>
      <c r="D111" s="1586"/>
      <c r="E111" s="1640"/>
      <c r="F111" s="1586"/>
      <c r="G111" s="1586"/>
      <c r="H111" s="1640"/>
      <c r="I111" s="1575"/>
      <c r="J111" s="1575"/>
      <c r="K111" s="1575"/>
    </row>
    <row r="112" spans="1:12" ht="12.75" customHeight="1" x14ac:dyDescent="0.2">
      <c r="A112" s="427" t="s">
        <v>819</v>
      </c>
      <c r="B112" s="429">
        <v>2200</v>
      </c>
      <c r="C112" s="1632">
        <v>28018</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44699</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1687220</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1687220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46534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46534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6798</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342</v>
      </c>
      <c r="D140" s="1573"/>
      <c r="E140" s="1640"/>
      <c r="F140" s="1582"/>
      <c r="G140" s="1574"/>
      <c r="H140" s="1575"/>
      <c r="I140" s="1575"/>
      <c r="J140" s="1575"/>
      <c r="K140" s="1575"/>
    </row>
    <row r="141" spans="1:11" ht="12.75" customHeight="1" thickBot="1" x14ac:dyDescent="0.25">
      <c r="A141" s="1406" t="s">
        <v>599</v>
      </c>
      <c r="B141" s="1414"/>
      <c r="C141" s="1633">
        <f>SUM(C134:C140)</f>
        <v>7140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1715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5428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204896</v>
      </c>
      <c r="G152" s="1574"/>
      <c r="H152" s="1575"/>
      <c r="I152" s="1575"/>
      <c r="J152" s="1575"/>
      <c r="K152" s="1575"/>
    </row>
    <row r="153" spans="1:11" ht="12.75" customHeight="1" x14ac:dyDescent="0.2">
      <c r="A153" s="427" t="s">
        <v>1048</v>
      </c>
      <c r="B153" s="478">
        <v>3510</v>
      </c>
      <c r="C153" s="1632"/>
      <c r="D153" s="1573"/>
      <c r="E153" s="1640"/>
      <c r="F153" s="1573">
        <v>50683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255579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47954</v>
      </c>
      <c r="E167" s="1617"/>
      <c r="F167" s="1617"/>
      <c r="G167" s="1575"/>
      <c r="H167" s="1627"/>
      <c r="I167" s="1575"/>
      <c r="J167" s="1575"/>
      <c r="K167" s="1626"/>
    </row>
    <row r="168" spans="1:11" ht="14.25" thickTop="1" thickBot="1" x14ac:dyDescent="0.25">
      <c r="A168" s="1270" t="s">
        <v>70</v>
      </c>
      <c r="B168" s="484">
        <v>3999</v>
      </c>
      <c r="C168" s="1654">
        <v>22736</v>
      </c>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83553</v>
      </c>
      <c r="D169" s="1658">
        <f t="shared" si="6"/>
        <v>47954</v>
      </c>
      <c r="E169" s="1658">
        <f t="shared" si="6"/>
        <v>0</v>
      </c>
      <c r="F169" s="1658">
        <f t="shared" si="6"/>
        <v>255579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1770773</v>
      </c>
      <c r="D170" s="1641">
        <f t="shared" si="7"/>
        <v>47954</v>
      </c>
      <c r="E170" s="1641">
        <f t="shared" si="7"/>
        <v>0</v>
      </c>
      <c r="F170" s="1641">
        <f t="shared" si="7"/>
        <v>255579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v>16158</v>
      </c>
      <c r="D174" s="1573"/>
      <c r="E174" s="1574"/>
      <c r="F174" s="1573"/>
      <c r="G174" s="1573"/>
      <c r="H174" s="1574"/>
      <c r="I174" s="1574"/>
      <c r="J174" s="1574"/>
      <c r="K174" s="1574"/>
    </row>
    <row r="175" spans="1:11" ht="13.5" thickBot="1" x14ac:dyDescent="0.25">
      <c r="A175" s="2257" t="s">
        <v>1646</v>
      </c>
      <c r="B175" s="2258"/>
      <c r="C175" s="1633">
        <f>SUM(C173:C174)</f>
        <v>16158</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93377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25448</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118825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311655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311655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3525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143500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147025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7681</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7681</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36787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621973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638131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5835886</v>
      </c>
      <c r="D268" s="1641">
        <f t="shared" si="12"/>
        <v>747554</v>
      </c>
      <c r="E268" s="1641">
        <f t="shared" si="12"/>
        <v>1108800</v>
      </c>
      <c r="F268" s="1641">
        <f t="shared" si="12"/>
        <v>476808</v>
      </c>
      <c r="G268" s="1641">
        <f t="shared" si="12"/>
        <v>232708</v>
      </c>
      <c r="H268" s="1641">
        <f t="shared" si="12"/>
        <v>0</v>
      </c>
      <c r="I268" s="1641">
        <f t="shared" si="12"/>
        <v>77934</v>
      </c>
      <c r="J268" s="1641">
        <f t="shared" si="12"/>
        <v>564519</v>
      </c>
      <c r="K268" s="1629">
        <f t="shared" si="12"/>
        <v>44910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4" activePane="bottomLeft" state="frozen"/>
      <selection pane="bottomLeft" activeCell="K174" sqref="K17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1910033</v>
      </c>
      <c r="D5" s="1573">
        <v>387174</v>
      </c>
      <c r="E5" s="1573">
        <v>53005</v>
      </c>
      <c r="F5" s="1573">
        <v>61280</v>
      </c>
      <c r="G5" s="1573">
        <v>10700</v>
      </c>
      <c r="H5" s="1573">
        <v>1224</v>
      </c>
      <c r="I5" s="1574"/>
      <c r="J5" s="1574"/>
      <c r="K5" s="1672">
        <f>SUM(C5:J5)</f>
        <v>2423416</v>
      </c>
      <c r="L5" s="1573">
        <v>1758132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103163</v>
      </c>
      <c r="D7" s="1574">
        <v>18247</v>
      </c>
      <c r="E7" s="1574"/>
      <c r="F7" s="1574"/>
      <c r="G7" s="1574"/>
      <c r="H7" s="1574"/>
      <c r="I7" s="1574"/>
      <c r="J7" s="1574"/>
      <c r="K7" s="1672">
        <f t="shared" ref="K7:K32" si="0">SUM(C7:J7)</f>
        <v>121410</v>
      </c>
      <c r="L7" s="1573">
        <v>1060310</v>
      </c>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84526</v>
      </c>
      <c r="D10" s="1573">
        <v>19933</v>
      </c>
      <c r="E10" s="1573">
        <v>31714</v>
      </c>
      <c r="F10" s="1573">
        <v>96226</v>
      </c>
      <c r="G10" s="1573">
        <v>37155</v>
      </c>
      <c r="H10" s="1573"/>
      <c r="I10" s="1574"/>
      <c r="J10" s="1574"/>
      <c r="K10" s="1672">
        <f t="shared" si="0"/>
        <v>269554</v>
      </c>
      <c r="L10" s="1573">
        <v>185898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180254</v>
      </c>
      <c r="D13" s="1573">
        <v>39170</v>
      </c>
      <c r="E13" s="1573"/>
      <c r="F13" s="1573">
        <v>5926</v>
      </c>
      <c r="G13" s="1573">
        <v>2000</v>
      </c>
      <c r="H13" s="1573"/>
      <c r="I13" s="1574"/>
      <c r="J13" s="1574"/>
      <c r="K13" s="1672">
        <f t="shared" si="0"/>
        <v>227350</v>
      </c>
      <c r="L13" s="1573">
        <v>248200</v>
      </c>
    </row>
    <row r="14" spans="1:14" x14ac:dyDescent="0.2">
      <c r="A14" s="1274" t="s">
        <v>957</v>
      </c>
      <c r="B14" s="503">
        <v>1500</v>
      </c>
      <c r="C14" s="1573">
        <v>180253</v>
      </c>
      <c r="D14" s="1573">
        <v>12469</v>
      </c>
      <c r="E14" s="1573">
        <v>36320</v>
      </c>
      <c r="F14" s="1573">
        <v>81185</v>
      </c>
      <c r="G14" s="1573">
        <v>33363</v>
      </c>
      <c r="H14" s="1573">
        <v>8797</v>
      </c>
      <c r="I14" s="1574"/>
      <c r="J14" s="1574"/>
      <c r="K14" s="1672">
        <f t="shared" si="0"/>
        <v>352387</v>
      </c>
      <c r="L14" s="1573">
        <v>312000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17292</v>
      </c>
      <c r="D17" s="1574">
        <v>2781</v>
      </c>
      <c r="E17" s="1574">
        <v>150</v>
      </c>
      <c r="F17" s="1574">
        <v>389</v>
      </c>
      <c r="G17" s="1574"/>
      <c r="H17" s="1574"/>
      <c r="I17" s="1574"/>
      <c r="J17" s="1574"/>
      <c r="K17" s="1672">
        <f t="shared" si="0"/>
        <v>20612</v>
      </c>
      <c r="L17" s="1573">
        <v>33770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2475521</v>
      </c>
      <c r="D33" s="1674">
        <f t="shared" ref="D33:L33" si="1">SUM(D5:D32)</f>
        <v>479774</v>
      </c>
      <c r="E33" s="1674">
        <f t="shared" si="1"/>
        <v>121189</v>
      </c>
      <c r="F33" s="1674">
        <f t="shared" si="1"/>
        <v>245006</v>
      </c>
      <c r="G33" s="1674">
        <f t="shared" si="1"/>
        <v>83218</v>
      </c>
      <c r="H33" s="1674">
        <f t="shared" si="1"/>
        <v>10021</v>
      </c>
      <c r="I33" s="1674">
        <f t="shared" si="1"/>
        <v>0</v>
      </c>
      <c r="J33" s="1674">
        <f t="shared" si="1"/>
        <v>0</v>
      </c>
      <c r="K33" s="1674">
        <f t="shared" si="1"/>
        <v>3414729</v>
      </c>
      <c r="L33" s="1674">
        <f t="shared" si="1"/>
        <v>3598310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1000</v>
      </c>
    </row>
    <row r="37" spans="1:14" x14ac:dyDescent="0.2">
      <c r="A37" s="1274" t="s">
        <v>1081</v>
      </c>
      <c r="B37" s="503">
        <v>2120</v>
      </c>
      <c r="C37" s="1573">
        <v>83276</v>
      </c>
      <c r="D37" s="1573">
        <v>12569</v>
      </c>
      <c r="E37" s="1573">
        <v>385</v>
      </c>
      <c r="F37" s="1573"/>
      <c r="G37" s="1573"/>
      <c r="H37" s="1573"/>
      <c r="I37" s="1574"/>
      <c r="J37" s="1574"/>
      <c r="K37" s="1672">
        <f t="shared" si="2"/>
        <v>96230</v>
      </c>
      <c r="L37" s="1573">
        <v>94500</v>
      </c>
    </row>
    <row r="38" spans="1:14" x14ac:dyDescent="0.2">
      <c r="A38" s="1274" t="s">
        <v>196</v>
      </c>
      <c r="B38" s="503">
        <v>2130</v>
      </c>
      <c r="C38" s="1573"/>
      <c r="D38" s="1573"/>
      <c r="E38" s="1573">
        <v>39160</v>
      </c>
      <c r="F38" s="1573"/>
      <c r="G38" s="1573"/>
      <c r="H38" s="1573"/>
      <c r="I38" s="1574"/>
      <c r="J38" s="1574"/>
      <c r="K38" s="1672">
        <f t="shared" si="2"/>
        <v>39160</v>
      </c>
      <c r="L38" s="1573">
        <v>49000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83276</v>
      </c>
      <c r="D42" s="1674">
        <f t="shared" ref="D42:L42" si="3">SUM(D36:D41)</f>
        <v>12569</v>
      </c>
      <c r="E42" s="1674">
        <f t="shared" si="3"/>
        <v>39545</v>
      </c>
      <c r="F42" s="1674">
        <f t="shared" si="3"/>
        <v>0</v>
      </c>
      <c r="G42" s="1674">
        <f t="shared" si="3"/>
        <v>0</v>
      </c>
      <c r="H42" s="1674">
        <f t="shared" si="3"/>
        <v>0</v>
      </c>
      <c r="I42" s="1674">
        <f t="shared" si="3"/>
        <v>0</v>
      </c>
      <c r="J42" s="1674">
        <f t="shared" si="3"/>
        <v>0</v>
      </c>
      <c r="K42" s="1674">
        <f t="shared" si="3"/>
        <v>135390</v>
      </c>
      <c r="L42" s="1674">
        <f t="shared" si="3"/>
        <v>144500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1828</v>
      </c>
      <c r="D44" s="1586">
        <v>208</v>
      </c>
      <c r="E44" s="1586">
        <v>3450</v>
      </c>
      <c r="F44" s="1586"/>
      <c r="G44" s="1586"/>
      <c r="H44" s="1586"/>
      <c r="I44" s="1574"/>
      <c r="J44" s="1574"/>
      <c r="K44" s="1678">
        <f>SUM(C44:J44)</f>
        <v>5486</v>
      </c>
      <c r="L44" s="1586">
        <v>24050</v>
      </c>
    </row>
    <row r="45" spans="1:14" x14ac:dyDescent="0.2">
      <c r="A45" s="1274" t="s">
        <v>810</v>
      </c>
      <c r="B45" s="503">
        <v>2220</v>
      </c>
      <c r="C45" s="1573">
        <v>18662</v>
      </c>
      <c r="D45" s="1573">
        <v>6633</v>
      </c>
      <c r="E45" s="1573">
        <v>1596</v>
      </c>
      <c r="F45" s="1573">
        <v>1350</v>
      </c>
      <c r="G45" s="1573"/>
      <c r="H45" s="1573"/>
      <c r="I45" s="1574"/>
      <c r="J45" s="1574"/>
      <c r="K45" s="1678">
        <f>SUM(C45:J45)</f>
        <v>28241</v>
      </c>
      <c r="L45" s="1573">
        <v>49850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20490</v>
      </c>
      <c r="D47" s="1674">
        <f t="shared" ref="D47:K47" si="4">SUM(D44:D46)</f>
        <v>6841</v>
      </c>
      <c r="E47" s="1674">
        <f t="shared" si="4"/>
        <v>5046</v>
      </c>
      <c r="F47" s="1674">
        <f t="shared" si="4"/>
        <v>1350</v>
      </c>
      <c r="G47" s="1674">
        <f t="shared" si="4"/>
        <v>0</v>
      </c>
      <c r="H47" s="1674">
        <f t="shared" si="4"/>
        <v>0</v>
      </c>
      <c r="I47" s="1674">
        <f t="shared" si="4"/>
        <v>0</v>
      </c>
      <c r="J47" s="1674">
        <f t="shared" si="4"/>
        <v>0</v>
      </c>
      <c r="K47" s="1674">
        <f t="shared" si="4"/>
        <v>33727</v>
      </c>
      <c r="L47" s="1674">
        <f>SUM(L44:L46)</f>
        <v>73900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60182</v>
      </c>
      <c r="F49" s="1586">
        <v>3116</v>
      </c>
      <c r="G49" s="1586"/>
      <c r="H49" s="1586">
        <v>45</v>
      </c>
      <c r="I49" s="1574"/>
      <c r="J49" s="1574"/>
      <c r="K49" s="1678">
        <f>SUM(C49:J49)</f>
        <v>63343</v>
      </c>
      <c r="L49" s="1586">
        <v>98500</v>
      </c>
    </row>
    <row r="50" spans="1:14" x14ac:dyDescent="0.2">
      <c r="A50" s="1274" t="s">
        <v>813</v>
      </c>
      <c r="B50" s="503">
        <v>2320</v>
      </c>
      <c r="C50" s="1573">
        <v>133189</v>
      </c>
      <c r="D50" s="1573">
        <v>20200</v>
      </c>
      <c r="E50" s="1573">
        <v>5557</v>
      </c>
      <c r="F50" s="1573">
        <v>5588</v>
      </c>
      <c r="G50" s="1573"/>
      <c r="H50" s="1573">
        <v>1183</v>
      </c>
      <c r="I50" s="1574"/>
      <c r="J50" s="1574"/>
      <c r="K50" s="1678">
        <f>SUM(C50:J50)</f>
        <v>165717</v>
      </c>
      <c r="L50" s="1573">
        <v>161710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133189</v>
      </c>
      <c r="D53" s="1674">
        <f t="shared" ref="D53:L53" si="5">SUM(D49:D52)</f>
        <v>20200</v>
      </c>
      <c r="E53" s="1674">
        <f t="shared" si="5"/>
        <v>65739</v>
      </c>
      <c r="F53" s="1674">
        <f t="shared" si="5"/>
        <v>8704</v>
      </c>
      <c r="G53" s="1674">
        <f t="shared" si="5"/>
        <v>0</v>
      </c>
      <c r="H53" s="1674">
        <f t="shared" si="5"/>
        <v>1228</v>
      </c>
      <c r="I53" s="1674">
        <f t="shared" si="5"/>
        <v>0</v>
      </c>
      <c r="J53" s="1674">
        <f t="shared" si="5"/>
        <v>0</v>
      </c>
      <c r="K53" s="1674">
        <f t="shared" si="5"/>
        <v>229060</v>
      </c>
      <c r="L53" s="1674">
        <f t="shared" si="5"/>
        <v>260210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247959</v>
      </c>
      <c r="D55" s="1586">
        <v>45065</v>
      </c>
      <c r="E55" s="1586">
        <v>12955</v>
      </c>
      <c r="F55" s="1586">
        <v>4835</v>
      </c>
      <c r="G55" s="1586"/>
      <c r="H55" s="1586">
        <v>1476</v>
      </c>
      <c r="I55" s="1574"/>
      <c r="J55" s="1574"/>
      <c r="K55" s="1678">
        <f>SUM(C55:J55)</f>
        <v>312290</v>
      </c>
      <c r="L55" s="1586">
        <v>345700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247959</v>
      </c>
      <c r="D57" s="1679">
        <f t="shared" ref="D57:K57" si="6">SUM(D55:D56)</f>
        <v>45065</v>
      </c>
      <c r="E57" s="1679">
        <f t="shared" si="6"/>
        <v>12955</v>
      </c>
      <c r="F57" s="1679">
        <f t="shared" si="6"/>
        <v>4835</v>
      </c>
      <c r="G57" s="1679">
        <f t="shared" si="6"/>
        <v>0</v>
      </c>
      <c r="H57" s="1679">
        <f t="shared" si="6"/>
        <v>1476</v>
      </c>
      <c r="I57" s="1679">
        <f t="shared" si="6"/>
        <v>0</v>
      </c>
      <c r="J57" s="1679">
        <f t="shared" si="6"/>
        <v>0</v>
      </c>
      <c r="K57" s="1679">
        <f t="shared" si="6"/>
        <v>312290</v>
      </c>
      <c r="L57" s="1674">
        <f>SUM(L55:L56)</f>
        <v>345700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25400</v>
      </c>
      <c r="M59" s="501"/>
      <c r="N59" s="501"/>
    </row>
    <row r="60" spans="1:14" s="321" customFormat="1" x14ac:dyDescent="0.2">
      <c r="A60" s="1274" t="s">
        <v>460</v>
      </c>
      <c r="B60" s="503">
        <v>2520</v>
      </c>
      <c r="C60" s="1573">
        <v>28187</v>
      </c>
      <c r="D60" s="1573">
        <v>5732</v>
      </c>
      <c r="E60" s="1573">
        <v>4329</v>
      </c>
      <c r="F60" s="1573">
        <v>196</v>
      </c>
      <c r="G60" s="1573"/>
      <c r="H60" s="1573"/>
      <c r="I60" s="1574"/>
      <c r="J60" s="1574"/>
      <c r="K60" s="1678">
        <f t="shared" si="7"/>
        <v>38444</v>
      </c>
      <c r="L60" s="1573">
        <v>47750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55155</v>
      </c>
      <c r="D63" s="1573">
        <v>13617</v>
      </c>
      <c r="E63" s="1573">
        <v>1313</v>
      </c>
      <c r="F63" s="1573">
        <v>90367</v>
      </c>
      <c r="G63" s="1573"/>
      <c r="H63" s="1573"/>
      <c r="I63" s="1574"/>
      <c r="J63" s="1574"/>
      <c r="K63" s="1678">
        <f t="shared" si="7"/>
        <v>160452</v>
      </c>
      <c r="L63" s="1573">
        <v>230200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83342</v>
      </c>
      <c r="D65" s="1674">
        <f t="shared" ref="D65:L65" si="8">SUM(D59:D64)</f>
        <v>19349</v>
      </c>
      <c r="E65" s="1674">
        <f t="shared" si="8"/>
        <v>5642</v>
      </c>
      <c r="F65" s="1674">
        <f t="shared" si="8"/>
        <v>90563</v>
      </c>
      <c r="G65" s="1674">
        <f t="shared" si="8"/>
        <v>0</v>
      </c>
      <c r="H65" s="1674">
        <f t="shared" si="8"/>
        <v>0</v>
      </c>
      <c r="I65" s="1674">
        <f t="shared" si="8"/>
        <v>0</v>
      </c>
      <c r="J65" s="1674">
        <f t="shared" si="8"/>
        <v>0</v>
      </c>
      <c r="K65" s="1674">
        <f t="shared" si="8"/>
        <v>198896</v>
      </c>
      <c r="L65" s="1674">
        <f t="shared" si="8"/>
        <v>303350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4065</v>
      </c>
      <c r="F69" s="1573"/>
      <c r="G69" s="1573"/>
      <c r="H69" s="1573"/>
      <c r="I69" s="1574"/>
      <c r="J69" s="1574"/>
      <c r="K69" s="1678">
        <f>SUM(C69:J69)</f>
        <v>4065</v>
      </c>
      <c r="L69" s="1573">
        <v>5000</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55351</v>
      </c>
      <c r="D71" s="1573">
        <v>5906</v>
      </c>
      <c r="E71" s="1573">
        <v>14536</v>
      </c>
      <c r="F71" s="1573">
        <v>34562</v>
      </c>
      <c r="G71" s="1573">
        <v>34410</v>
      </c>
      <c r="H71" s="1573"/>
      <c r="I71" s="1574"/>
      <c r="J71" s="1574"/>
      <c r="K71" s="1678">
        <f>SUM(C71:J71)</f>
        <v>144765</v>
      </c>
      <c r="L71" s="1573">
        <v>214150</v>
      </c>
      <c r="M71" s="501"/>
      <c r="N71" s="501"/>
    </row>
    <row r="72" spans="1:14" s="321" customFormat="1" ht="12.75" customHeight="1" thickBot="1" x14ac:dyDescent="0.25">
      <c r="A72" s="1380" t="s">
        <v>37</v>
      </c>
      <c r="B72" s="1383" t="s">
        <v>36</v>
      </c>
      <c r="C72" s="1674">
        <f>SUM(C67:C71)</f>
        <v>55351</v>
      </c>
      <c r="D72" s="1674">
        <f t="shared" ref="D72:K72" si="9">SUM(D67:D71)</f>
        <v>5906</v>
      </c>
      <c r="E72" s="1674">
        <f t="shared" si="9"/>
        <v>18601</v>
      </c>
      <c r="F72" s="1674">
        <f t="shared" si="9"/>
        <v>34562</v>
      </c>
      <c r="G72" s="1674">
        <f t="shared" si="9"/>
        <v>34410</v>
      </c>
      <c r="H72" s="1674">
        <f t="shared" si="9"/>
        <v>0</v>
      </c>
      <c r="I72" s="1674">
        <f t="shared" si="9"/>
        <v>0</v>
      </c>
      <c r="J72" s="1674">
        <f t="shared" si="9"/>
        <v>0</v>
      </c>
      <c r="K72" s="1674">
        <f t="shared" si="9"/>
        <v>148830</v>
      </c>
      <c r="L72" s="1674">
        <f>SUM(L67:L71)</f>
        <v>219150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623607</v>
      </c>
      <c r="D74" s="1681">
        <f t="shared" ref="D74:K74" si="10">SUM(D42,D47,D53,D57,D65,D72,D73)</f>
        <v>109930</v>
      </c>
      <c r="E74" s="1681">
        <f t="shared" si="10"/>
        <v>147528</v>
      </c>
      <c r="F74" s="1681">
        <f t="shared" si="10"/>
        <v>140014</v>
      </c>
      <c r="G74" s="1681">
        <f t="shared" si="10"/>
        <v>34410</v>
      </c>
      <c r="H74" s="1681">
        <f t="shared" si="10"/>
        <v>2704</v>
      </c>
      <c r="I74" s="1681">
        <f t="shared" si="10"/>
        <v>0</v>
      </c>
      <c r="J74" s="1681">
        <f t="shared" si="10"/>
        <v>0</v>
      </c>
      <c r="K74" s="1681">
        <f t="shared" si="10"/>
        <v>1058193</v>
      </c>
      <c r="L74" s="1681">
        <f>SUM(L42,L47,L53,L57,L65,L72,L73)</f>
        <v>1346810</v>
      </c>
    </row>
    <row r="75" spans="1:14" s="254" customFormat="1" ht="15.75" customHeight="1" thickTop="1" thickBot="1" x14ac:dyDescent="0.25">
      <c r="A75" s="1348" t="s">
        <v>47</v>
      </c>
      <c r="B75" s="1349" t="s">
        <v>571</v>
      </c>
      <c r="C75" s="1649"/>
      <c r="D75" s="1649"/>
      <c r="E75" s="1649">
        <v>24991</v>
      </c>
      <c r="F75" s="1649">
        <v>375</v>
      </c>
      <c r="G75" s="1649"/>
      <c r="H75" s="1649"/>
      <c r="I75" s="1627"/>
      <c r="J75" s="1627"/>
      <c r="K75" s="1674">
        <f>SUM(C75:J75)</f>
        <v>25366</v>
      </c>
      <c r="L75" s="1651">
        <v>26450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6194</v>
      </c>
      <c r="I78" s="1582"/>
      <c r="J78" s="1582"/>
      <c r="K78" s="1672">
        <f t="shared" ref="K78:K83" si="11">SUM(C78:J78)</f>
        <v>6194</v>
      </c>
      <c r="L78" s="1586">
        <v>17000</v>
      </c>
    </row>
    <row r="79" spans="1:14" x14ac:dyDescent="0.2">
      <c r="A79" s="1274" t="s">
        <v>301</v>
      </c>
      <c r="B79" s="503">
        <v>4120</v>
      </c>
      <c r="C79" s="1673"/>
      <c r="D79" s="1673"/>
      <c r="E79" s="1573"/>
      <c r="F79" s="1673"/>
      <c r="G79" s="1673"/>
      <c r="H79" s="1573">
        <v>841174</v>
      </c>
      <c r="I79" s="1582"/>
      <c r="J79" s="1582"/>
      <c r="K79" s="1672">
        <f t="shared" si="11"/>
        <v>841174</v>
      </c>
      <c r="L79" s="1573">
        <v>900000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19293</v>
      </c>
      <c r="I81" s="1582"/>
      <c r="J81" s="1582"/>
      <c r="K81" s="1672">
        <f t="shared" si="11"/>
        <v>19293</v>
      </c>
      <c r="L81" s="1573">
        <v>10000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866661</v>
      </c>
      <c r="I84" s="1582"/>
      <c r="J84" s="1582"/>
      <c r="K84" s="1674">
        <f>SUM(K78:K83)</f>
        <v>866661</v>
      </c>
      <c r="L84" s="1674">
        <f>SUM(L78:L83)</f>
        <v>927000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866661</v>
      </c>
      <c r="I102" s="1582"/>
      <c r="J102" s="1582"/>
      <c r="K102" s="1681">
        <f>SUM(K84,K92,K100,K101)</f>
        <v>866661</v>
      </c>
      <c r="L102" s="1681">
        <f>SUM(L84,L92,L100,L101)</f>
        <v>927000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100000</v>
      </c>
      <c r="M113" s="502"/>
      <c r="N113" s="502"/>
    </row>
    <row r="114" spans="1:14" ht="12.75" customHeight="1" thickTop="1" thickBot="1" x14ac:dyDescent="0.25">
      <c r="A114" s="1380" t="s">
        <v>48</v>
      </c>
      <c r="B114" s="1388"/>
      <c r="C114" s="1674">
        <f>SUM(C33,C74,C75,C102,C112,C113)</f>
        <v>3099128</v>
      </c>
      <c r="D114" s="1674">
        <f t="shared" ref="D114:K114" si="13">SUM(D33,D74,D75,D102,D112,D113)</f>
        <v>589704</v>
      </c>
      <c r="E114" s="1674">
        <f t="shared" si="13"/>
        <v>293708</v>
      </c>
      <c r="F114" s="1674">
        <f t="shared" si="13"/>
        <v>385395</v>
      </c>
      <c r="G114" s="1674">
        <f t="shared" si="13"/>
        <v>117628</v>
      </c>
      <c r="H114" s="1674">
        <f>SUM(H33,H74,H75,H102,H112,H113)</f>
        <v>879386</v>
      </c>
      <c r="I114" s="1674">
        <f t="shared" si="13"/>
        <v>0</v>
      </c>
      <c r="J114" s="1674">
        <f t="shared" si="13"/>
        <v>0</v>
      </c>
      <c r="K114" s="1674">
        <f t="shared" si="13"/>
        <v>5364949</v>
      </c>
      <c r="L114" s="1674">
        <f>SUM(L33,L74,L75,L102,L112,L113)</f>
        <v>5998570</v>
      </c>
    </row>
    <row r="115" spans="1:14" ht="13.5" thickTop="1" x14ac:dyDescent="0.2">
      <c r="A115" s="2288" t="s">
        <v>989</v>
      </c>
      <c r="B115" s="2289"/>
      <c r="C115" s="1675"/>
      <c r="D115" s="1675"/>
      <c r="E115" s="1675"/>
      <c r="F115" s="1675"/>
      <c r="G115" s="1675"/>
      <c r="H115" s="1675"/>
      <c r="I115" s="1675"/>
      <c r="J115" s="1675"/>
      <c r="K115" s="1689">
        <f>'Revenues 9-14'!C268-'Expenditures 15-22'!K114</f>
        <v>470937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v>745010</v>
      </c>
      <c r="H123" s="1573"/>
      <c r="I123" s="1574"/>
      <c r="J123" s="1574"/>
      <c r="K123" s="1674">
        <f>SUM(C123:J123)</f>
        <v>745010</v>
      </c>
      <c r="L123" s="1573">
        <v>1000000</v>
      </c>
    </row>
    <row r="124" spans="1:14" ht="14.25" thickTop="1" thickBot="1" x14ac:dyDescent="0.25">
      <c r="A124" s="1274" t="s">
        <v>195</v>
      </c>
      <c r="B124" s="503">
        <v>2540</v>
      </c>
      <c r="C124" s="1573">
        <v>203067</v>
      </c>
      <c r="D124" s="1573">
        <v>35433</v>
      </c>
      <c r="E124" s="1573">
        <v>454814</v>
      </c>
      <c r="F124" s="1573">
        <v>160915</v>
      </c>
      <c r="G124" s="1573">
        <v>48255</v>
      </c>
      <c r="H124" s="1573"/>
      <c r="I124" s="1574"/>
      <c r="J124" s="1574"/>
      <c r="K124" s="1674">
        <f>SUM(C124:J124)</f>
        <v>902484</v>
      </c>
      <c r="L124" s="1573">
        <v>702000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203067</v>
      </c>
      <c r="D127" s="1674">
        <f t="shared" ref="D127:L127" si="14">SUM(D122:D126)</f>
        <v>35433</v>
      </c>
      <c r="E127" s="1674">
        <f t="shared" si="14"/>
        <v>454814</v>
      </c>
      <c r="F127" s="1674">
        <f t="shared" si="14"/>
        <v>160915</v>
      </c>
      <c r="G127" s="1674">
        <f t="shared" si="14"/>
        <v>793265</v>
      </c>
      <c r="H127" s="1674">
        <f t="shared" si="14"/>
        <v>0</v>
      </c>
      <c r="I127" s="1674">
        <f t="shared" si="14"/>
        <v>0</v>
      </c>
      <c r="J127" s="1674">
        <f t="shared" si="14"/>
        <v>0</v>
      </c>
      <c r="K127" s="1674">
        <f t="shared" si="14"/>
        <v>1647494</v>
      </c>
      <c r="L127" s="1674">
        <f t="shared" si="14"/>
        <v>1702000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203067</v>
      </c>
      <c r="D129" s="1681">
        <f t="shared" ref="D129:L129" si="15">SUM(D120,D127,D128)</f>
        <v>35433</v>
      </c>
      <c r="E129" s="1681">
        <f t="shared" si="15"/>
        <v>454814</v>
      </c>
      <c r="F129" s="1681">
        <f t="shared" si="15"/>
        <v>160915</v>
      </c>
      <c r="G129" s="1681">
        <f t="shared" si="15"/>
        <v>793265</v>
      </c>
      <c r="H129" s="1681">
        <f t="shared" si="15"/>
        <v>0</v>
      </c>
      <c r="I129" s="1681">
        <f t="shared" si="15"/>
        <v>0</v>
      </c>
      <c r="J129" s="1681">
        <f t="shared" si="15"/>
        <v>0</v>
      </c>
      <c r="K129" s="1681">
        <f t="shared" si="15"/>
        <v>1647494</v>
      </c>
      <c r="L129" s="1681">
        <f t="shared" si="15"/>
        <v>1702000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30000</v>
      </c>
    </row>
    <row r="151" spans="1:14" ht="12.75" customHeight="1" thickTop="1" thickBot="1" x14ac:dyDescent="0.25">
      <c r="A151" s="2278" t="s">
        <v>616</v>
      </c>
      <c r="B151" s="2260"/>
      <c r="C151" s="1674">
        <f>SUM(C129,C130,C139,C149,C150)</f>
        <v>203067</v>
      </c>
      <c r="D151" s="1674">
        <f t="shared" ref="D151:K151" si="16">SUM(D129,D130,D139,D149,D150)</f>
        <v>35433</v>
      </c>
      <c r="E151" s="1674">
        <f t="shared" si="16"/>
        <v>454814</v>
      </c>
      <c r="F151" s="1674">
        <f t="shared" si="16"/>
        <v>160915</v>
      </c>
      <c r="G151" s="1674">
        <f t="shared" si="16"/>
        <v>793265</v>
      </c>
      <c r="H151" s="1674">
        <f t="shared" si="16"/>
        <v>0</v>
      </c>
      <c r="I151" s="1674">
        <f t="shared" si="16"/>
        <v>0</v>
      </c>
      <c r="J151" s="1674">
        <f t="shared" si="16"/>
        <v>0</v>
      </c>
      <c r="K151" s="1674">
        <f t="shared" si="16"/>
        <v>1647494</v>
      </c>
      <c r="L151" s="1674">
        <f>SUM(L129,L130,L139,L149,L150)</f>
        <v>1732000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-899940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722406</v>
      </c>
      <c r="I169" s="1673"/>
      <c r="J169" s="1673"/>
      <c r="K169" s="1672">
        <f>SUM(C169:H169)</f>
        <v>722406</v>
      </c>
      <c r="L169" s="1695">
        <v>720597</v>
      </c>
    </row>
    <row r="170" spans="1:14" ht="33.75" customHeight="1" x14ac:dyDescent="0.2">
      <c r="A170" s="543" t="s">
        <v>1651</v>
      </c>
      <c r="B170" s="545" t="s">
        <v>31</v>
      </c>
      <c r="C170" s="1673"/>
      <c r="D170" s="1673"/>
      <c r="E170" s="1673"/>
      <c r="F170" s="1673"/>
      <c r="G170" s="1673"/>
      <c r="H170" s="1646">
        <v>377525</v>
      </c>
      <c r="I170" s="1673"/>
      <c r="J170" s="1673"/>
      <c r="K170" s="1672">
        <f>SUM(C170:J170)</f>
        <v>377525</v>
      </c>
      <c r="L170" s="1646">
        <v>377790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1099931</v>
      </c>
      <c r="I172" s="1684"/>
      <c r="J172" s="1673"/>
      <c r="K172" s="1681">
        <f>SUM(K168,K169,K170,K171)</f>
        <v>1099931</v>
      </c>
      <c r="L172" s="1681">
        <f>SUM(L168,L169,L170,L171)</f>
        <v>1098387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1099931</v>
      </c>
      <c r="I174" s="1684"/>
      <c r="J174" s="1673"/>
      <c r="K174" s="1681">
        <f>SUM(K160,K172,K173)</f>
        <v>1099931</v>
      </c>
      <c r="L174" s="1681">
        <f>SUM(L160,L172,L173)</f>
        <v>1098387</v>
      </c>
    </row>
    <row r="175" spans="1:14" ht="13.5" thickTop="1" x14ac:dyDescent="0.2">
      <c r="A175" s="2288" t="s">
        <v>989</v>
      </c>
      <c r="B175" s="2289"/>
      <c r="C175" s="1673"/>
      <c r="D175" s="1673"/>
      <c r="E175" s="1673"/>
      <c r="F175" s="1673"/>
      <c r="G175" s="1673"/>
      <c r="H175" s="1675"/>
      <c r="I175" s="1673"/>
      <c r="J175" s="1673"/>
      <c r="K175" s="1689">
        <f>'Revenues 9-14'!E268-'Expenditures 15-22'!K174</f>
        <v>8869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174011</v>
      </c>
      <c r="D182" s="1573">
        <v>3159</v>
      </c>
      <c r="E182" s="1573">
        <v>136140</v>
      </c>
      <c r="F182" s="1573">
        <v>50943</v>
      </c>
      <c r="G182" s="1573">
        <v>53893</v>
      </c>
      <c r="H182" s="1573">
        <v>144</v>
      </c>
      <c r="I182" s="1574"/>
      <c r="J182" s="1574"/>
      <c r="K182" s="1672">
        <f>SUM(C182:J182)</f>
        <v>418290</v>
      </c>
      <c r="L182" s="1573">
        <v>473270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174011</v>
      </c>
      <c r="D184" s="1681">
        <f t="shared" ref="D184:J184" si="17">SUM(D180,D182,D183)</f>
        <v>3159</v>
      </c>
      <c r="E184" s="1681">
        <f t="shared" si="17"/>
        <v>136140</v>
      </c>
      <c r="F184" s="1681">
        <f t="shared" si="17"/>
        <v>50943</v>
      </c>
      <c r="G184" s="1681">
        <f t="shared" si="17"/>
        <v>53893</v>
      </c>
      <c r="H184" s="1681">
        <f t="shared" si="17"/>
        <v>144</v>
      </c>
      <c r="I184" s="1681">
        <f t="shared" si="17"/>
        <v>0</v>
      </c>
      <c r="J184" s="1681">
        <f t="shared" si="17"/>
        <v>0</v>
      </c>
      <c r="K184" s="1681">
        <f>SUM(K180,K182,K183)</f>
        <v>418290</v>
      </c>
      <c r="L184" s="1681">
        <f>SUM(L180, L182:L183)</f>
        <v>473270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v>115963</v>
      </c>
      <c r="F189" s="1673"/>
      <c r="G189" s="1673"/>
      <c r="H189" s="1573"/>
      <c r="I189" s="1582"/>
      <c r="J189" s="1673"/>
      <c r="K189" s="1672">
        <f t="shared" si="18"/>
        <v>115963</v>
      </c>
      <c r="L189" s="1573">
        <v>100000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115963</v>
      </c>
      <c r="F194" s="1673"/>
      <c r="G194" s="1673"/>
      <c r="H194" s="1674">
        <f>SUM(H188:H193)</f>
        <v>0</v>
      </c>
      <c r="I194" s="1582"/>
      <c r="J194" s="1673"/>
      <c r="K194" s="1674">
        <f>SUM(K188:K193)</f>
        <v>115963</v>
      </c>
      <c r="L194" s="1674">
        <f>SUM(L188:L193)</f>
        <v>100000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115963</v>
      </c>
      <c r="F196" s="1673"/>
      <c r="G196" s="1673"/>
      <c r="H196" s="1681">
        <f>SUM(H194,H195)</f>
        <v>0</v>
      </c>
      <c r="I196" s="1582"/>
      <c r="J196" s="1673"/>
      <c r="K196" s="1681">
        <f>SUM(K194,K195)</f>
        <v>115963</v>
      </c>
      <c r="L196" s="1681">
        <f>SUM(L194,L195)</f>
        <v>100000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15000</v>
      </c>
    </row>
    <row r="210" spans="1:14" ht="12.75" customHeight="1" thickTop="1" thickBot="1" x14ac:dyDescent="0.25">
      <c r="A210" s="1394" t="s">
        <v>275</v>
      </c>
      <c r="B210" s="1395"/>
      <c r="C210" s="1674">
        <f>SUM(C184,C185)</f>
        <v>174011</v>
      </c>
      <c r="D210" s="1674">
        <f>SUM(D184,D185)</f>
        <v>3159</v>
      </c>
      <c r="E210" s="1674">
        <f>SUM(E184,E185,E196)</f>
        <v>252103</v>
      </c>
      <c r="F210" s="1674">
        <f>SUM(F184,F185)</f>
        <v>50943</v>
      </c>
      <c r="G210" s="1674">
        <f>SUM(G184,G185)</f>
        <v>53893</v>
      </c>
      <c r="H210" s="1674">
        <f>SUM(H184,H185,H196,H208,H209)</f>
        <v>144</v>
      </c>
      <c r="I210" s="1674">
        <f>SUM(I184,I185)</f>
        <v>0</v>
      </c>
      <c r="J210" s="1674">
        <f>SUM(J184,J185)</f>
        <v>0</v>
      </c>
      <c r="K210" s="1672">
        <f>SUM(K184,K185,K196,K208,K209)</f>
        <v>534253</v>
      </c>
      <c r="L210" s="1674">
        <f>SUM(L184,L185,L196,L208,L209)</f>
        <v>588270</v>
      </c>
    </row>
    <row r="211" spans="1:14" ht="13.5" thickTop="1" x14ac:dyDescent="0.2">
      <c r="A211" s="2288" t="s">
        <v>989</v>
      </c>
      <c r="B211" s="2289"/>
      <c r="C211" s="1675"/>
      <c r="D211" s="1675"/>
      <c r="E211" s="1675"/>
      <c r="F211" s="1675"/>
      <c r="G211" s="1675"/>
      <c r="H211" s="1675"/>
      <c r="I211" s="1673"/>
      <c r="J211" s="1673"/>
      <c r="K211" s="1689">
        <f>'Revenues 9-14'!F268-'Expenditures 15-22'!K210</f>
        <v>-57445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31752</v>
      </c>
      <c r="E215" s="1673"/>
      <c r="F215" s="1673"/>
      <c r="G215" s="1673"/>
      <c r="H215" s="1673"/>
      <c r="I215" s="1673"/>
      <c r="J215" s="1673"/>
      <c r="K215" s="1672">
        <f>D215</f>
        <v>31752</v>
      </c>
      <c r="L215" s="1573">
        <v>31500</v>
      </c>
    </row>
    <row r="216" spans="1:14" x14ac:dyDescent="0.2">
      <c r="A216" s="1274" t="s">
        <v>162</v>
      </c>
      <c r="B216" s="503" t="s">
        <v>961</v>
      </c>
      <c r="C216" s="1673"/>
      <c r="D216" s="1574">
        <v>3016</v>
      </c>
      <c r="E216" s="1673"/>
      <c r="F216" s="1673"/>
      <c r="G216" s="1673"/>
      <c r="H216" s="1673"/>
      <c r="I216" s="1673"/>
      <c r="J216" s="1673"/>
      <c r="K216" s="1672">
        <f t="shared" ref="K216:K228" si="19">D216</f>
        <v>3016</v>
      </c>
      <c r="L216" s="1573">
        <v>15550</v>
      </c>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5108</v>
      </c>
      <c r="E219" s="1673"/>
      <c r="F219" s="1673"/>
      <c r="G219" s="1673"/>
      <c r="H219" s="1673"/>
      <c r="I219" s="1673"/>
      <c r="J219" s="1673"/>
      <c r="K219" s="1672">
        <f t="shared" si="19"/>
        <v>5108</v>
      </c>
      <c r="L219" s="1573">
        <v>1850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2334</v>
      </c>
      <c r="E222" s="1673"/>
      <c r="F222" s="1673"/>
      <c r="G222" s="1673"/>
      <c r="H222" s="1673"/>
      <c r="I222" s="1673"/>
      <c r="J222" s="1673"/>
      <c r="K222" s="1672">
        <f t="shared" si="19"/>
        <v>2334</v>
      </c>
      <c r="L222" s="1573">
        <v>3450</v>
      </c>
    </row>
    <row r="223" spans="1:14" x14ac:dyDescent="0.2">
      <c r="A223" s="1274" t="s">
        <v>957</v>
      </c>
      <c r="B223" s="503">
        <v>1500</v>
      </c>
      <c r="C223" s="1673"/>
      <c r="D223" s="1573">
        <v>7045</v>
      </c>
      <c r="E223" s="1673"/>
      <c r="F223" s="1673"/>
      <c r="G223" s="1673"/>
      <c r="H223" s="1673"/>
      <c r="I223" s="1673"/>
      <c r="J223" s="1673"/>
      <c r="K223" s="1672">
        <f t="shared" si="19"/>
        <v>7045</v>
      </c>
      <c r="L223" s="1573">
        <v>8300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234</v>
      </c>
      <c r="E226" s="1673"/>
      <c r="F226" s="1673"/>
      <c r="G226" s="1673"/>
      <c r="H226" s="1673"/>
      <c r="I226" s="1673"/>
      <c r="J226" s="1673"/>
      <c r="K226" s="1672">
        <f t="shared" si="19"/>
        <v>234</v>
      </c>
      <c r="L226" s="1573">
        <v>300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49489</v>
      </c>
      <c r="E229" s="1673"/>
      <c r="F229" s="1673"/>
      <c r="G229" s="1673"/>
      <c r="H229" s="1673"/>
      <c r="I229" s="1673"/>
      <c r="J229" s="1673"/>
      <c r="K229" s="1674">
        <f>SUM(K215:K228)</f>
        <v>49489</v>
      </c>
      <c r="L229" s="1674">
        <f>SUM(L215:L228)</f>
        <v>60950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1176</v>
      </c>
      <c r="E233" s="1673"/>
      <c r="F233" s="1673"/>
      <c r="G233" s="1673"/>
      <c r="H233" s="1673"/>
      <c r="I233" s="1673"/>
      <c r="J233" s="1673"/>
      <c r="K233" s="1672">
        <f t="shared" si="20"/>
        <v>1176</v>
      </c>
      <c r="L233" s="1573">
        <v>1500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1176</v>
      </c>
      <c r="E238" s="1673"/>
      <c r="F238" s="1673"/>
      <c r="G238" s="1673"/>
      <c r="H238" s="1673"/>
      <c r="I238" s="1673"/>
      <c r="J238" s="1673"/>
      <c r="K238" s="1674">
        <f>SUM(K232:K237)</f>
        <v>1176</v>
      </c>
      <c r="L238" s="1674">
        <f>SUM(L232:L237)</f>
        <v>1500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27</v>
      </c>
      <c r="E240" s="1673"/>
      <c r="F240" s="1673"/>
      <c r="G240" s="1673"/>
      <c r="H240" s="1673"/>
      <c r="I240" s="1673"/>
      <c r="J240" s="1673"/>
      <c r="K240" s="1678">
        <f>D240</f>
        <v>27</v>
      </c>
      <c r="L240" s="1586">
        <v>150</v>
      </c>
    </row>
    <row r="241" spans="1:12" x14ac:dyDescent="0.2">
      <c r="A241" s="1274" t="s">
        <v>810</v>
      </c>
      <c r="B241" s="503">
        <v>2220</v>
      </c>
      <c r="C241" s="1673"/>
      <c r="D241" s="1573">
        <v>2537</v>
      </c>
      <c r="E241" s="1673"/>
      <c r="F241" s="1673"/>
      <c r="G241" s="1673"/>
      <c r="H241" s="1673"/>
      <c r="I241" s="1673"/>
      <c r="J241" s="1673"/>
      <c r="K241" s="1678">
        <f>D241</f>
        <v>2537</v>
      </c>
      <c r="L241" s="1573">
        <v>3450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2564</v>
      </c>
      <c r="E243" s="1673"/>
      <c r="F243" s="1673"/>
      <c r="G243" s="1673"/>
      <c r="H243" s="1673"/>
      <c r="I243" s="1673"/>
      <c r="J243" s="1673"/>
      <c r="K243" s="1674">
        <f>SUM(K240:K242)</f>
        <v>2564</v>
      </c>
      <c r="L243" s="1674">
        <f>SUM(L240:L242)</f>
        <v>3600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7259</v>
      </c>
      <c r="E246" s="1673"/>
      <c r="F246" s="1673"/>
      <c r="G246" s="1673"/>
      <c r="H246" s="1673"/>
      <c r="I246" s="1673"/>
      <c r="J246" s="1673"/>
      <c r="K246" s="1678">
        <f t="shared" ref="K246:K256" si="21">D246</f>
        <v>7259</v>
      </c>
      <c r="L246" s="1573">
        <v>8600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26027</v>
      </c>
      <c r="E254" s="1673"/>
      <c r="F254" s="1673"/>
      <c r="G254" s="1673"/>
      <c r="H254" s="1673"/>
      <c r="I254" s="1673"/>
      <c r="J254" s="1673"/>
      <c r="K254" s="1678">
        <f t="shared" si="21"/>
        <v>26027</v>
      </c>
      <c r="L254" s="1573">
        <v>25500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33286</v>
      </c>
      <c r="E257" s="1673"/>
      <c r="F257" s="1673"/>
      <c r="G257" s="1673"/>
      <c r="H257" s="1673"/>
      <c r="I257" s="1673"/>
      <c r="J257" s="1673"/>
      <c r="K257" s="1674">
        <f>SUM(K245:K256)</f>
        <v>33286</v>
      </c>
      <c r="L257" s="1674">
        <f>SUM(L245:L256)</f>
        <v>34100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11034</v>
      </c>
      <c r="E259" s="1673"/>
      <c r="F259" s="1673"/>
      <c r="G259" s="1673"/>
      <c r="H259" s="1673"/>
      <c r="I259" s="1673"/>
      <c r="J259" s="1673"/>
      <c r="K259" s="1678">
        <f>D259</f>
        <v>11034</v>
      </c>
      <c r="L259" s="1586">
        <v>15500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11034</v>
      </c>
      <c r="E261" s="1673"/>
      <c r="F261" s="1673"/>
      <c r="G261" s="1673"/>
      <c r="H261" s="1673"/>
      <c r="I261" s="1673"/>
      <c r="J261" s="1673"/>
      <c r="K261" s="1674">
        <f>SUM(K259:K260)</f>
        <v>11034</v>
      </c>
      <c r="L261" s="1674">
        <f>SUM(L259:L260)</f>
        <v>15500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5250</v>
      </c>
    </row>
    <row r="264" spans="1:14" x14ac:dyDescent="0.2">
      <c r="A264" s="1274" t="s">
        <v>460</v>
      </c>
      <c r="B264" s="559">
        <v>2520</v>
      </c>
      <c r="C264" s="1673"/>
      <c r="D264" s="1573">
        <v>4809</v>
      </c>
      <c r="E264" s="1673"/>
      <c r="F264" s="1673"/>
      <c r="G264" s="1673"/>
      <c r="H264" s="1673"/>
      <c r="I264" s="1673"/>
      <c r="J264" s="1673"/>
      <c r="K264" s="1678">
        <f t="shared" ref="K264:K269" si="22">D264</f>
        <v>4809</v>
      </c>
      <c r="L264" s="1573">
        <v>5700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34122</v>
      </c>
      <c r="E266" s="1673"/>
      <c r="F266" s="1673"/>
      <c r="G266" s="1673"/>
      <c r="H266" s="1673"/>
      <c r="I266" s="1673"/>
      <c r="J266" s="1673"/>
      <c r="K266" s="1678">
        <f t="shared" si="22"/>
        <v>34122</v>
      </c>
      <c r="L266" s="1573">
        <v>36000</v>
      </c>
    </row>
    <row r="267" spans="1:14" x14ac:dyDescent="0.2">
      <c r="A267" s="1274" t="s">
        <v>947</v>
      </c>
      <c r="B267" s="503">
        <v>2550</v>
      </c>
      <c r="C267" s="1673"/>
      <c r="D267" s="1573">
        <v>14734</v>
      </c>
      <c r="E267" s="1673"/>
      <c r="F267" s="1673"/>
      <c r="G267" s="1673"/>
      <c r="H267" s="1673"/>
      <c r="I267" s="1673"/>
      <c r="J267" s="1673"/>
      <c r="K267" s="1678">
        <f t="shared" si="22"/>
        <v>14734</v>
      </c>
      <c r="L267" s="1573">
        <v>16000</v>
      </c>
    </row>
    <row r="268" spans="1:14" x14ac:dyDescent="0.2">
      <c r="A268" s="1274" t="s">
        <v>100</v>
      </c>
      <c r="B268" s="503">
        <v>2560</v>
      </c>
      <c r="C268" s="1673"/>
      <c r="D268" s="1573">
        <v>7997</v>
      </c>
      <c r="E268" s="1673"/>
      <c r="F268" s="1673"/>
      <c r="G268" s="1673"/>
      <c r="H268" s="1673"/>
      <c r="I268" s="1673"/>
      <c r="J268" s="1673"/>
      <c r="K268" s="1678">
        <f t="shared" si="22"/>
        <v>7997</v>
      </c>
      <c r="L268" s="1573">
        <v>13000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61662</v>
      </c>
      <c r="E270" s="1673"/>
      <c r="F270" s="1673"/>
      <c r="G270" s="1673"/>
      <c r="H270" s="1673"/>
      <c r="I270" s="1673"/>
      <c r="J270" s="1673"/>
      <c r="K270" s="1674">
        <f>SUM(K263:K269)</f>
        <v>61662</v>
      </c>
      <c r="L270" s="1674">
        <f>SUM(L263:L269)</f>
        <v>75950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9025</v>
      </c>
      <c r="E276" s="1673"/>
      <c r="F276" s="1673"/>
      <c r="G276" s="1673"/>
      <c r="H276" s="1673"/>
      <c r="I276" s="1673"/>
      <c r="J276" s="1673"/>
      <c r="K276" s="1678">
        <f>D276</f>
        <v>9025</v>
      </c>
      <c r="L276" s="1573">
        <v>9850</v>
      </c>
    </row>
    <row r="277" spans="1:12" ht="12.75" customHeight="1" thickBot="1" x14ac:dyDescent="0.25">
      <c r="A277" s="1393" t="s">
        <v>37</v>
      </c>
      <c r="B277" s="1381" t="s">
        <v>36</v>
      </c>
      <c r="C277" s="1673"/>
      <c r="D277" s="1674">
        <f>SUM(D272:D276)</f>
        <v>9025</v>
      </c>
      <c r="E277" s="1673"/>
      <c r="F277" s="1673"/>
      <c r="G277" s="1673"/>
      <c r="H277" s="1673"/>
      <c r="I277" s="1673"/>
      <c r="J277" s="1673"/>
      <c r="K277" s="1674">
        <f>SUM(K272:K276)</f>
        <v>9025</v>
      </c>
      <c r="L277" s="1674">
        <f>SUM(L272:L276)</f>
        <v>9850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118747</v>
      </c>
      <c r="E279" s="1673"/>
      <c r="F279" s="1673"/>
      <c r="G279" s="1673"/>
      <c r="H279" s="1673"/>
      <c r="I279" s="1673"/>
      <c r="J279" s="1673"/>
      <c r="K279" s="1681">
        <f>SUM(K238,K243,K257,K261,K270,K277,K278)</f>
        <v>118747</v>
      </c>
      <c r="L279" s="1681">
        <f>SUM(L238,L243,L257,L261,L270,L277,L278)</f>
        <v>140500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6250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20000</v>
      </c>
    </row>
    <row r="295" spans="1:14" ht="12.75" customHeight="1" thickTop="1" thickBot="1" x14ac:dyDescent="0.25">
      <c r="A295" s="2279" t="s">
        <v>502</v>
      </c>
      <c r="B295" s="2280"/>
      <c r="C295" s="1673"/>
      <c r="D295" s="1674">
        <f>SUM(D229,D279,D280,D285)</f>
        <v>168236</v>
      </c>
      <c r="E295" s="1673"/>
      <c r="F295" s="1673"/>
      <c r="G295" s="1673"/>
      <c r="H295" s="1674">
        <f>H293</f>
        <v>0</v>
      </c>
      <c r="I295" s="1673"/>
      <c r="J295" s="1673"/>
      <c r="K295" s="1674">
        <f>SUM(K229,K279,K280,K285,K293,K294)</f>
        <v>168236</v>
      </c>
      <c r="L295" s="1674">
        <f>SUM(L229,L279,L280,L285,L293,L294)</f>
        <v>227700</v>
      </c>
    </row>
    <row r="296" spans="1:14" ht="13.5" thickTop="1" x14ac:dyDescent="0.2">
      <c r="A296" s="2288" t="s">
        <v>989</v>
      </c>
      <c r="B296" s="2289"/>
      <c r="C296" s="1673"/>
      <c r="D296" s="1675"/>
      <c r="E296" s="1673"/>
      <c r="F296" s="1673"/>
      <c r="G296" s="1673"/>
      <c r="H296" s="1707"/>
      <c r="I296" s="1673"/>
      <c r="J296" s="1673"/>
      <c r="K296" s="1689">
        <f>'Revenues 9-14'!G268-'Expenditures 15-22'!K295</f>
        <v>64472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385767</v>
      </c>
      <c r="D325" s="1574">
        <v>73552</v>
      </c>
      <c r="E325" s="1574">
        <v>83722</v>
      </c>
      <c r="F325" s="1574">
        <v>103</v>
      </c>
      <c r="G325" s="1574"/>
      <c r="H325" s="1574"/>
      <c r="I325" s="1574"/>
      <c r="J325" s="1574"/>
      <c r="K325" s="1672">
        <f t="shared" si="24"/>
        <v>543144</v>
      </c>
      <c r="L325" s="1574">
        <v>523500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385767</v>
      </c>
      <c r="D330" s="1674">
        <f t="shared" ref="D330:J330" si="25">SUM(D319:D329)</f>
        <v>73552</v>
      </c>
      <c r="E330" s="1674">
        <f t="shared" si="25"/>
        <v>83722</v>
      </c>
      <c r="F330" s="1674">
        <f t="shared" si="25"/>
        <v>103</v>
      </c>
      <c r="G330" s="1674">
        <f t="shared" si="25"/>
        <v>0</v>
      </c>
      <c r="H330" s="1674">
        <f t="shared" si="25"/>
        <v>0</v>
      </c>
      <c r="I330" s="1674">
        <f t="shared" si="25"/>
        <v>0</v>
      </c>
      <c r="J330" s="1674">
        <f t="shared" si="25"/>
        <v>0</v>
      </c>
      <c r="K330" s="1674">
        <f>SUM(K319:K329)</f>
        <v>543144</v>
      </c>
      <c r="L330" s="1674">
        <f>SUM(L319:L329)</f>
        <v>523500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13000</v>
      </c>
    </row>
    <row r="342" spans="1:14" ht="12.75" customHeight="1" thickTop="1" thickBot="1" x14ac:dyDescent="0.25">
      <c r="A342" s="1389" t="s">
        <v>502</v>
      </c>
      <c r="B342" s="1402"/>
      <c r="C342" s="1674">
        <f>SUM(C330)</f>
        <v>385767</v>
      </c>
      <c r="D342" s="1674">
        <f>SUM(D330)</f>
        <v>73552</v>
      </c>
      <c r="E342" s="1674">
        <f>SUM(E330)</f>
        <v>83722</v>
      </c>
      <c r="F342" s="1674">
        <f>SUM(F330)</f>
        <v>103</v>
      </c>
      <c r="G342" s="1674">
        <f>SUM(G330)</f>
        <v>0</v>
      </c>
      <c r="H342" s="1674">
        <f>SUM(H330,H334,H340)</f>
        <v>0</v>
      </c>
      <c r="I342" s="1674">
        <f>SUM(I330)</f>
        <v>0</v>
      </c>
      <c r="J342" s="1674">
        <f>SUM(J330)</f>
        <v>0</v>
      </c>
      <c r="K342" s="1674">
        <f>SUM(K330,K334,K340)</f>
        <v>543144</v>
      </c>
      <c r="L342" s="1681">
        <f>SUM(L330,L334,L340,L341)</f>
        <v>536500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21375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27000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27000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27000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27000</v>
      </c>
    </row>
    <row r="368" spans="1:14" ht="13.5" thickTop="1" x14ac:dyDescent="0.2">
      <c r="A368" s="2288" t="s">
        <v>989</v>
      </c>
      <c r="B368" s="2289"/>
      <c r="C368" s="1694"/>
      <c r="D368" s="1694"/>
      <c r="E368" s="1677"/>
      <c r="F368" s="1677"/>
      <c r="G368" s="1677"/>
      <c r="H368" s="1677"/>
      <c r="I368" s="1677"/>
      <c r="J368" s="1676"/>
      <c r="K368" s="1672">
        <f>'Revenues 9-14'!K268-'Expenditures 15-22'!K367</f>
        <v>44910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2006/metadata/properties"/>
    <ds:schemaRef ds:uri="http://purl.org/dc/dcmitype/"/>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schemas.microsoft.com/sharepoint/v3"/>
    <ds:schemaRef ds:uri="4d435f69-8686-490b-bd6d-b153bf22ab50"/>
    <ds:schemaRef ds:uri="6ce3111e-7420-4802-b50a-75d4e9a0b980"/>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2020-09-22T18:39:34Z</cp:lastPrinted>
  <dcterms:created xsi:type="dcterms:W3CDTF">2003-10-29T19:06:34Z</dcterms:created>
  <dcterms:modified xsi:type="dcterms:W3CDTF">2020-11-17T22:56:27Z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