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2D59F6A-AEB5-4D01-9E1C-B1A9568FC5B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81" i="127"/>
  <c r="B82"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B5752" i="106"/>
  <c r="D5752" i="106" s="1"/>
  <c r="G30" i="108" l="1"/>
  <c r="H33" i="11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F41" i="108" s="1"/>
  <c r="G43" i="108" s="1"/>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2031" i="106" l="1"/>
  <c r="D2031" i="106" s="1"/>
  <c r="N23" i="3"/>
  <c r="B284" i="106" s="1"/>
  <c r="D284" i="106" s="1"/>
  <c r="D44" i="36"/>
  <c r="B1381" i="106"/>
  <c r="D1381" i="106" s="1"/>
  <c r="B6216" i="106"/>
  <c r="D6216"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<sst xmlns="http://schemas.openxmlformats.org/spreadsheetml/2006/main" count="5276" uniqueCount="2146">
  <si>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</si>
  <si>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</si>
  <si>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</si>
  <si>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</si>
  <si>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</si>
  <si>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</si>
  <si>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</si>
  <si>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</si>
  <si>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</si>
  <si>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</si>
  <si>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</si>
  <si>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</si>
  <si>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</si>
  <si>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</si>
  <si>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</si>
  <si>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</si>
  <si>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</si>
  <si>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</si>
  <si>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</si>
  <si>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</si>
  <si>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</si>
  <si>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</si>
  <si>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</si>
  <si>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</si>
  <si>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</si>
  <si>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</si>
  <si>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</si>
  <si>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</si>
  <si>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</si>
  <si>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</si>
  <si>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</si>
  <si>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</si>
  <si>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</si>
  <si>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</si>
  <si>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</si>
  <si>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</si>
  <si>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</si>
  <si>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</si>
  <si>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</si>
  <si>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</si>
  <si>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</si>
  <si>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</si>
  <si>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</si>
  <si>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</si>
  <si>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</si>
  <si>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</si>
  <si>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</si>
  <si>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</si>
  <si>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</si>
  <si>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</si>
  <si>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</si>
  <si>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</si>
  <si>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</si>
  <si>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</si>
  <si>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</si>
  <si>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</si>
  <si>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</si>
  <si>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</si>
  <si>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</si>
  <si>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</si>
  <si>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</si>
  <si>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</si>
  <si>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</si>
  <si>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</si>
  <si>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</si>
  <si>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</si>
  <si>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</si>
  <si>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</si>
  <si>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</si>
  <si>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</si>
  <si>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</si>
  <si>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</si>
  <si>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</si>
  <si>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</si>
  <si>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</si>
  <si>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</si>
  <si>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</si>
  <si>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</si>
  <si>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</si>
  <si>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</si>
  <si>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</si>
  <si>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</si>
  <si>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</si>
  <si>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</si>
  <si>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</si>
  <si>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</si>
  <si>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</si>
  <si>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</si>
  <si>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</si>
  <si>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</si>
  <si>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</si>
  <si>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</si>
  <si>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</si>
  <si>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</si>
  <si>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</si>
  <si>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</si>
  <si>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</si>
  <si>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</si>
  <si>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</si>
  <si>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</si>
  <si>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</si>
  <si>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</si>
  <si>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</si>
  <si>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</si>
  <si>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</si>
  <si>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</si>
  <si>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</si>
  <si>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</si>
  <si>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</si>
  <si>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</si>
  <si>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</si>
  <si>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</si>
  <si>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</si>
  <si>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</si>
  <si>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</si>
  <si>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</si>
  <si>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</si>
  <si>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</si>
  <si>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</si>
  <si>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</si>
  <si>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</si>
  <si>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</si>
  <si>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</si>
  <si>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</si>
  <si>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</si>
  <si>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</si>
  <si>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</si>
  <si>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</si>
  <si>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</si>
  <si>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</si>
  <si>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</si>
  <si>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</si>
  <si>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</si>
  <si>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</si>
  <si>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</si>
  <si>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</si>
  <si>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</si>
  <si>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</si>
  <si>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</si>
  <si>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</si>
  <si>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</si>
  <si>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</si>
  <si>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</si>
  <si>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</si>
  <si>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</si>
  <si>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</si>
  <si>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</si>
  <si>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</si>
  <si>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</si>
  <si>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</si>
  <si>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</si>
  <si>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</si>
  <si>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</si>
  <si>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</si>
  <si>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</si>
  <si>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</si>
  <si>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</si>
  <si>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</si>
  <si>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</si>
  <si>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</si>
  <si>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</si>
  <si>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</si>
  <si>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</si>
  <si>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</si>
  <si>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</si>
  <si>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</si>
  <si>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</si>
  <si>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</si>
  <si>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</si>
  <si>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</si>
  <si>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</si>
  <si>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</si>
  <si>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</si>
  <si>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</si>
  <si>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</si>
  <si>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</si>
  <si>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</si>
  <si>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</si>
  <si>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</si>
  <si>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</si>
  <si>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</si>
  <si>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</si>
  <si>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</si>
  <si>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</si>
  <si>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</si>
  <si>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</si>
  <si>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</si>
  <si>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</si>
  <si>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</si>
  <si>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</si>
  <si>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</si>
  <si>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</si>
  <si>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</si>
  <si>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</si>
  <si>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</si>
  <si>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</si>
  <si>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</si>
  <si>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</si>
  <si>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</si>
  <si>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</si>
  <si>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</si>
  <si>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</si>
  <si>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</si>
  <si>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</si>
  <si>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</si>
  <si>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</si>
  <si>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</si>
  <si>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</si>
  <si>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</si>
  <si>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</si>
  <si>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</si>
  <si>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</si>
  <si>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</si>
  <si>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</si>
  <si>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</si>
  <si>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</si>
  <si>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</si>
  <si>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</si>
  <si>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</si>
  <si>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</si>
  <si>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</si>
  <si>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</si>
  <si>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</si>
  <si>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</si>
  <si>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</si>
  <si>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</si>
  <si>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</si>
  <si>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</si>
  <si>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</si>
  <si>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</si>
  <si>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</si>
  <si>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</si>
  <si>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</si>
  <si>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</si>
  <si>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</si>
  <si>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</si>
  <si>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</si>
  <si>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</si>
  <si>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</si>
  <si>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</si>
  <si>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</si>
  <si>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</si>
  <si>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</si>
  <si>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</si>
  <si>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</si>
  <si>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</si>
  <si>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</si>
  <si>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</si>
  <si>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</si>
  <si>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</si>
  <si>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</si>
  <si>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</si>
  <si>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</si>
  <si>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</si>
  <si>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</si>
  <si>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</si>
  <si>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</si>
  <si>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</si>
  <si>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</si>
  <si>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</si>
  <si>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</si>
  <si>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</si>
  <si>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</si>
  <si>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</si>
  <si>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</si>
  <si>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</si>
  <si>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</si>
  <si>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</si>
  <si>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</si>
  <si>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</si>
  <si>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</si>
  <si>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</si>
  <si>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</si>
  <si>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</si>
  <si>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</si>
  <si>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</si>
  <si>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</si>
  <si>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</si>
  <si>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</si>
  <si>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</si>
  <si>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</si>
  <si>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</si>
  <si>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</si>
  <si>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</si>
  <si>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</si>
  <si>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</si>
  <si>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</si>
  <si>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</si>
  <si>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</si>
  <si>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</si>
  <si>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</si>
  <si>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</si>
  <si>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</si>
  <si>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</si>
  <si>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</si>
  <si>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</si>
  <si>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</si>
  <si>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</si>
  <si>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</si>
  <si>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</si>
  <si>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</si>
  <si>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</si>
  <si>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</si>
  <si>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</si>
  <si>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</si>
  <si>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</si>
  <si>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</si>
  <si>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</si>
  <si>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</si>
  <si>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</si>
  <si>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</si>
  <si>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</si>
  <si>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</si>
  <si>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</si>
  <si>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</si>
  <si>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</si>
  <si>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</si>
  <si>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</si>
  <si>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</si>
  <si>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</si>
  <si>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</si>
  <si>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</si>
  <si>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</si>
  <si>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</si>
  <si>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</si>
  <si>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</si>
  <si>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</si>
  <si>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</si>
  <si>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</si>
  <si>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</si>
  <si>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</si>
  <si>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</si>
  <si>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</si>
  <si>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</si>
  <si>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</si>
  <si>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</si>
  <si>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</si>
  <si>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</si>
  <si>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</si>
  <si>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</si>
  <si>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</si>
  <si>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</si>
  <si>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</si>
  <si>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</si>
  <si>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</si>
  <si>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</si>
  <si>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</si>
  <si>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</si>
  <si>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</si>
  <si>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</si>
  <si>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</si>
  <si>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</si>
  <si>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</si>
  <si>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</si>
  <si>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</si>
  <si>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</si>
  <si>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</si>
  <si>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</si>
  <si>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</si>
  <si>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</si>
  <si>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</si>
  <si>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</si>
  <si>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</si>
  <si>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</si>
  <si>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</si>
  <si>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</si>
  <si>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</si>
  <si>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</si>
  <si>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</si>
  <si>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</si>
  <si>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</si>
  <si>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</si>
  <si>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</si>
  <si>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</si>
  <si>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</si>
  <si>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</si>
  <si>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</si>
  <si>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</si>
  <si>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</si>
  <si>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</si>
  <si>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</si>
  <si>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</si>
  <si>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</si>
  <si>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</si>
  <si>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</si>
  <si>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</si>
  <si>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</si>
  <si>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</si>
  <si>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</si>
  <si>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</si>
  <si>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</si>
  <si>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</si>
  <si>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</si>
  <si>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</si>
  <si>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</si>
  <si>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</si>
  <si>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</si>
  <si>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</si>
  <si>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</si>
  <si>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</si>
  <si>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</si>
  <si>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</si>
  <si>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</si>
  <si>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</si>
  <si>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</si>
  <si>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</si>
  <si>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</si>
  <si>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</si>
  <si>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</si>
  <si>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</si>
  <si>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</si>
  <si>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</si>
  <si>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</si>
  <si>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</si>
  <si>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</si>
  <si>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</si>
  <si>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</si>
  <si>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</si>
  <si>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</si>
  <si>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</si>
  <si>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</si>
  <si>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</si>
  <si>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</si>
  <si>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</si>
  <si>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</si>
  <si>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</si>
  <si>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</si>
  <si>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</si>
  <si>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</si>
  <si>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</si>
  <si>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</si>
  <si>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</si>
  <si>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</si>
  <si>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</si>
  <si>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</si>
  <si>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</si>
  <si>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</si>
  <si>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</si>
  <si>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</si>
  <si>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</si>
  <si>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</si>
  <si>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</si>
  <si>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</si>
  <si>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</si>
  <si>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</si>
  <si>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</si>
  <si>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</si>
  <si>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</si>
  <si>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</si>
  <si>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</si>
  <si>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</si>
  <si>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</si>
  <si>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</si>
  <si>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</si>
  <si>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</si>
  <si>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</si>
  <si>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</si>
  <si>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</si>
  <si>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</si>
  <si>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</si>
  <si>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</si>
  <si>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</si>
  <si>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</si>
  <si>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</si>
  <si>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</si>
  <si>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</si>
  <si>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</si>
  <si>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</si>
  <si>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</si>
  <si>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</si>
  <si>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</si>
  <si>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</si>
  <si>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</si>
  <si>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</si>
  <si>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</si>
  <si>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</si>
  <si>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</si>
  <si>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</si>
  <si>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</si>
  <si>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</si>
  <si>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</si>
  <si>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</si>
  <si>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</si>
  <si>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</si>
  <si>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</si>
  <si>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</si>
  <si>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</si>
  <si>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</si>
  <si>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</si>
  <si>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</si>
  <si>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</si>
  <si>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</si>
  <si>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</si>
  <si>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</si>
  <si>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</si>
  <si>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</si>
  <si>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</si>
  <si>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</si>
  <si>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</si>
  <si>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</si>
  <si>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</si>
  <si>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</si>
  <si>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</si>
  <si>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</si>
  <si>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</si>
  <si>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</si>
  <si>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</si>
  <si>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</si>
  <si>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</si>
  <si>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</si>
  <si>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</si>
  <si>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</si>
  <si>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</si>
  <si>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</si>
  <si>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</si>
  <si>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</si>
  <si>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</si>
  <si>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</si>
  <si>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</si>
  <si>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</si>
  <si>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</si>
  <si>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</si>
  <si>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</si>
  <si>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</si>
  <si>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</si>
  <si>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</si>
  <si>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</si>
  <si>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</si>
  <si>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</si>
  <si>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</si>
  <si>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</si>
  <si>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</si>
  <si>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</si>
  <si>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</si>
  <si>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</si>
  <si>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</si>
  <si>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</si>
  <si>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</si>
  <si>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</si>
  <si>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</si>
  <si>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</si>
  <si>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</si>
  <si>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</si>
  <si>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</si>
  <si>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</si>
  <si>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</si>
  <si>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</si>
  <si>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</si>
  <si>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</si>
  <si>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</si>
  <si>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</si>
  <si>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</si>
  <si>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</si>
  <si>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</si>
  <si>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</si>
  <si>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</si>
  <si>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</si>
  <si>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</si>
  <si>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</si>
  <si>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</si>
  <si>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</si>
  <si>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</si>
  <si>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</si>
  <si>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</si>
  <si>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</si>
  <si>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</si>
  <si>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</si>
  <si>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</si>
  <si>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</si>
  <si>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</si>
  <si>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</si>
  <si>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</si>
  <si>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</si>
  <si>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</si>
  <si>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</si>
  <si>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</si>
  <si>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</si>
  <si>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</si>
  <si>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</si>
  <si>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</si>
  <si>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</si>
  <si>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</si>
  <si>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</si>
  <si>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</si>
  <si>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</si>
  <si>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</si>
  <si>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</si>
  <si>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</si>
  <si>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</si>
  <si>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</si>
  <si>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</si>
  <si>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</si>
  <si>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</si>
  <si>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</si>
  <si>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</si>
  <si>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</si>
  <si>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</si>
  <si>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</si>
  <si>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</si>
  <si>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</si>
  <si>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</si>
  <si>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</si>
  <si>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</si>
  <si>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</si>
  <si>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</si>
  <si>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</si>
  <si>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</si>
  <si>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</si>
  <si>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</si>
  <si>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</si>
  <si>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</si>
  <si>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</si>
  <si>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</si>
  <si>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</si>
  <si>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</si>
  <si>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</si>
  <si>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</si>
  <si>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</si>
  <si>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</si>
  <si>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</si>
  <si>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</si>
  <si>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</si>
  <si>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</si>
  <si>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</si>
  <si>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</si>
  <si>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</si>
  <si>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</si>
  <si>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</si>
  <si>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</si>
  <si>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</si>
  <si>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</si>
  <si>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</si>
  <si>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</si>
  <si>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</si>
  <si>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</si>
  <si>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</si>
  <si>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</si>
  <si>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</si>
  <si>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</si>
  <si>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</si>
  <si>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</si>
  <si>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</si>
  <si>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</si>
  <si>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</si>
  <si>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</si>
  <si>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</si>
  <si>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</si>
  <si>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</si>
  <si>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</si>
  <si>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</si>
  <si>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</si>
  <si>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</si>
  <si>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</si>
  <si>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</si>
  <si>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</si>
  <si>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</si>
  <si>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</si>
  <si>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</si>
  <si>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</si>
  <si>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</si>
  <si>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</si>
  <si>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</si>
  <si>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</si>
  <si>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</si>
  <si>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</si>
  <si>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</si>
  <si>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</si>
  <si>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</si>
  <si>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</si>
  <si>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</si>
  <si>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</si>
  <si>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</si>
  <si>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</si>
  <si>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</si>
  <si>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</si>
  <si>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</si>
  <si>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</si>
  <si>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</si>
  <si>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</si>
  <si>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</si>
  <si>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</si>
  <si>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</si>
  <si>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</si>
  <si>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</si>
  <si>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</si>
  <si>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</si>
  <si>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</si>
  <si>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</si>
  <si>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</si>
  <si>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</si>
  <si>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</si>
  <si>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</si>
  <si>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</si>
  <si>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</si>
  <si>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</si>
  <si>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</si>
  <si>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</si>
  <si>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</si>
  <si>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</si>
  <si>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</si>
  <si>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</si>
  <si>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</si>
  <si>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</si>
  <si>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</si>
  <si>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</si>
  <si>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</si>
  <si>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</si>
  <si>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</si>
  <si>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</si>
  <si>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</si>
  <si>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</si>
  <si>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</si>
  <si>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</si>
  <si>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</si>
  <si>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</si>
  <si>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</si>
  <si>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</si>
  <si>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</si>
  <si>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</si>
  <si>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</si>
  <si>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</si>
  <si>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</si>
  <si>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</si>
  <si>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</si>
  <si>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</si>
  <si>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</si>
  <si>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</si>
  <si>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</si>
  <si>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</si>
  <si>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</si>
  <si>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</si>
  <si>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</si>
  <si>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</si>
  <si>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</si>
  <si>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</si>
  <si>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</si>
  <si>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</si>
  <si>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</si>
  <si>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</si>
  <si>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</si>
  <si>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</si>
  <si>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</si>
  <si>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</si>
  <si>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</si>
  <si>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</si>
  <si>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</si>
  <si>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</si>
  <si>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</si>
  <si>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</si>
  <si>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</si>
  <si>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</si>
  <si>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</si>
  <si>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</si>
  <si>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</si>
  <si>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</si>
  <si>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</si>
  <si>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</si>
  <si>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</si>
  <si>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</si>
  <si>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</si>
  <si>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</si>
  <si>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</si>
  <si>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</si>
  <si>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</si>
  <si>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</si>
  <si>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</si>
  <si>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</si>
  <si>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</si>
  <si>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</si>
  <si>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</si>
  <si>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</si>
  <si>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</si>
  <si>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</si>
  <si>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</si>
  <si>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</si>
  <si>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</si>
  <si>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</si>
  <si>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</si>
  <si>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</si>
  <si>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</si>
  <si>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</si>
  <si>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</si>
  <si>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</si>
  <si>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</si>
  <si>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</si>
  <si>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</si>
  <si>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</si>
  <si>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</si>
  <si>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</si>
  <si>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</si>
  <si>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</si>
  <si>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</si>
  <si>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</si>
  <si>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</si>
  <si>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</si>
  <si>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</si>
  <si>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</si>
  <si>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</si>
  <si>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</si>
  <si>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</si>
  <si>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</si>
  <si>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</si>
  <si>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</si>
  <si>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</si>
  <si>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</si>
  <si>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</si>
  <si>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</si>
  <si>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</si>
  <si>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</si>
  <si>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</si>
  <si>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</si>
  <si>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</si>
  <si>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</si>
  <si>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</si>
  <si>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</si>
  <si>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</si>
  <si>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</si>
  <si>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</si>
  <si>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</si>
  <si>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</si>
  <si>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</si>
  <si>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</si>
  <si>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</si>
  <si>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</si>
  <si>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</si>
  <si>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</si>
  <si>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</si>
  <si>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</si>
  <si>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</si>
  <si>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</si>
  <si>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</si>
  <si>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</si>
  <si>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</si>
  <si>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</si>
  <si>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</si>
  <si>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</si>
  <si>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</si>
  <si>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</si>
  <si>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</si>
  <si>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</si>
  <si>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</si>
  <si>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</si>
  <si>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</si>
  <si>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</si>
  <si>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</si>
  <si>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</si>
  <si>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</si>
  <si>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</si>
  <si>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</si>
  <si>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</si>
  <si>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</si>
  <si>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</si>
  <si>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</si>
  <si>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</si>
  <si>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</si>
  <si>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</si>
  <si>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</si>
  <si>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</si>
  <si>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</si>
  <si>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</si>
  <si>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</si>
  <si>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</si>
  <si>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</si>
  <si>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</si>
  <si>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</si>
  <si>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</si>
  <si>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</si>
  <si>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</si>
  <si>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</si>
  <si>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</si>
  <si>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</si>
  <si>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</si>
  <si>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</si>
  <si>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</si>
  <si>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</si>
  <si>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</si>
  <si>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</si>
  <si>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</si>
  <si>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</si>
  <si>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</si>
  <si>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</si>
  <si>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</si>
  <si>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</si>
  <si>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</si>
  <si>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</si>
  <si>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</si>
  <si>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</si>
  <si>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</si>
  <si>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</si>
  <si>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</si>
  <si>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</si>
  <si>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</si>
  <si>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</si>
  <si>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</si>
  <si>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</si>
  <si>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</si>
  <si>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</si>
  <si>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</si>
  <si>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</si>
  <si>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</si>
  <si>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</si>
  <si>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</si>
  <si>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</si>
  <si>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</si>
  <si>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</si>
  <si>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</si>
  <si>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</si>
  <si>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</si>
  <si>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</si>
  <si>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</si>
  <si>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</si>
  <si>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</si>
  <si>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</si>
  <si>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</si>
  <si>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</si>
  <si>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</si>
  <si>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</si>
  <si>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</si>
  <si>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</si>
  <si>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</si>
  <si>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</si>
  <si>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</si>
  <si>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</si>
  <si>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</si>
  <si>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</si>
  <si>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</si>
  <si>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</si>
  <si>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</si>
  <si>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</si>
  <si>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</si>
  <si>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</si>
  <si>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</si>
  <si>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</si>
  <si>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</si>
  <si>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</si>
  <si>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</si>
  <si>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</si>
  <si>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</si>
  <si>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</si>
  <si>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</si>
  <si>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</si>
  <si>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</si>
  <si>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</si>
  <si>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</si>
  <si>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</si>
  <si>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</si>
  <si>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</si>
  <si>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</si>
  <si>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</si>
  <si>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</si>
  <si>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</si>
  <si>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</si>
  <si>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</si>
  <si>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</si>
  <si>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</si>
  <si>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</si>
  <si>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</si>
  <si>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</si>
  <si>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</si>
  <si>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</si>
  <si>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</si>
  <si>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</si>
  <si>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</si>
  <si>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</si>
  <si>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</si>
  <si>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</si>
  <si>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</si>
  <si>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</si>
  <si>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</si>
  <si>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</si>
  <si>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</si>
  <si>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</si>
  <si>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</si>
  <si>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</si>
  <si>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</si>
  <si>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</si>
  <si>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</si>
  <si>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</si>
  <si>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</si>
  <si>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</si>
  <si>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</si>
  <si>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</si>
  <si>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</si>
  <si>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</si>
  <si>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</si>
  <si>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</si>
  <si>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</si>
  <si>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</si>
  <si>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</si>
  <si>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</si>
  <si>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</si>
  <si>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</si>
  <si>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</si>
  <si>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</si>
  <si>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</si>
  <si>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</si>
  <si>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</si>
  <si>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</si>
  <si>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</si>
  <si>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</si>
  <si>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</si>
  <si>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</si>
  <si>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</si>
  <si>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</si>
  <si>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</si>
  <si>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</si>
  <si>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</si>
  <si>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</si>
  <si>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</si>
  <si>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</si>
  <si>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</si>
  <si>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</si>
  <si>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</si>
  <si>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</si>
  <si>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</si>
  <si>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</si>
  <si>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</si>
  <si>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</si>
  <si>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</si>
  <si>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</si>
  <si>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</si>
  <si>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</si>
  <si>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</si>
  <si>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</si>
  <si>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</si>
  <si>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</si>
  <si>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</si>
  <si>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</si>
  <si>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</si>
  <si>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</si>
  <si>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</si>
  <si>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</si>
  <si>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</si>
  <si>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</si>
  <si>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</si>
  <si>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</si>
  <si>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</si>
  <si>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</si>
  <si>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</si>
  <si>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</si>
  <si>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</si>
  <si>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</si>
  <si>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</si>
  <si>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</si>
  <si>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</si>
  <si>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</si>
  <si>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</si>
  <si>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</si>
  <si>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</si>
  <si>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</si>
  <si>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</si>
  <si>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</si>
  <si>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</si>
  <si>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</si>
  <si>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</si>
  <si>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</si>
  <si>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</si>
  <si>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</si>
  <si>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</si>
  <si>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</si>
  <si>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</si>
  <si>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</si>
  <si>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</si>
  <si>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</si>
  <si>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</si>
  <si>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</si>
  <si>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</si>
  <si>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</si>
  <si>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</si>
  <si>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</si>
  <si>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</si>
  <si>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</si>
  <si>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</si>
  <si>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</si>
  <si>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</si>
  <si>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</si>
  <si>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</si>
  <si>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</si>
  <si>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</si>
  <si>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</si>
  <si>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</si>
  <si>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</si>
  <si>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</si>
  <si>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</si>
  <si>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</si>
  <si>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</si>
  <si>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</si>
  <si>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</si>
  <si>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</si>
  <si>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</si>
  <si>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</si>
  <si>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</si>
  <si>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</si>
  <si>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</si>
  <si>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</si>
  <si>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</si>
  <si>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</si>
  <si>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</si>
  <si>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</si>
  <si>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</si>
  <si>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</si>
  <si>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</si>
  <si>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</si>
  <si>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</si>
  <si>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</si>
  <si>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</si>
  <si>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</si>
  <si>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</si>
  <si>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</si>
  <si>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</si>
  <si>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</si>
  <si>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</si>
  <si>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</si>
  <si>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</si>
  <si>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</si>
  <si>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</si>
  <si>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</si>
  <si>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</si>
  <si>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</si>
  <si>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</si>
  <si>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</si>
  <si>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</si>
  <si>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</si>
  <si>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</si>
  <si>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</si>
  <si>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</si>
  <si>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</si>
  <si>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</si>
  <si>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</si>
  <si>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</si>
  <si>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</si>
  <si>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</si>
  <si>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</si>
  <si>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</si>
  <si>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</si>
  <si>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</si>
  <si>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</si>
  <si>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</si>
  <si>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</si>
  <si>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</si>
  <si>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</si>
  <si>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</si>
  <si>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</si>
  <si>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</si>
  <si>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</si>
  <si>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</si>
  <si>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</si>
  <si>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</si>
  <si>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</si>
  <si>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</si>
  <si>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</si>
  <si>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</si>
  <si>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</si>
  <si>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</si>
  <si>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</si>
  <si>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</si>
  <si>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</si>
  <si>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</si>
  <si>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</si>
  <si>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</si>
  <si>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</si>
  <si>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</si>
  <si>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</si>
  <si>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</si>
  <si>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</si>
  <si>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</si>
  <si>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</si>
  <si>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</si>
  <si>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</si>
  <si>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</si>
  <si>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</si>
  <si>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</si>
  <si>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</si>
  <si>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</si>
  <si>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</si>
  <si>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</si>
  <si>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</si>
  <si>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</si>
  <si>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</si>
  <si>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</si>
  <si>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</si>
  <si>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</si>
  <si>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</si>
  <si>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</si>
  <si>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</si>
  <si>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</si>
  <si>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</si>
  <si>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</si>
  <si>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</si>
  <si>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</si>
  <si>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</si>
  <si>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</si>
  <si>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</si>
  <si>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</si>
  <si>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</si>
  <si>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</si>
  <si>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</si>
  <si>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</si>
  <si>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</si>
  <si>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</si>
  <si>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</si>
  <si>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</si>
  <si>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</si>
  <si>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</si>
  <si>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</si>
  <si>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</si>
  <si>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</si>
  <si>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</si>
  <si>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</si>
  <si>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</si>
  <si>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</si>
  <si>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</si>
  <si>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</si>
  <si>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</si>
  <si>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</si>
  <si>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</si>
  <si>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</si>
  <si>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</si>
  <si>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</si>
  <si>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</si>
  <si>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</si>
  <si>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</si>
  <si>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</si>
  <si>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</si>
  <si>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</si>
  <si>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</si>
  <si>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</si>
  <si>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</si>
  <si>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</si>
  <si>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</si>
  <si>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</si>
  <si>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</si>
  <si>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</si>
  <si>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</si>
  <si>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</si>
  <si>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</si>
  <si>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</si>
  <si>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</si>
  <si>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</si>
  <si>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</si>
  <si>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</si>
  <si>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</si>
  <si>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</si>
  <si>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</si>
  <si>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</si>
  <si>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</si>
  <si>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</si>
  <si>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</si>
  <si>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</si>
  <si>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</si>
  <si>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</si>
  <si>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</si>
  <si>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</si>
  <si>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</si>
  <si>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</si>
  <si>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</si>
  <si>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</si>
  <si>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</si>
  <si>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</si>
  <si>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</si>
  <si>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</si>
  <si>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</si>
  <si>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</si>
  <si>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</si>
  <si>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</si>
  <si>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</si>
  <si>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</si>
  <si>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</si>
  <si>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</si>
  <si>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</si>
  <si>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</si>
  <si>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</si>
  <si>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</si>
  <si>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</si>
  <si>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</si>
  <si>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</si>
  <si>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</si>
  <si>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</si>
  <si>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</si>
  <si>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</si>
  <si>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</si>
  <si>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</si>
  <si>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</si>
  <si>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</si>
  <si>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</si>
  <si>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</si>
  <si>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</si>
  <si>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</si>
  <si>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</si>
  <si>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</si>
  <si>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</si>
  <si>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</si>
  <si>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</si>
  <si>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</si>
  <si>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</si>
  <si>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</si>
  <si>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</si>
  <si>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</si>
  <si>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</si>
  <si>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</si>
  <si>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</si>
  <si>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</si>
  <si>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</si>
  <si>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</si>
  <si>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</si>
  <si>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</si>
  <si>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</si>
  <si>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</si>
  <si>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</si>
  <si>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</si>
  <si>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</si>
  <si>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</si>
  <si>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</si>
  <si>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</si>
  <si>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</si>
  <si>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</si>
  <si>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</si>
  <si>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</si>
  <si>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</si>
  <si>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</si>
  <si>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</si>
  <si>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</si>
  <si>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</si>
  <si>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</si>
  <si>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</si>
  <si>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</si>
  <si>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</si>
  <si>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</si>
  <si>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</si>
  <si>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</si>
  <si>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</si>
  <si>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</si>
  <si>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</si>
  <si>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</si>
  <si>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</si>
  <si>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</si>
  <si>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</si>
  <si>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</si>
  <si>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</si>
  <si>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</si>
  <si>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</si>
  <si>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</si>
  <si>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</si>
  <si>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</si>
  <si>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</si>
  <si>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</si>
  <si>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</si>
  <si>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</si>
  <si>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</si>
  <si>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</si>
  <si>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</si>
  <si>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</si>
  <si>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</si>
  <si>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</si>
  <si>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</si>
  <si>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</si>
  <si>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</si>
  <si>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</si>
  <si>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</si>
  <si>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</si>
  <si>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</si>
  <si>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</si>
  <si>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</si>
  <si>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</si>
  <si>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</si>
  <si>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</si>
  <si>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</si>
  <si>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</si>
  <si>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</si>
  <si>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</si>
  <si>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</si>
  <si>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</si>
  <si>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</si>
  <si>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</si>
  <si>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</si>
  <si>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</si>
  <si>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</si>
  <si>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</si>
  <si>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</si>
  <si>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</si>
  <si>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</si>
  <si>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</si>
  <si>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</si>
  <si>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</si>
  <si>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</si>
  <si>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</si>
  <si>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</si>
  <si>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</si>
  <si>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</si>
  <si>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</si>
  <si>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</si>
  <si>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</si>
  <si>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</si>
  <si>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</si>
  <si>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</si>
  <si>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</si>
  <si>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</si>
  <si>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</si>
  <si>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</si>
  <si>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</si>
  <si>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</si>
  <si>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</si>
  <si>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</si>
  <si>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</si>
  <si>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</si>
  <si>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</si>
  <si>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</si>
  <si>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</si>
  <si>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</si>
  <si>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</si>
  <si>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</si>
  <si>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</si>
  <si>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</si>
  <si>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</si>
  <si>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</si>
  <si>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</si>
  <si>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</si>
  <si>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</si>
  <si>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</si>
  <si>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</si>
  <si>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</si>
  <si>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</si>
  <si>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</si>
  <si>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</si>
  <si>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</si>
  <si>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</si>
  <si>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</si>
  <si>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</si>
  <si>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</si>
  <si>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</si>
  <si>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</si>
  <si>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</si>
  <si>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</si>
  <si>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</si>
  <si>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</si>
  <si>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</si>
  <si>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</si>
  <si>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</si>
  <si>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</si>
  <si>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</si>
  <si>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</si>
  <si>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</si>
  <si>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</si>
  <si>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</si>
  <si>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</si>
  <si>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</si>
  <si>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</si>
  <si>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</si>
  <si>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</si>
  <si>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</si>
  <si>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</si>
  <si>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</si>
  <si>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</si>
  <si>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</si>
  <si>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</si>
  <si>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</si>
  <si>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</si>
  <si>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</si>
  <si>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</si>
  <si>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</si>
  <si>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</si>
  <si>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</si>
  <si>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</si>
  <si>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</si>
  <si>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</si>
  <si>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</si>
  <si>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</si>
  <si>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</si>
  <si>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</si>
  <si>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</si>
  <si>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</si>
  <si>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</si>
  <si>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</si>
  <si>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</si>
  <si>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</si>
  <si>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</si>
  <si>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</si>
  <si>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</si>
  <si>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</si>
  <si>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</si>
  <si>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</si>
  <si>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</si>
  <si>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</si>
  <si>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</si>
  <si>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</si>
  <si>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</si>
  <si>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</si>
  <si>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</si>
  <si>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</si>
  <si>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</si>
  <si>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</si>
  <si>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</si>
  <si>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</si>
  <si>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</si>
  <si>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</si>
  <si>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</si>
  <si>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</si>
  <si>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</si>
  <si>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</si>
  <si>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</si>
  <si>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</si>
  <si>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</si>
  <si>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</si>
  <si>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</si>
  <si>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</si>
  <si>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</si>
  <si>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</si>
  <si>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</si>
  <si>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</si>
  <si>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</si>
  <si>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</si>
  <si>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</si>
  <si>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</si>
  <si>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</si>
  <si>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</si>
  <si>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</si>
  <si>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</si>
  <si>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</si>
  <si>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</si>
  <si>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</si>
  <si>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</si>
  <si>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</si>
  <si>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</si>
  <si>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</si>
  <si>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</si>
  <si>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</si>
  <si>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</si>
  <si>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</si>
  <si>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</si>
  <si>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</si>
  <si>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</si>
  <si>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</si>
  <si>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</si>
  <si>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</si>
  <si>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</si>
  <si>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</si>
  <si>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</si>
  <si>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</si>
  <si>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</si>
  <si>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</si>
  <si>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</si>
  <si>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</si>
  <si>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</si>
  <si>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</si>
  <si>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</si>
  <si>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</si>
  <si>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</si>
  <si>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</si>
  <si>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</si>
  <si>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</si>
  <si>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</si>
  <si>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</si>
  <si>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</si>
  <si>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</si>
  <si>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</si>
  <si>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</si>
  <si>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</si>
  <si>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</si>
  <si>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</si>
  <si>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</si>
  <si>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</si>
  <si>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</si>
  <si>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</si>
  <si>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</si>
  <si>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</si>
  <si>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</si>
  <si>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</si>
  <si>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</si>
  <si>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</si>
  <si>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</si>
  <si>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</si>
  <si>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</si>
  <si>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</si>
  <si>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</si>
  <si>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</si>
  <si>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</si>
  <si>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</si>
  <si>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</si>
  <si>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</si>
  <si>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</si>
  <si>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</si>
  <si>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</si>
  <si>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</si>
  <si>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</si>
  <si>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</si>
  <si>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</si>
  <si>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</si>
  <si>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</si>
  <si>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</si>
  <si>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</si>
  <si>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</si>
  <si>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</si>
  <si>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</si>
  <si>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</si>
  <si>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</si>
  <si>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</si>
  <si>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</si>
  <si>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</si>
  <si>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</si>
  <si>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</si>
  <si>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</si>
  <si>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</si>
  <si>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</si>
  <si>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</si>
  <si>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</si>
  <si>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</si>
  <si>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</si>
  <si>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</si>
  <si>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</si>
  <si>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</si>
  <si>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</si>
  <si>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</si>
  <si>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</si>
  <si>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</si>
  <si>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</si>
  <si>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</si>
  <si>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</si>
  <si>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</si>
  <si>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</si>
  <si>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</si>
  <si>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</si>
  <si>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</si>
  <si>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</si>
  <si>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</si>
  <si>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</si>
  <si>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</si>
  <si>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</si>
  <si>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</si>
  <si>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</si>
  <si>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</si>
  <si>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</si>
  <si>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</si>
  <si>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</si>
  <si>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</si>
  <si>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</si>
  <si>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</si>
  <si>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</si>
  <si>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</si>
  <si>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</si>
  <si>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</si>
  <si>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</si>
  <si>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</si>
  <si>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</si>
  <si>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</si>
  <si>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</si>
  <si>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</si>
  <si>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</si>
  <si>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</si>
  <si>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</si>
  <si>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</si>
  <si>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</si>
  <si>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</si>
  <si>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</si>
  <si>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</si>
  <si>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</si>
  <si>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</si>
  <si>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</si>
  <si>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</si>
  <si>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</si>
  <si>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</si>
  <si>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</si>
  <si>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</si>
  <si>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</si>
  <si>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</si>
  <si>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</si>
  <si>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</si>
  <si>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</si>
  <si>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</si>
  <si>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</si>
  <si>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</si>
  <si>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</si>
  <si>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</si>
  <si>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</si>
  <si>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</si>
  <si>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</si>
  <si>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</si>
  <si>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</si>
  <si>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</si>
  <si>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</si>
  <si>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</si>
  <si>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</si>
  <si>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</si>
  <si>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</si>
  <si>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</si>
  <si>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</si>
  <si>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</si>
  <si>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</si>
  <si>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</si>
  <si>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</si>
  <si>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</si>
  <si>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</si>
  <si>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</si>
  <si>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</si>
  <si>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</si>
  <si>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</si>
  <si>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</si>
  <si>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</si>
  <si>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</si>
  <si>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</si>
  <si>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</si>
  <si>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</si>
  <si>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</si>
  <si>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</si>
  <si>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</si>
  <si>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</si>
  <si>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</si>
  <si>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</si>
  <si>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</si>
  <si>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</si>
  <si>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</si>
  <si>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</si>
  <si>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</si>
  <si>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</si>
  <si>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</si>
  <si>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</si>
  <si>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</si>
  <si>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</si>
  <si>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</si>
  <si>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</si>
  <si>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</si>
  <si>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</si>
  <si>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</si>
  <si>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</si>
  <si>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</si>
  <si>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</si>
  <si>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</si>
  <si>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</si>
  <si>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</si>
  <si>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</si>
  <si>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</si>
  <si>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</si>
  <si>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</si>
  <si>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</si>
  <si>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</si>
  <si>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</si>
  <si>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</si>
  <si>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</si>
  <si>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</si>
  <si>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</si>
  <si>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</si>
  <si>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</si>
  <si>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</si>
  <si>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</si>
  <si>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</si>
  <si>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</si>
  <si>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</si>
  <si>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</si>
  <si>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</si>
  <si>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</si>
  <si>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</si>
  <si>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</si>
  <si>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</si>
  <si>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</si>
  <si>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</si>
  <si>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</si>
  <si>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</si>
  <si>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</si>
  <si>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</si>
  <si>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</si>
  <si>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</si>
  <si>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</si>
  <si>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</si>
  <si>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</si>
  <si>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</si>
  <si>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</si>
  <si>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</si>
  <si>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</si>
  <si>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</si>
  <si>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</si>
  <si>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</si>
  <si>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</si>
  <si>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</si>
  <si>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</si>
  <si>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</si>
  <si>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</si>
  <si>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</si>
  <si>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</si>
  <si>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</si>
  <si>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</si>
  <si>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</si>
  <si>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</si>
  <si>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</si>
  <si>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</si>
  <si>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</si>
  <si>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</si>
  <si>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</si>
  <si>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</si>
  <si>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</si>
  <si>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</si>
  <si>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</si>
  <si>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</si>
  <si>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</si>
  <si>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</si>
  <si>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</si>
  <si>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</si>
  <si>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</si>
  <si>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</si>
  <si>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</si>
  <si>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</si>
  <si>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</si>
  <si>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</si>
  <si>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</si>
  <si>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</si>
  <si>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</si>
  <si>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</si>
  <si>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</si>
  <si>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</si>
  <si>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</si>
  <si>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</si>
  <si>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</si>
  <si>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</si>
  <si>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</si>
  <si>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</si>
  <si>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</si>
  <si>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</si>
  <si>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</si>
  <si>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</si>
  <si>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</si>
  <si>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</si>
  <si>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</si>
  <si>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</si>
  <si>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</si>
  <si>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</si>
  <si>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</si>
  <si>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</si>
  <si>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</si>
  <si>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</si>
  <si>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</si>
  <si>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</si>
  <si>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</si>
  <si>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</si>
  <si>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</si>
  <si>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</si>
  <si>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</si>
  <si>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</si>
  <si>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</si>
  <si>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</si>
  <si>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</si>
  <si>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</si>
  <si>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</si>
  <si>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</si>
  <si>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</si>
  <si>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</si>
  <si>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</si>
  <si>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</si>
  <si>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</si>
  <si>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</si>
  <si>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</si>
  <si>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</si>
  <si>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</si>
  <si>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</si>
  <si>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</si>
  <si>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</si>
  <si>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</si>
  <si>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</si>
  <si>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</si>
  <si>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</si>
  <si>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</si>
  <si>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</si>
  <si>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</si>
  <si>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</si>
  <si>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</si>
  <si>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</si>
  <si>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</si>
  <si>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</si>
  <si>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</si>
  <si>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</si>
  <si>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</si>
  <si>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</si>
  <si>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</si>
  <si>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</si>
  <si>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</si>
  <si>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</si>
  <si>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</si>
  <si>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</si>
  <si>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</si>
  <si>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</si>
  <si>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</si>
  <si>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</si>
  <si>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</si>
  <si>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</si>
  <si>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</si>
  <si>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</si>
  <si>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</si>
  <si>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</si>
  <si>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</si>
  <si>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</si>
  <si>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</si>
  <si>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</si>
  <si>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</si>
  <si>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</si>
  <si>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</si>
  <si>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</si>
  <si>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</si>
  <si>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</si>
  <si>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</si>
  <si>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</si>
  <si>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</si>
  <si>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</si>
  <si>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</si>
  <si>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</si>
  <si>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</si>
  <si>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</si>
  <si>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</si>
  <si>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</si>
  <si>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</si>
  <si>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</si>
  <si>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</si>
  <si>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</si>
  <si>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</si>
  <si>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</si>
  <si>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</si>
  <si>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</si>
  <si>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</si>
  <si>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</si>
  <si>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</si>
  <si>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</si>
  <si>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</si>
  <si>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</si>
  <si>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</si>
  <si>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</si>
  <si>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</si>
  <si>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</si>
  <si>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</si>
  <si>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</si>
  <si>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</si>
  <si>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</si>
  <si>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</si>
  <si>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</si>
  <si>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</si>
  <si>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</si>
  <si>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</si>
  <si>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</si>
  <si>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</si>
  <si>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</si>
  <si>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</si>
  <si>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</si>
  <si>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</si>
  <si>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</si>
  <si>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</si>
  <si>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</si>
  <si>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</si>
  <si>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</si>
  <si>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</si>
  <si>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</si>
  <si>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</si>
  <si>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</si>
  <si>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</si>
  <si>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</si>
  <si>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</si>
  <si>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</si>
  <si>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</si>
  <si>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</si>
  <si>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</si>
  <si>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</si>
  <si>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</si>
  <si>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</si>
  <si>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</si>
  <si>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</si>
  <si>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</si>
  <si>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</si>
  <si>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</si>
  <si>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</si>
  <si>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</si>
  <si>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</si>
  <si>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</si>
  <si>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</si>
  <si>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</si>
  <si>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</si>
  <si>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</si>
  <si>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</si>
  <si>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</si>
  <si>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</si>
  <si>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</si>
  <si>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</si>
  <si>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</si>
  <si>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</si>
  <si>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</si>
  <si>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</si>
  <si>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</si>
  <si>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</si>
  <si>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</si>
  <si>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</si>
  <si>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</si>
  <si>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</si>
  <si>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</si>
  <si>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</si>
  <si>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</si>
  <si>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</si>
  <si>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</si>
  <si>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</si>
  <si>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</si>
  <si>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</si>
  <si>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</si>
  <si>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</si>
  <si>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</si>
  <si>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</si>
  <si>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</si>
  <si>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</si>
  <si>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</si>
  <si>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</si>
  <si>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</si>
  <si>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</si>
  <si>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</si>
  <si>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</si>
  <si>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</si>
  <si>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</si>
  <si>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</si>
  <si>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</si>
  <si>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</si>
  <si>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</si>
  <si>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</si>
  <si>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</si>
  <si>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</si>
  <si>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</si>
  <si>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</si>
  <si>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</si>
  <si>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</si>
  <si>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</si>
  <si>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</si>
  <si>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</si>
  <si>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</si>
  <si>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</si>
  <si>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</si>
  <si>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</si>
  <si>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</si>
  <si>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</si>
  <si>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</si>
  <si>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</si>
  <si>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</si>
  <si>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</si>
  <si>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</si>
  <si>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</si>
  <si>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</si>
  <si>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</si>
  <si>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</si>
  <si>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</si>
  <si>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</si>
  <si>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</si>
  <si>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</si>
  <si>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</si>
  <si>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</si>
  <si>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</si>
  <si>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</si>
  <si>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</si>
  <si>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</si>
  <si>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</si>
  <si>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</si>
  <si>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</si>
  <si>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</si>
  <si>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</si>
  <si>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</si>
  <si>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</si>
  <si>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</si>
  <si>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</si>
  <si>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</si>
  <si>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</si>
  <si>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</si>
  <si>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Series 2010 Working Cash Bonds</t>
  </si>
  <si>
    <t>No applicable contracts paid in the current year</t>
  </si>
  <si>
    <t>Iroquois Special Education Association</t>
  </si>
  <si>
    <t>Iroquois Regional Delivery System</t>
  </si>
  <si>
    <t>IROQUOIS</t>
  </si>
  <si>
    <t>529 E. SECOND ST.</t>
  </si>
  <si>
    <t>GILMAN</t>
  </si>
  <si>
    <t>815-265-4642</t>
  </si>
  <si>
    <t>815-265-7008</t>
  </si>
  <si>
    <t>Series 2016 GO Working Cash Bonds</t>
  </si>
  <si>
    <t>Page 2 - Auditor's Questionnaire</t>
  </si>
  <si>
    <t>#20 - Findings Other than those listed above</t>
  </si>
  <si>
    <t xml:space="preserve"> - IMRF Levy is accumulating</t>
  </si>
  <si>
    <t xml:space="preserve"> - Investments did not balance</t>
  </si>
  <si>
    <t xml:space="preserve"> - Not recording interest on cash and investment accounts</t>
  </si>
  <si>
    <t xml:space="preserve"> - CD Balances were not correct on District books</t>
  </si>
  <si>
    <t xml:space="preserve"> - Did not budget for On-Behalf Payments</t>
  </si>
  <si>
    <t xml:space="preserve"> - Risk Management Plan not up to date</t>
  </si>
  <si>
    <t xml:space="preserve"> - Secretaries are not bonded</t>
  </si>
  <si>
    <t xml:space="preserve"> - Bank accounts are undercollateralized</t>
  </si>
  <si>
    <t>Page 8 - Other Changes in Fund Balance</t>
  </si>
  <si>
    <t>Col 10 - Educational</t>
  </si>
  <si>
    <t>Prior Period Adjustment - $312,756</t>
  </si>
  <si>
    <t>Page 10 - Other Food Service Revenue</t>
  </si>
  <si>
    <t>Head Start Program - $7,839</t>
  </si>
  <si>
    <t>Page 11 - Other Local Revenues</t>
  </si>
  <si>
    <t>Col 20 - Operations &amp; Maintenance</t>
  </si>
  <si>
    <t>Refunds &amp; Reimbursements - $20,537</t>
  </si>
  <si>
    <t>Col 40 - Transportation</t>
  </si>
  <si>
    <t>Refunds &amp; Reimbursements - $4,378</t>
  </si>
  <si>
    <t>Page 14 - Other Restricted Revenue from Federal Sources</t>
  </si>
  <si>
    <t xml:space="preserve">Col 10 - Educational </t>
  </si>
  <si>
    <t>Refunds &amp; Reimbursements - $2,002</t>
  </si>
  <si>
    <t>Page 18 - Debt Services - Other</t>
  </si>
  <si>
    <t>Bond Fees - $975</t>
  </si>
  <si>
    <t>AUDITCHECK Tab</t>
  </si>
  <si>
    <t>#15 - Contracts paid in current year error</t>
  </si>
  <si>
    <t xml:space="preserve"> - Over Budget in the Education, Transportation, Municipal Retirement, and Fire, Prevention, &amp; Safety Funds</t>
  </si>
  <si>
    <t>U.S. Department of Agriculture</t>
  </si>
  <si>
    <t xml:space="preserve">     Passed Through the Illinois State Board of Education</t>
  </si>
  <si>
    <t xml:space="preserve">       School Lunch-Regular-19</t>
  </si>
  <si>
    <t>(m)School Lunch Program-20</t>
  </si>
  <si>
    <t xml:space="preserve">       School Breakfast-19</t>
  </si>
  <si>
    <t xml:space="preserve">       School Breakfast-20</t>
  </si>
  <si>
    <t xml:space="preserve">       Summer School</t>
  </si>
  <si>
    <t xml:space="preserve">       School Commodities</t>
  </si>
  <si>
    <t xml:space="preserve">       Fresh Fruits and Vegtables</t>
  </si>
  <si>
    <t xml:space="preserve">          Total U.S. Department of Education</t>
  </si>
  <si>
    <t>U.S. Department of Education</t>
  </si>
  <si>
    <t xml:space="preserve">       Title 1-Low Income-19</t>
  </si>
  <si>
    <t>84.010a</t>
  </si>
  <si>
    <t>(M)Title 1-Low Income-20</t>
  </si>
  <si>
    <t xml:space="preserve">       Title 1-LowIncome Deliquent</t>
  </si>
  <si>
    <t xml:space="preserve">        Title 1-School Improvement-20</t>
  </si>
  <si>
    <t xml:space="preserve">       Title 1-School Improvement-19</t>
  </si>
  <si>
    <t>84.027a</t>
  </si>
  <si>
    <t xml:space="preserve">       Special  Education-PreSchool</t>
  </si>
  <si>
    <t>(M)IDEA-Flow Thru</t>
  </si>
  <si>
    <t xml:space="preserve">       Title II-Teacher Quality</t>
  </si>
  <si>
    <t xml:space="preserve">           Total U.S. Department of Education</t>
  </si>
  <si>
    <t>U.S. Department of Healthcare &amp; Family Services</t>
  </si>
  <si>
    <t xml:space="preserve">     Passed Through the Illinois Department of Health and Human Services</t>
  </si>
  <si>
    <t xml:space="preserve">       Medicaid-Admin Outreach</t>
  </si>
  <si>
    <t xml:space="preserve">           Total U.S Department of Healthcare &amp; Family Services</t>
  </si>
  <si>
    <t xml:space="preserve">           Total Federal Financial Assistance</t>
  </si>
  <si>
    <t>The accompanying Schedule of Expenditures of Federal Awards includes the federal grant activity of Iroquois West Community Unit #10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</si>
  <si>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</si>
  <si>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Iroquois West Community Unit #10 provided federal awards to subrecipients as follows:</t>
  </si>
  <si>
    <t>none</t>
  </si>
  <si>
    <r>
      <t xml:space="preserve">The following amounts were expended in the form of non-cash assistance by Iroquois West Community Unit #10 and </t>
    </r>
    <r>
      <rPr>
        <b/>
        <sz val="9"/>
        <rFont val="Calibri"/>
        <family val="2"/>
        <scheme val="minor"/>
      </rPr>
      <t>should be</t>
    </r>
    <r>
      <rPr>
        <sz val="9"/>
        <rFont val="Calibri"/>
        <family val="2"/>
        <scheme val="minor"/>
      </rPr>
      <t xml:space="preserve"> included in the Schedule of Expenditures of Federal Awards:</t>
    </r>
  </si>
  <si>
    <t>no</t>
  </si>
  <si>
    <t>Adverse-Gaap/Unqualified-Regulatory</t>
  </si>
  <si>
    <t>Unmodified</t>
  </si>
  <si>
    <t>Title 1-Low Income</t>
  </si>
  <si>
    <t>School Lunch</t>
  </si>
  <si>
    <t>IDEA Fow Thru</t>
  </si>
  <si>
    <t xml:space="preserve"> x</t>
  </si>
  <si>
    <t>The District is required to maintain a system of controls over the preperation of financial statements.  The District's internal control over the financial reporting should include adequately trained personnel with the knowledge and expertise to review the financial statements to ensure they are free of material mistatements</t>
  </si>
  <si>
    <t>For Year-end reporting purposes the District relies on the auditorto propose year end  adjustments and assist in assembling or drafting the financial statements.</t>
  </si>
  <si>
    <t>Although the auditor can propose adjustments and assist in assembling or drafting the financial statements, they cannot establish or maintain the District's internal controls, including monitoring ongoing activities,since to do so would impair the auditor's independence</t>
  </si>
  <si>
    <t>Lack of sufficient knowledge and expertise to prepare and review the financial statements could result in controls not being effective in preventing or detecting material mistatements particularly in related notes to the financial statements</t>
  </si>
  <si>
    <t>Due to the actual errors identified and adjustments required during the preparation of the financial statements, the District was not monitoring its financials</t>
  </si>
  <si>
    <t>We recommend that the District establish effective review procedures for financial reports</t>
  </si>
  <si>
    <t>The District agrees with the corrective action plan and will evaluate year-end reporting controls and pursue additional training when it is considered cost benefical</t>
  </si>
  <si>
    <t>Angelo Lekkas</t>
  </si>
  <si>
    <t>alekkas@iwest.k12.il.us</t>
  </si>
  <si>
    <t>Refunds &amp; Reimbursements - $78,124</t>
  </si>
  <si>
    <t xml:space="preserve"> Iroquois West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</si>
</sst>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8" fillId="0" borderId="0" xfId="0" quotePrefix="1"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2000</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2048</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2048</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32038010026</v>
      </c>
      <c r="B13" s="2088"/>
      <c r="C13" s="2088"/>
      <c r="D13" s="2088"/>
      <c r="E13" s="2088"/>
      <c r="F13" s="2088"/>
      <c r="G13" s="2088"/>
      <c r="H13" s="2089"/>
      <c r="I13" s="31"/>
      <c r="J13" s="30"/>
      <c r="K13" s="28"/>
      <c r="L13" s="30"/>
      <c r="M13" s="30"/>
      <c r="N13" s="30"/>
      <c r="O13" s="30"/>
      <c r="P13" s="30"/>
      <c r="Q13" s="30"/>
      <c r="R13" s="30"/>
      <c r="S13" s="30"/>
      <c r="T13" s="2092" t="s">
        <v>2049</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2062</v>
      </c>
      <c r="B15" s="2090"/>
      <c r="C15" s="2090"/>
      <c r="D15" s="2090"/>
      <c r="E15" s="2090"/>
      <c r="F15" s="2090"/>
      <c r="G15" s="2090"/>
      <c r="H15" s="2091"/>
      <c r="T15" s="2053" t="s">
        <v>2050</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2145</v>
      </c>
      <c r="B17" s="2115"/>
      <c r="C17" s="2115"/>
      <c r="D17" s="2115"/>
      <c r="E17" s="2115"/>
      <c r="F17" s="2115"/>
      <c r="G17" s="2115"/>
      <c r="H17" s="2116"/>
      <c r="T17" s="2102" t="s">
        <v>2051</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2063</v>
      </c>
      <c r="B19" s="2086"/>
      <c r="C19" s="2086"/>
      <c r="D19" s="2086"/>
      <c r="E19" s="2086"/>
      <c r="F19" s="2086"/>
      <c r="G19" s="2086"/>
      <c r="H19" s="2084"/>
      <c r="I19" s="30"/>
      <c r="J19" s="96"/>
      <c r="K19" s="40"/>
      <c r="L19" s="38"/>
      <c r="M19" s="109" t="s">
        <v>312</v>
      </c>
      <c r="P19" s="27"/>
      <c r="Q19" s="27"/>
      <c r="R19" s="27"/>
      <c r="S19" s="31"/>
      <c r="T19" s="2085" t="s">
        <v>2052</v>
      </c>
      <c r="U19" s="2083"/>
      <c r="V19" s="2083"/>
      <c r="W19" s="2084"/>
      <c r="X19" s="2100" t="s">
        <v>2053</v>
      </c>
      <c r="Y19" s="2101"/>
      <c r="Z19" s="2098">
        <v>60942</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2064</v>
      </c>
      <c r="B21" s="2083"/>
      <c r="C21" s="2083"/>
      <c r="D21" s="2083"/>
      <c r="E21" s="2083"/>
      <c r="F21" s="2083"/>
      <c r="G21" s="2083"/>
      <c r="H21" s="2084"/>
      <c r="I21" s="2108" t="s">
        <v>673</v>
      </c>
      <c r="J21" s="2071"/>
      <c r="K21" s="2071"/>
      <c r="L21" s="2071"/>
      <c r="M21" s="2071"/>
      <c r="N21" s="2071"/>
      <c r="O21" s="2071"/>
      <c r="P21" s="2071"/>
      <c r="Q21" s="2071"/>
      <c r="R21" s="2071"/>
      <c r="S21" s="2072"/>
      <c r="T21" s="2050" t="s">
        <v>2054</v>
      </c>
      <c r="U21" s="2051"/>
      <c r="V21" s="2051"/>
      <c r="W21" s="2051"/>
      <c r="X21" s="2064" t="s">
        <v>2055</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v>65.018319000000005</v>
      </c>
      <c r="U23" s="2046"/>
      <c r="V23" s="2046"/>
      <c r="W23" s="2046"/>
      <c r="X23" s="2061">
        <v>44469</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60938</v>
      </c>
      <c r="B25" s="2083"/>
      <c r="C25" s="2083"/>
      <c r="D25" s="2083"/>
      <c r="E25" s="2083"/>
      <c r="F25" s="2083"/>
      <c r="G25" s="2083"/>
      <c r="H25" s="2084"/>
      <c r="I25" s="110"/>
      <c r="J25" s="2149"/>
      <c r="K25" s="2149"/>
      <c r="L25" s="2149"/>
      <c r="M25" s="2149"/>
      <c r="N25" s="2149"/>
      <c r="O25" s="2149"/>
      <c r="P25" s="2149"/>
      <c r="Q25" s="2149"/>
      <c r="R25" s="2149"/>
      <c r="S25" s="2150"/>
      <c r="T25" s="2042" t="s">
        <v>2056</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2142</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2143</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2065</v>
      </c>
      <c r="B42" s="2132"/>
      <c r="C42" s="2133"/>
      <c r="D42" s="2146" t="s">
        <v>2066</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2496275</v>
      </c>
      <c r="C4" s="1722"/>
      <c r="D4" s="1723">
        <f>B4-C4</f>
        <v>2496275</v>
      </c>
      <c r="E4" s="1722">
        <v>2604882</v>
      </c>
      <c r="F4" s="1723">
        <f>E4-C4</f>
        <v>2604882</v>
      </c>
    </row>
    <row r="5" spans="1:8" ht="13.7" customHeight="1" x14ac:dyDescent="0.2">
      <c r="A5" s="579" t="s">
        <v>865</v>
      </c>
      <c r="B5" s="1724">
        <f>'Revenues 9-14'!D5</f>
        <v>567337</v>
      </c>
      <c r="C5" s="1664"/>
      <c r="D5" s="1725">
        <f t="shared" ref="D5:D18" si="0">B5-C5</f>
        <v>567337</v>
      </c>
      <c r="E5" s="1664">
        <v>592019</v>
      </c>
      <c r="F5" s="1725">
        <f>E5-C5</f>
        <v>592019</v>
      </c>
    </row>
    <row r="6" spans="1:8" ht="13.7" customHeight="1" x14ac:dyDescent="0.2">
      <c r="A6" s="579" t="s">
        <v>408</v>
      </c>
      <c r="B6" s="1724">
        <f>'Revenues 9-14'!E5</f>
        <v>144708</v>
      </c>
      <c r="C6" s="1664"/>
      <c r="D6" s="1725">
        <f t="shared" si="0"/>
        <v>144708</v>
      </c>
      <c r="E6" s="1664">
        <v>285628</v>
      </c>
      <c r="F6" s="1725">
        <f t="shared" ref="F6:F18" si="1">E6-C6</f>
        <v>285628</v>
      </c>
    </row>
    <row r="7" spans="1:8" ht="13.7" customHeight="1" x14ac:dyDescent="0.2">
      <c r="A7" s="579" t="s">
        <v>154</v>
      </c>
      <c r="B7" s="1724">
        <f>'Revenues 9-14'!F5</f>
        <v>181555</v>
      </c>
      <c r="C7" s="1664"/>
      <c r="D7" s="1725">
        <f t="shared" si="0"/>
        <v>181555</v>
      </c>
      <c r="E7" s="1664">
        <v>189446</v>
      </c>
      <c r="F7" s="1725">
        <f t="shared" si="1"/>
        <v>189446</v>
      </c>
    </row>
    <row r="8" spans="1:8" ht="13.7" customHeight="1" x14ac:dyDescent="0.2">
      <c r="A8" s="579" t="s">
        <v>1169</v>
      </c>
      <c r="B8" s="1724">
        <f>'Revenues 9-14'!G5</f>
        <v>177697</v>
      </c>
      <c r="C8" s="1664"/>
      <c r="D8" s="1725">
        <f t="shared" si="0"/>
        <v>177697</v>
      </c>
      <c r="E8" s="1664">
        <v>111129</v>
      </c>
      <c r="F8" s="1725">
        <f t="shared" si="1"/>
        <v>111129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45389</v>
      </c>
      <c r="C10" s="1664"/>
      <c r="D10" s="1725">
        <f t="shared" si="0"/>
        <v>45389</v>
      </c>
      <c r="E10" s="1664">
        <v>47362</v>
      </c>
      <c r="F10" s="1725">
        <f t="shared" si="1"/>
        <v>47362</v>
      </c>
    </row>
    <row r="11" spans="1:8" x14ac:dyDescent="0.2">
      <c r="A11" s="579" t="s">
        <v>406</v>
      </c>
      <c r="B11" s="1724">
        <f>'Revenues 9-14'!J5</f>
        <v>533962</v>
      </c>
      <c r="C11" s="1664"/>
      <c r="D11" s="1725">
        <f t="shared" si="0"/>
        <v>533962</v>
      </c>
      <c r="E11" s="1664">
        <v>535005</v>
      </c>
      <c r="F11" s="1725">
        <f t="shared" si="1"/>
        <v>535005</v>
      </c>
    </row>
    <row r="12" spans="1:8" ht="13.7" customHeight="1" x14ac:dyDescent="0.2">
      <c r="A12" s="579" t="s">
        <v>156</v>
      </c>
      <c r="B12" s="1724">
        <f>'Revenues 9-14'!K5</f>
        <v>45389</v>
      </c>
      <c r="C12" s="1664"/>
      <c r="D12" s="1725">
        <f t="shared" si="0"/>
        <v>45389</v>
      </c>
      <c r="E12" s="1664">
        <v>47362</v>
      </c>
      <c r="F12" s="1725">
        <f t="shared" si="1"/>
        <v>47362</v>
      </c>
    </row>
    <row r="13" spans="1:8" ht="13.7" customHeight="1" x14ac:dyDescent="0.2">
      <c r="A13" s="579" t="s">
        <v>930</v>
      </c>
      <c r="B13" s="1724">
        <f>SUM('Revenues 9-14'!C6:D6)</f>
        <v>45389</v>
      </c>
      <c r="C13" s="1664"/>
      <c r="D13" s="1725">
        <f t="shared" si="0"/>
        <v>45389</v>
      </c>
      <c r="E13" s="1664">
        <v>47362</v>
      </c>
      <c r="F13" s="1725">
        <f t="shared" si="1"/>
        <v>47362</v>
      </c>
    </row>
    <row r="14" spans="1:8" ht="13.7" customHeight="1" x14ac:dyDescent="0.2">
      <c r="A14" s="579" t="s">
        <v>407</v>
      </c>
      <c r="B14" s="1724">
        <f>SUM('Revenues 9-14'!C7:D7,'Revenues 9-14'!F7:H7)</f>
        <v>36313</v>
      </c>
      <c r="C14" s="1664"/>
      <c r="D14" s="1725">
        <f t="shared" si="0"/>
        <v>36313</v>
      </c>
      <c r="E14" s="1664">
        <v>37889</v>
      </c>
      <c r="F14" s="1725">
        <f t="shared" si="1"/>
        <v>37889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170652</v>
      </c>
      <c r="C16" s="1664"/>
      <c r="D16" s="1725">
        <f t="shared" si="0"/>
        <v>170652</v>
      </c>
      <c r="E16" s="1664">
        <v>102130</v>
      </c>
      <c r="F16" s="1725">
        <f t="shared" si="1"/>
        <v>102130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4444666</v>
      </c>
      <c r="C19" s="1726">
        <f>SUM(C4:C18)</f>
        <v>0</v>
      </c>
      <c r="D19" s="1726">
        <f>SUM(D4:D18)</f>
        <v>4444666</v>
      </c>
      <c r="E19" s="1726">
        <f>SUM(E4:E18)</f>
        <v>4600214</v>
      </c>
      <c r="F19" s="1726">
        <f>SUM(F4:F18)</f>
        <v>4600214</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1776</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2003</v>
      </c>
      <c r="B24" s="2292"/>
      <c r="C24" s="2300"/>
      <c r="D24" s="2301"/>
      <c r="E24" s="2301"/>
      <c r="F24" s="2302"/>
    </row>
    <row r="25" spans="1:11" ht="13.5" thickBot="1" x14ac:dyDescent="0.25">
      <c r="A25" s="2306" t="s">
        <v>2004</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2058</v>
      </c>
      <c r="B31" s="595">
        <v>40210</v>
      </c>
      <c r="C31" s="1734">
        <v>750000</v>
      </c>
      <c r="D31" s="1735">
        <v>1</v>
      </c>
      <c r="E31" s="1734">
        <v>160000</v>
      </c>
      <c r="F31" s="1734"/>
      <c r="G31" s="1734"/>
      <c r="H31" s="1734">
        <v>95000</v>
      </c>
      <c r="I31" s="1736">
        <f>((E31+F31)-H31)+G31</f>
        <v>65000</v>
      </c>
      <c r="J31" s="1734">
        <v>50337</v>
      </c>
      <c r="K31" s="596"/>
    </row>
    <row r="32" spans="1:11" ht="12" customHeight="1" x14ac:dyDescent="0.2">
      <c r="A32" s="594" t="s">
        <v>2067</v>
      </c>
      <c r="B32" s="595">
        <v>42429</v>
      </c>
      <c r="C32" s="1734">
        <v>1470000</v>
      </c>
      <c r="D32" s="1735">
        <v>1</v>
      </c>
      <c r="E32" s="1734">
        <v>1470000</v>
      </c>
      <c r="F32" s="1734"/>
      <c r="G32" s="1734"/>
      <c r="H32" s="1734"/>
      <c r="I32" s="1736">
        <f>((E32+F32)-H32)+G32</f>
        <v>1470000</v>
      </c>
      <c r="J32" s="1734">
        <v>1470000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2220000</v>
      </c>
      <c r="D49" s="1742"/>
      <c r="E49" s="1736">
        <f t="shared" ref="E49:J49" si="2">SUM(E31:E48)</f>
        <v>1630000</v>
      </c>
      <c r="F49" s="1736">
        <f t="shared" si="2"/>
        <v>0</v>
      </c>
      <c r="G49" s="1736">
        <f t="shared" si="2"/>
        <v>0</v>
      </c>
      <c r="H49" s="1736">
        <f t="shared" si="2"/>
        <v>95000</v>
      </c>
      <c r="I49" s="1736">
        <f t="shared" si="2"/>
        <v>1535000</v>
      </c>
      <c r="J49" s="1736">
        <f t="shared" si="2"/>
        <v>1520337</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1786</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36313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4585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10244</v>
      </c>
    </row>
    <row r="10" spans="1:11" x14ac:dyDescent="0.2">
      <c r="A10" s="2349" t="s">
        <v>1787</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36313</v>
      </c>
      <c r="I12" s="1755">
        <f>SUM(I5:I11)</f>
        <v>0</v>
      </c>
      <c r="J12" s="1755">
        <f>SUM(J5:J11)</f>
        <v>0</v>
      </c>
      <c r="K12" s="1755">
        <f>SUM(K5:K11)</f>
        <v>14829</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36313</v>
      </c>
      <c r="I14" s="1749"/>
      <c r="J14" s="1751"/>
      <c r="K14" s="1745">
        <v>14829</v>
      </c>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1783</v>
      </c>
      <c r="B19" s="2357"/>
      <c r="C19" s="2357"/>
      <c r="D19" s="2357"/>
      <c r="E19" s="2358"/>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1789</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36313</v>
      </c>
      <c r="I23" s="1755">
        <f>SUM(I14:I16,I21,I22)</f>
        <v>0</v>
      </c>
      <c r="J23" s="1755">
        <f>SUM(J14:J16,J21,J22)</f>
        <v>0</v>
      </c>
      <c r="K23" s="1755">
        <f>SUM(K14:K16,K21,K22)</f>
        <v>14829</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15000</v>
      </c>
      <c r="D5" s="1770"/>
      <c r="E5" s="1770"/>
      <c r="F5" s="1765">
        <f>(C5+D5)-E5</f>
        <v>15000</v>
      </c>
      <c r="G5" s="676"/>
      <c r="H5" s="680"/>
      <c r="I5" s="680"/>
      <c r="J5" s="680"/>
      <c r="K5" s="637"/>
      <c r="L5" s="1442">
        <f>F5-K5</f>
        <v>15000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9123679</v>
      </c>
      <c r="D8" s="1771"/>
      <c r="E8" s="1771"/>
      <c r="F8" s="1765">
        <f>(C8+D8)-E8</f>
        <v>9123679</v>
      </c>
      <c r="G8" s="681">
        <v>50</v>
      </c>
      <c r="H8" s="619">
        <v>6845296</v>
      </c>
      <c r="I8" s="619">
        <v>222695</v>
      </c>
      <c r="J8" s="619"/>
      <c r="K8" s="1442">
        <f>(H8+I8)-J8</f>
        <v>7067991</v>
      </c>
      <c r="L8" s="1442">
        <f>F8-K8</f>
        <v>2055688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1162696</v>
      </c>
      <c r="D10" s="1772"/>
      <c r="E10" s="1772"/>
      <c r="F10" s="1773">
        <f>(C10+D10)-E10</f>
        <v>1162696</v>
      </c>
      <c r="G10" s="681">
        <v>20</v>
      </c>
      <c r="H10" s="683">
        <v>555010</v>
      </c>
      <c r="I10" s="683">
        <v>46508</v>
      </c>
      <c r="J10" s="683"/>
      <c r="K10" s="1442">
        <f>(H10+I10)-J10</f>
        <v>601518</v>
      </c>
      <c r="L10" s="1442">
        <f>F10-K10</f>
        <v>561178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2350079</v>
      </c>
      <c r="D12" s="1771">
        <v>19827</v>
      </c>
      <c r="E12" s="1771"/>
      <c r="F12" s="1765">
        <f>(C12+D12)-E12</f>
        <v>2369906</v>
      </c>
      <c r="G12" s="681">
        <v>10</v>
      </c>
      <c r="H12" s="619">
        <v>2067572</v>
      </c>
      <c r="I12" s="619">
        <v>236990</v>
      </c>
      <c r="J12" s="619"/>
      <c r="K12" s="1442">
        <f>(H12+I12)-J12</f>
        <v>2304562</v>
      </c>
      <c r="L12" s="1442">
        <f>F12-K12</f>
        <v>65344</v>
      </c>
    </row>
    <row r="13" spans="1:14" ht="14.25" thickTop="1" thickBot="1" x14ac:dyDescent="0.25">
      <c r="A13" s="684" t="s">
        <v>1112</v>
      </c>
      <c r="B13" s="679">
        <v>252</v>
      </c>
      <c r="C13" s="1771">
        <v>212029</v>
      </c>
      <c r="D13" s="1771"/>
      <c r="E13" s="1771"/>
      <c r="F13" s="1765">
        <f>(C13+D13)-E13</f>
        <v>212029</v>
      </c>
      <c r="G13" s="681">
        <v>5</v>
      </c>
      <c r="H13" s="619">
        <v>205107</v>
      </c>
      <c r="I13" s="619">
        <v>6922</v>
      </c>
      <c r="J13" s="619"/>
      <c r="K13" s="1442">
        <f>(H13+I13)-J13</f>
        <v>212029</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12863483</v>
      </c>
      <c r="D16" s="1765">
        <f>SUM(D3,D5:D6,D8:D10,D12:D15)</f>
        <v>19827</v>
      </c>
      <c r="E16" s="1765">
        <f>SUM(E3,E5:E6,E8:E10,E12:E15)</f>
        <v>0</v>
      </c>
      <c r="F16" s="1765">
        <f>SUM(F3,F5:F6,F8:F10,F12:F15)</f>
        <v>12883310</v>
      </c>
      <c r="G16" s="681"/>
      <c r="H16" s="1435">
        <f>SUM(H3,H6,H8:H10,H12:H14,)</f>
        <v>9672985</v>
      </c>
      <c r="I16" s="1435">
        <f>SUM(I3,I6,I8:I10,I12:I14,)</f>
        <v>513115</v>
      </c>
      <c r="J16" s="1435">
        <f>SUM(J3,J6,J8:J10,J12:J14,)</f>
        <v>0</v>
      </c>
      <c r="K16" s="1435">
        <f>(H16+I16)-J16</f>
        <v>10186100</v>
      </c>
      <c r="L16" s="1435">
        <f>F16-K16</f>
        <v>2697210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513115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9476198</v>
      </c>
      <c r="G8" s="701"/>
    </row>
    <row r="9" spans="1:9" x14ac:dyDescent="0.2">
      <c r="A9" s="705" t="s">
        <v>457</v>
      </c>
      <c r="B9" s="706" t="s">
        <v>1845</v>
      </c>
      <c r="C9" s="707"/>
      <c r="D9" s="705" t="s">
        <v>498</v>
      </c>
      <c r="E9" s="704"/>
      <c r="F9" s="1775">
        <f>'Expenditures 15-22'!K151</f>
        <v>651956</v>
      </c>
      <c r="G9" s="708"/>
    </row>
    <row r="10" spans="1:9" x14ac:dyDescent="0.2">
      <c r="A10" s="705" t="s">
        <v>496</v>
      </c>
      <c r="B10" s="706" t="s">
        <v>1846</v>
      </c>
      <c r="C10" s="707"/>
      <c r="D10" s="705" t="s">
        <v>498</v>
      </c>
      <c r="E10" s="704"/>
      <c r="F10" s="1775">
        <f>'Expenditures 15-22'!K174</f>
        <v>144560</v>
      </c>
      <c r="G10" s="708"/>
    </row>
    <row r="11" spans="1:9" x14ac:dyDescent="0.2">
      <c r="A11" s="705" t="s">
        <v>458</v>
      </c>
      <c r="B11" s="706" t="s">
        <v>1847</v>
      </c>
      <c r="C11" s="707"/>
      <c r="D11" s="705" t="s">
        <v>498</v>
      </c>
      <c r="E11" s="704"/>
      <c r="F11" s="1775">
        <f>'Expenditures 15-22'!K210</f>
        <v>818478</v>
      </c>
      <c r="G11" s="708"/>
    </row>
    <row r="12" spans="1:9" x14ac:dyDescent="0.2">
      <c r="A12" s="705" t="s">
        <v>459</v>
      </c>
      <c r="B12" s="706" t="s">
        <v>1848</v>
      </c>
      <c r="C12" s="707"/>
      <c r="D12" s="705" t="s">
        <v>498</v>
      </c>
      <c r="E12" s="704"/>
      <c r="F12" s="1775">
        <f>'Expenditures 15-22'!K295</f>
        <v>258839</v>
      </c>
      <c r="G12" s="708"/>
    </row>
    <row r="13" spans="1:9" x14ac:dyDescent="0.2">
      <c r="A13" s="705" t="s">
        <v>106</v>
      </c>
      <c r="B13" s="706" t="s">
        <v>1849</v>
      </c>
      <c r="C13" s="707"/>
      <c r="D13" s="705" t="s">
        <v>498</v>
      </c>
      <c r="E13" s="704"/>
      <c r="F13" s="1775">
        <f>'Expenditures 15-22'!K342</f>
        <v>463182</v>
      </c>
      <c r="G13" s="709"/>
    </row>
    <row r="14" spans="1:9" ht="12" customHeight="1" thickBot="1" x14ac:dyDescent="0.25">
      <c r="A14" s="1443"/>
      <c r="B14" s="1444"/>
      <c r="C14" s="1445"/>
      <c r="D14" s="1446" t="s">
        <v>498</v>
      </c>
      <c r="E14" s="1447" t="s">
        <v>952</v>
      </c>
      <c r="F14" s="1776">
        <f>SUM(F8:F13)</f>
        <v>11813213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89690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1601635</v>
      </c>
      <c r="G53" s="701"/>
    </row>
    <row r="54" spans="1:7" x14ac:dyDescent="0.2">
      <c r="A54" s="705" t="s">
        <v>456</v>
      </c>
      <c r="B54" s="705" t="s">
        <v>1459</v>
      </c>
      <c r="C54" s="724" t="s">
        <v>975</v>
      </c>
      <c r="D54" s="720" t="s">
        <v>1086</v>
      </c>
      <c r="E54" s="704"/>
      <c r="F54" s="1782">
        <f>'Expenditures 15-22'!G114</f>
        <v>19827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95000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1508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1807660</v>
      </c>
      <c r="G77" s="701"/>
    </row>
    <row r="78" spans="1:9" s="728" customFormat="1" ht="12" customHeight="1" thickTop="1" thickBot="1" x14ac:dyDescent="0.25">
      <c r="A78" s="1450"/>
      <c r="B78" s="1448"/>
      <c r="C78" s="1445"/>
      <c r="D78" s="1449" t="s">
        <v>2009</v>
      </c>
      <c r="E78" s="1447"/>
      <c r="F78" s="1788">
        <f>(F14-F77)</f>
        <v>10005553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817.8</v>
      </c>
      <c r="G79" s="733"/>
      <c r="H79" s="705"/>
      <c r="I79" s="705"/>
    </row>
    <row r="80" spans="1:9" s="728" customFormat="1" ht="12" customHeight="1" thickBot="1" x14ac:dyDescent="0.25">
      <c r="A80" s="1452"/>
      <c r="B80" s="1448"/>
      <c r="C80" s="1445"/>
      <c r="D80" s="1449" t="s">
        <v>2010</v>
      </c>
      <c r="E80" s="1447" t="s">
        <v>952</v>
      </c>
      <c r="F80" s="1790">
        <f>IF(F79&gt;0,F78/F79," Complete Line 79")</f>
        <v>12234.718757642457</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97827</v>
      </c>
      <c r="G95" s="745"/>
    </row>
    <row r="96" spans="1:7" x14ac:dyDescent="0.2">
      <c r="A96" s="741" t="s">
        <v>139</v>
      </c>
      <c r="B96" s="741" t="s">
        <v>174</v>
      </c>
      <c r="C96" s="743">
        <v>1700</v>
      </c>
      <c r="D96" s="751" t="str">
        <f>'Revenues 9-14'!A82</f>
        <v>Total District/School Activity Income</v>
      </c>
      <c r="E96" s="739"/>
      <c r="F96" s="1793">
        <f>SUM('Revenues 9-14'!C82,'Revenues 9-14'!D82)</f>
        <v>70007</v>
      </c>
      <c r="G96" s="745"/>
    </row>
    <row r="97" spans="1:7" x14ac:dyDescent="0.2">
      <c r="A97" s="741" t="s">
        <v>456</v>
      </c>
      <c r="B97" s="741" t="s">
        <v>175</v>
      </c>
      <c r="C97" s="743">
        <f>'Revenues 9-14'!B84</f>
        <v>1811</v>
      </c>
      <c r="D97" s="744" t="str">
        <f>'Revenues 9-14'!A84</f>
        <v>Rentals - Regular Textbooks</v>
      </c>
      <c r="E97" s="739"/>
      <c r="F97" s="1793">
        <f>'Revenues 9-14'!C84</f>
        <v>17653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109512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1657663</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37624</v>
      </c>
      <c r="G107" s="745"/>
    </row>
    <row r="108" spans="1:7" x14ac:dyDescent="0.2">
      <c r="A108" s="754" t="s">
        <v>659</v>
      </c>
      <c r="B108" s="741" t="s">
        <v>1909</v>
      </c>
      <c r="C108" s="753">
        <v>3300</v>
      </c>
      <c r="D108" s="744" t="str">
        <f>'Revenues 9-14'!A145</f>
        <v>Total Bilingual Ed</v>
      </c>
      <c r="E108" s="739"/>
      <c r="F108" s="1793">
        <f>SUM('Revenues 9-14'!C145,'Revenues 9-14'!G145)</f>
        <v>1199</v>
      </c>
      <c r="G108" s="745"/>
    </row>
    <row r="109" spans="1:7" x14ac:dyDescent="0.2">
      <c r="A109" s="741" t="s">
        <v>456</v>
      </c>
      <c r="B109" s="741" t="s">
        <v>1910</v>
      </c>
      <c r="C109" s="753">
        <f>'Revenues 9-14'!B146</f>
        <v>3360</v>
      </c>
      <c r="D109" s="744" t="str">
        <f>'Revenues 9-14'!A146</f>
        <v>State Free Lunch &amp; Breakfast</v>
      </c>
      <c r="E109" s="739"/>
      <c r="F109" s="1793">
        <f>'Revenues 9-14'!C146</f>
        <v>2596</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10244</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334739</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214821</v>
      </c>
      <c r="G126" s="763"/>
    </row>
    <row r="127" spans="1:7" x14ac:dyDescent="0.2">
      <c r="A127" s="760" t="s">
        <v>663</v>
      </c>
      <c r="B127" s="760" t="s">
        <v>1928</v>
      </c>
      <c r="C127" s="765">
        <v>4300</v>
      </c>
      <c r="D127" s="766" t="str">
        <f>'Revenues 9-14'!A204</f>
        <v>Total Title I</v>
      </c>
      <c r="E127" s="739"/>
      <c r="F127" s="1793">
        <f>SUM('Revenues 9-14'!C204,'Revenues 9-14'!D204,'Revenues 9-14'!F204,'Revenues 9-14'!G204)</f>
        <v>327420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260729</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31259</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8265</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2973</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202451</v>
      </c>
      <c r="G172" s="760"/>
    </row>
    <row r="173" spans="1:7" x14ac:dyDescent="0.2">
      <c r="A173" s="1529" t="s">
        <v>659</v>
      </c>
      <c r="B173" s="1530" t="s">
        <v>1882</v>
      </c>
      <c r="C173" s="1531">
        <v>3300</v>
      </c>
      <c r="D173" s="1532" t="s">
        <v>1885</v>
      </c>
      <c r="E173" s="739"/>
      <c r="F173" s="1794">
        <v>29564</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3422546</v>
      </c>
    </row>
    <row r="176" spans="1:7" ht="12" customHeight="1" x14ac:dyDescent="0.2">
      <c r="A176" s="1443"/>
      <c r="B176" s="1453"/>
      <c r="C176" s="1454"/>
      <c r="D176" s="1455" t="s">
        <v>2011</v>
      </c>
      <c r="E176" s="1456"/>
      <c r="F176" s="1793">
        <f>'PCTC-OEPP 27-28'!F78-F175</f>
        <v>6583007</v>
      </c>
    </row>
    <row r="177" spans="1:9" ht="12" customHeight="1" x14ac:dyDescent="0.2">
      <c r="A177" s="1443"/>
      <c r="B177" s="1453"/>
      <c r="C177" s="1454"/>
      <c r="D177" s="1455" t="s">
        <v>1791</v>
      </c>
      <c r="E177" s="1456"/>
      <c r="F177" s="1793">
        <f>'Cap Outlay Deprec 26'!I18</f>
        <v>513115</v>
      </c>
    </row>
    <row r="178" spans="1:9" ht="12" customHeight="1" x14ac:dyDescent="0.2">
      <c r="A178" s="1443"/>
      <c r="B178" s="1453"/>
      <c r="C178" s="1454"/>
      <c r="D178" s="1455" t="s">
        <v>2012</v>
      </c>
      <c r="E178" s="1456"/>
      <c r="F178" s="1793">
        <f>F176+F177</f>
        <v>7096122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817.8</v>
      </c>
      <c r="G179" s="763"/>
      <c r="I179" s="701"/>
    </row>
    <row r="180" spans="1:9" ht="12" customHeight="1" thickBot="1" x14ac:dyDescent="0.25">
      <c r="A180" s="1443"/>
      <c r="B180" s="1457"/>
      <c r="C180" s="1454"/>
      <c r="D180" s="1455" t="s">
        <v>2014</v>
      </c>
      <c r="E180" s="1456" t="s">
        <v>1528</v>
      </c>
      <c r="F180" s="1798">
        <f>F178/F179</f>
        <v>8677.0873074101255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2059</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37705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6212794</v>
      </c>
      <c r="F19" s="1802"/>
      <c r="G19" s="1804">
        <f>'Expenditures 15-22'!K33-SUM('Expenditures 15-22'!G33,'Expenditures 15-22'!I33)+'Expenditures 15-22'!D229</f>
        <v>6212794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283814</v>
      </c>
      <c r="F21" s="1805"/>
      <c r="G21" s="1808">
        <f>'Expenditures 15-22'!K42-SUM('Expenditures 15-22'!G42,'Expenditures 15-22'!I42)+'Expenditures 15-22'!K120-SUM('Expenditures 15-22'!G120,'Expenditures 15-22'!I120)+'Expenditures 15-22'!K180-SUM('Expenditures 15-22'!G180,'Expenditures 15-22'!I180)+'Expenditures 15-22'!D238</f>
        <v>283814</v>
      </c>
      <c r="H21" s="817"/>
      <c r="I21" s="157"/>
    </row>
    <row r="22" spans="1:9" s="542" customFormat="1" ht="12" customHeight="1" x14ac:dyDescent="0.2">
      <c r="A22" s="824" t="s">
        <v>560</v>
      </c>
      <c r="B22" s="825"/>
      <c r="C22" s="823">
        <v>2200</v>
      </c>
      <c r="D22" s="1805"/>
      <c r="E22" s="1807">
        <f>'Expenditures 15-22'!K47-SUM('Expenditures 15-22'!G47,'Expenditures 15-22'!I47)+'Expenditures 15-22'!D243</f>
        <v>293127</v>
      </c>
      <c r="F22" s="1805"/>
      <c r="G22" s="1808">
        <f>'Expenditures 15-22'!K47-SUM('Expenditures 15-22'!G47,'Expenditures 15-22'!I47)+'Expenditures 15-22'!D243</f>
        <v>293127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665175</v>
      </c>
      <c r="F23" s="1805"/>
      <c r="G23" s="1807">
        <f>'Expenditures 15-22'!K53-SUM('Expenditures 15-22'!G53,'Expenditures 15-22'!I53)+'Expenditures 15-22'!D257+'Expenditures 15-22'!K330-SUM('Expenditures 15-22'!G330,'Expenditures 15-22'!I330)</f>
        <v>665175</v>
      </c>
      <c r="H23" s="817"/>
      <c r="I23" s="157"/>
    </row>
    <row r="24" spans="1:9" s="542" customFormat="1" ht="12" customHeight="1" x14ac:dyDescent="0.2">
      <c r="A24" s="824" t="s">
        <v>562</v>
      </c>
      <c r="B24" s="825"/>
      <c r="C24" s="823">
        <v>2400</v>
      </c>
      <c r="D24" s="1805"/>
      <c r="E24" s="1807">
        <f>'Expenditures 15-22'!K57-SUM('Expenditures 15-22'!G57,'Expenditures 15-22'!I57)+'Expenditures 15-22'!D261</f>
        <v>562360</v>
      </c>
      <c r="F24" s="1805"/>
      <c r="G24" s="1808">
        <f>'Expenditures 15-22'!K57-SUM('Expenditures 15-22'!G57,'Expenditures 15-22'!I57)+'Expenditures 15-22'!D261</f>
        <v>562360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130681</v>
      </c>
      <c r="E27" s="1807">
        <f>E8</f>
        <v>0</v>
      </c>
      <c r="F27" s="1807">
        <f>'Expenditures 15-22'!K60-SUM('Expenditures 15-22'!G60,'Expenditures 15-22'!I60)+'Expenditures 15-22'!D264-E8</f>
        <v>130681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697286</v>
      </c>
      <c r="F28" s="1809">
        <f>'Expenditures 15-22'!K61-SUM('Expenditures 15-22'!G61,'Expenditures 15-22'!I61)+'Expenditures 15-22'!K124-SUM('Expenditures 15-22'!G124,'Expenditures 15-22'!I124)+'Expenditures 15-22'!D266-E9</f>
        <v>697286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844189</v>
      </c>
      <c r="F29" s="1805"/>
      <c r="G29" s="1808">
        <f>'Expenditures 15-22'!K62-SUM('Expenditures 15-22'!G62,'Expenditures 15-22'!I62)+'Expenditures 15-22'!K125-SUM('Expenditures 15-22'!G125,'Expenditures 15-22'!I125)+'Expenditures 15-22'!K182-SUM('Expenditures 15-22'!G182,'Expenditures 15-22'!I182)+'Expenditures 15-22'!D267</f>
        <v>844189</v>
      </c>
      <c r="H29" s="815"/>
    </row>
    <row r="30" spans="1:9" ht="12" customHeight="1" x14ac:dyDescent="0.2">
      <c r="A30" s="824" t="s">
        <v>100</v>
      </c>
      <c r="B30" s="827"/>
      <c r="C30" s="823">
        <v>2560</v>
      </c>
      <c r="D30" s="1805"/>
      <c r="E30" s="1807">
        <f>'Expenditures 15-22'!K63-SUM('Expenditures 15-22'!G63,'Expenditures 15-22'!I63)+'Expenditures 15-22'!D268-E10</f>
        <v>291239</v>
      </c>
      <c r="F30" s="1805"/>
      <c r="G30" s="1807">
        <f>'Expenditures 15-22'!K63-SUM('Expenditures 15-22'!G63,'Expenditures 15-22'!I63)+'Expenditures 15-22'!D268-E10</f>
        <v>291239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66526</v>
      </c>
      <c r="F34" s="1805"/>
      <c r="G34" s="1807">
        <f>'Expenditures 15-22'!K68-SUM('Expenditures 15-22'!G68,'Expenditures 15-22'!I68)+'Expenditures 15-22'!D273</f>
        <v>66526</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130681</v>
      </c>
      <c r="E41" s="1809">
        <f>SUM(E19:E40)</f>
        <v>9916510</v>
      </c>
      <c r="F41" s="1809">
        <f>SUM(F19:F39)</f>
        <v>827967</v>
      </c>
      <c r="G41" s="1809">
        <f>SUM(G19:G40)</f>
        <v>9219224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130681</v>
      </c>
      <c r="F43" s="1458" t="s">
        <v>470</v>
      </c>
      <c r="G43" s="1810">
        <f>F41</f>
        <v>827967</v>
      </c>
    </row>
    <row r="44" spans="1:7" ht="12" customHeight="1" x14ac:dyDescent="0.2">
      <c r="A44" s="817"/>
      <c r="B44" s="157"/>
      <c r="C44" s="831"/>
      <c r="D44" s="1458" t="s">
        <v>471</v>
      </c>
      <c r="E44" s="1810">
        <f>E41</f>
        <v>9916510</v>
      </c>
      <c r="F44" s="1458" t="s">
        <v>471</v>
      </c>
      <c r="G44" s="1810">
        <f>G41</f>
        <v>9219224</v>
      </c>
    </row>
    <row r="45" spans="1:7" ht="12" customHeight="1" x14ac:dyDescent="0.2">
      <c r="A45" s="817"/>
      <c r="B45" s="157"/>
      <c r="C45" s="157"/>
      <c r="D45" s="1459" t="s">
        <v>999</v>
      </c>
      <c r="E45" s="1811">
        <f>(E43/E44)</f>
        <v>1.3178124158600153E-2</v>
      </c>
      <c r="F45" s="1459" t="s">
        <v>999</v>
      </c>
      <c r="G45" s="1811">
        <f>(G43/G44)</f>
        <v>8.9808751799500694E-2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Iroquois West CUSD 10</v>
      </c>
      <c r="D6" s="2405"/>
      <c r="E6" s="2405"/>
      <c r="F6" s="1482"/>
      <c r="G6" s="1507"/>
      <c r="L6" s="1507"/>
      <c r="M6" s="1855"/>
      <c r="N6" s="1855"/>
      <c r="O6" s="1855"/>
    </row>
    <row r="7" spans="1:15" ht="11.25" customHeight="1" thickBot="1" x14ac:dyDescent="0.3">
      <c r="A7" s="1480"/>
      <c r="B7" s="1481"/>
      <c r="C7" s="2406">
        <f>COVER!A13</f>
        <v>32038010026</v>
      </c>
      <c r="D7" s="2406"/>
      <c r="E7" s="2406"/>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2060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t="s">
        <v>2048</v>
      </c>
      <c r="F31" s="1497" t="s">
        <v>2061</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 xml:space="preserve"> Iroquois West CUSD 10</v>
      </c>
      <c r="K6" s="2421"/>
      <c r="L6" s="2422"/>
      <c r="M6" s="838"/>
      <c r="N6" s="1999"/>
    </row>
    <row r="7" spans="1:14" x14ac:dyDescent="0.2">
      <c r="A7" s="2423" t="s">
        <v>864</v>
      </c>
      <c r="B7" s="2424"/>
      <c r="C7" s="2424"/>
      <c r="D7" s="2424"/>
      <c r="E7" s="2425"/>
      <c r="F7" s="839"/>
      <c r="G7" s="838"/>
      <c r="H7" s="838"/>
      <c r="I7" s="1925" t="s">
        <v>369</v>
      </c>
      <c r="J7" s="2426">
        <f>COVER!A13</f>
        <v>32038010026</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73055</v>
      </c>
      <c r="F12" s="1943"/>
      <c r="G12" s="1969">
        <f>G68</f>
        <v>9218</v>
      </c>
      <c r="H12" s="1945">
        <f t="shared" ref="H12:H18" si="0">SUM(E12:G12)</f>
        <v>82273</v>
      </c>
      <c r="I12" s="1944">
        <v>158277</v>
      </c>
      <c r="J12" s="1943"/>
      <c r="K12" s="1944"/>
      <c r="L12" s="1945">
        <f t="shared" ref="L12:L18" si="1">SUM(I12:K12)</f>
        <v>158277</v>
      </c>
      <c r="M12" s="838"/>
      <c r="N12" s="1999"/>
    </row>
    <row r="13" spans="1:14" x14ac:dyDescent="0.2">
      <c r="A13" s="2004">
        <v>2</v>
      </c>
      <c r="B13" s="1941" t="s">
        <v>42</v>
      </c>
      <c r="C13" s="842"/>
      <c r="D13" s="1942">
        <v>2330</v>
      </c>
      <c r="E13" s="1945">
        <f>'Expenditures 15-22'!K51</f>
        <v>12607</v>
      </c>
      <c r="F13" s="1943"/>
      <c r="G13" s="1969">
        <f>H68</f>
        <v>0</v>
      </c>
      <c r="H13" s="1945">
        <f t="shared" si="0"/>
        <v>12607</v>
      </c>
      <c r="I13" s="1944">
        <v>13146</v>
      </c>
      <c r="J13" s="1943"/>
      <c r="K13" s="1944"/>
      <c r="L13" s="1945">
        <f t="shared" si="1"/>
        <v>13146</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85662</v>
      </c>
      <c r="F19" s="1951">
        <f t="shared" si="2"/>
        <v>0</v>
      </c>
      <c r="G19" s="1951">
        <f t="shared" ref="G19" si="3">SUM(G12:G17)-G18</f>
        <v>9218</v>
      </c>
      <c r="H19" s="1951">
        <f t="shared" si="2"/>
        <v>94880</v>
      </c>
      <c r="I19" s="1951">
        <f t="shared" si="2"/>
        <v>171423</v>
      </c>
      <c r="J19" s="1951">
        <f t="shared" si="2"/>
        <v>0</v>
      </c>
      <c r="K19" s="1951">
        <f t="shared" si="2"/>
        <v>0</v>
      </c>
      <c r="L19" s="1951">
        <f t="shared" si="2"/>
        <v>171423</v>
      </c>
      <c r="M19" s="838"/>
      <c r="N19" s="1999"/>
    </row>
    <row r="20" spans="1:14" ht="13.5" thickTop="1" x14ac:dyDescent="0.2">
      <c r="A20" s="2004">
        <v>9</v>
      </c>
      <c r="B20" s="2433" t="s">
        <v>2018</v>
      </c>
      <c r="C20" s="2433"/>
      <c r="D20" s="2434"/>
      <c r="E20" s="1952"/>
      <c r="F20" s="1952"/>
      <c r="G20" s="1952"/>
      <c r="H20" s="1952"/>
      <c r="I20" s="1952"/>
      <c r="J20" s="1952"/>
      <c r="K20" s="1952"/>
      <c r="L20" s="1953">
        <f>IF(AND(H19&gt;0,L19&gt;0),(((L19-H19)/H19)),"Enter Budget Data")</f>
        <v>0.80673482293423271</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2021</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2022</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2023</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2024</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48" t="s">
        <v>2026</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 xml:space="preserve"> Iroquois West CUSD 10</v>
      </c>
      <c r="M52" s="2421"/>
      <c r="N52" s="2451"/>
    </row>
    <row r="53" spans="1:14" x14ac:dyDescent="0.2">
      <c r="A53" s="1983"/>
      <c r="B53" s="1984"/>
      <c r="C53" s="1984"/>
      <c r="D53" s="1984"/>
      <c r="E53" s="1984"/>
      <c r="F53" s="1984"/>
      <c r="G53" s="1984"/>
      <c r="H53" s="1984"/>
      <c r="I53" s="1984"/>
      <c r="J53" s="1984"/>
      <c r="K53" s="1925" t="s">
        <v>369</v>
      </c>
      <c r="L53" s="2426">
        <f>J7</f>
        <v>32038010026</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2027</v>
      </c>
      <c r="H55" s="2455"/>
      <c r="I55" s="2455"/>
      <c r="J55" s="2455"/>
      <c r="K55" s="2455"/>
      <c r="L55" s="2455"/>
      <c r="M55" s="2455"/>
      <c r="N55" s="2456"/>
    </row>
    <row r="56" spans="1:14" ht="63.75" x14ac:dyDescent="0.2">
      <c r="A56" s="2457" t="s">
        <v>2028</v>
      </c>
      <c r="B56" s="2458"/>
      <c r="C56" s="2459"/>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2038</v>
      </c>
      <c r="B58" s="2440"/>
      <c r="C58" s="244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2" t="s">
        <v>297</v>
      </c>
      <c r="B59" s="2463"/>
      <c r="C59" s="246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2" t="s">
        <v>236</v>
      </c>
      <c r="B60" s="2463"/>
      <c r="C60" s="246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2" t="s">
        <v>697</v>
      </c>
      <c r="B61" s="2463"/>
      <c r="C61" s="2463"/>
      <c r="D61" s="1968">
        <v>2365</v>
      </c>
      <c r="E61" s="1978">
        <f>'Expenditures 15-22'!K323</f>
        <v>0</v>
      </c>
      <c r="F61" s="1973"/>
      <c r="G61" s="2032"/>
      <c r="H61" s="2033"/>
      <c r="I61" s="2033"/>
      <c r="J61" s="2033"/>
      <c r="K61" s="2033"/>
      <c r="L61" s="2033"/>
      <c r="M61" s="2033"/>
      <c r="N61" s="1976">
        <f t="shared" si="4"/>
        <v>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463182</v>
      </c>
      <c r="F63" s="1973"/>
      <c r="G63" s="2032">
        <v>9218</v>
      </c>
      <c r="H63" s="2033"/>
      <c r="I63" s="2033"/>
      <c r="J63" s="2033"/>
      <c r="K63" s="2033"/>
      <c r="L63" s="2033"/>
      <c r="M63" s="2033">
        <v>453964</v>
      </c>
      <c r="N63" s="1976">
        <f t="shared" si="4"/>
        <v>463182</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0</v>
      </c>
      <c r="F65" s="1973"/>
      <c r="G65" s="2032"/>
      <c r="H65" s="2033"/>
      <c r="I65" s="2033"/>
      <c r="J65" s="2033"/>
      <c r="K65" s="2033"/>
      <c r="L65" s="2033"/>
      <c r="M65" s="2033"/>
      <c r="N65" s="1976">
        <f t="shared" si="4"/>
        <v>0</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2039</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463182</v>
      </c>
      <c r="F68" s="1974"/>
      <c r="G68" s="1975">
        <f t="shared" ref="G68:N68" si="5">SUM(G57:G67)</f>
        <v>9218</v>
      </c>
      <c r="H68" s="1975">
        <f t="shared" si="5"/>
        <v>0</v>
      </c>
      <c r="I68" s="1975">
        <f t="shared" si="5"/>
        <v>0</v>
      </c>
      <c r="J68" s="1975">
        <f t="shared" si="5"/>
        <v>0</v>
      </c>
      <c r="K68" s="1975">
        <f t="shared" si="5"/>
        <v>0</v>
      </c>
      <c r="L68" s="1975">
        <f t="shared" si="5"/>
        <v>0</v>
      </c>
      <c r="M68" s="1975">
        <f t="shared" si="5"/>
        <v>453964</v>
      </c>
      <c r="N68" s="1989">
        <f t="shared" si="5"/>
        <v>463182</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2"/>
  <sheetViews>
    <sheetView showGridLines="0" topLeftCell="A4" zoomScale="110" zoomScaleNormal="110" workbookViewId="0">
      <selection activeCell="B28" sqref="B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2068</v>
      </c>
    </row>
    <row r="6" spans="1:2" x14ac:dyDescent="0.2">
      <c r="A6" s="847"/>
      <c r="B6" s="307" t="s">
        <v>2069</v>
      </c>
    </row>
    <row r="7" spans="1:2" x14ac:dyDescent="0.2">
      <c r="A7" s="847"/>
      <c r="B7" s="2037" t="s">
        <v>2071</v>
      </c>
    </row>
    <row r="8" spans="1:2" x14ac:dyDescent="0.2">
      <c r="A8" s="847"/>
      <c r="B8" s="2037" t="s">
        <v>2070</v>
      </c>
    </row>
    <row r="9" spans="1:2" x14ac:dyDescent="0.2">
      <c r="A9" s="847"/>
      <c r="B9" s="2037" t="s">
        <v>2072</v>
      </c>
    </row>
    <row r="10" spans="1:2" x14ac:dyDescent="0.2">
      <c r="A10" s="847"/>
      <c r="B10" s="2037" t="s">
        <v>2073</v>
      </c>
    </row>
    <row r="11" spans="1:2" x14ac:dyDescent="0.2">
      <c r="A11" s="847"/>
      <c r="B11" s="2037" t="s">
        <v>2074</v>
      </c>
    </row>
    <row r="12" spans="1:2" x14ac:dyDescent="0.2">
      <c r="A12" s="847"/>
      <c r="B12" s="2037" t="s">
        <v>2075</v>
      </c>
    </row>
    <row r="13" spans="1:2" x14ac:dyDescent="0.2">
      <c r="A13" s="847"/>
      <c r="B13" s="2037" t="s">
        <v>2095</v>
      </c>
    </row>
    <row r="14" spans="1:2" x14ac:dyDescent="0.2">
      <c r="A14" s="847"/>
      <c r="B14" s="2037" t="s">
        <v>2076</v>
      </c>
    </row>
    <row r="15" spans="1:2" x14ac:dyDescent="0.2">
      <c r="A15" s="847"/>
      <c r="B15" s="2037" t="s">
        <v>2077</v>
      </c>
    </row>
    <row r="16" spans="1:2" x14ac:dyDescent="0.2">
      <c r="A16" s="847"/>
    </row>
    <row r="17" spans="1:2" x14ac:dyDescent="0.2">
      <c r="A17" s="847">
        <v>2</v>
      </c>
      <c r="B17" s="307" t="s">
        <v>2078</v>
      </c>
    </row>
    <row r="18" spans="1:2" x14ac:dyDescent="0.2">
      <c r="A18" s="847"/>
      <c r="B18" s="307" t="s">
        <v>2079</v>
      </c>
    </row>
    <row r="19" spans="1:2" x14ac:dyDescent="0.2">
      <c r="A19" s="847"/>
      <c r="B19" s="307" t="s">
        <v>2080</v>
      </c>
    </row>
    <row r="20" spans="1:2" x14ac:dyDescent="0.2">
      <c r="A20" s="847"/>
    </row>
    <row r="21" spans="1:2" x14ac:dyDescent="0.2">
      <c r="A21" s="847">
        <v>3</v>
      </c>
      <c r="B21" s="307" t="s">
        <v>2081</v>
      </c>
    </row>
    <row r="22" spans="1:2" x14ac:dyDescent="0.2">
      <c r="A22" s="847"/>
      <c r="B22" s="307" t="s">
        <v>2079</v>
      </c>
    </row>
    <row r="23" spans="1:2" x14ac:dyDescent="0.2">
      <c r="A23" s="847"/>
      <c r="B23" s="307" t="s">
        <v>2082</v>
      </c>
    </row>
    <row r="24" spans="1:2" x14ac:dyDescent="0.2">
      <c r="A24" s="847"/>
    </row>
    <row r="25" spans="1:2" x14ac:dyDescent="0.2">
      <c r="A25" s="847">
        <v>4</v>
      </c>
      <c r="B25" s="307" t="s">
        <v>2083</v>
      </c>
    </row>
    <row r="26" spans="1:2" x14ac:dyDescent="0.2">
      <c r="A26" s="848"/>
      <c r="B26" s="307" t="s">
        <v>2079</v>
      </c>
    </row>
    <row r="27" spans="1:2" x14ac:dyDescent="0.2">
      <c r="A27" s="848"/>
      <c r="B27" s="307" t="s">
        <v>2144</v>
      </c>
    </row>
    <row r="28" spans="1:2" x14ac:dyDescent="0.2">
      <c r="A28" s="848"/>
    </row>
    <row r="29" spans="1:2" x14ac:dyDescent="0.2">
      <c r="A29" s="848"/>
      <c r="B29" s="307" t="s">
        <v>2084</v>
      </c>
    </row>
    <row r="30" spans="1:2" x14ac:dyDescent="0.2">
      <c r="A30" s="848"/>
      <c r="B30" s="307" t="s">
        <v>2085</v>
      </c>
    </row>
    <row r="31" spans="1:2" x14ac:dyDescent="0.2">
      <c r="A31" s="848"/>
    </row>
    <row r="32" spans="1:2" x14ac:dyDescent="0.2">
      <c r="A32" s="848"/>
      <c r="B32" s="307" t="s">
        <v>2086</v>
      </c>
    </row>
    <row r="33" spans="1:2" x14ac:dyDescent="0.2">
      <c r="A33" s="848"/>
      <c r="B33" s="307" t="s">
        <v>2087</v>
      </c>
    </row>
    <row r="34" spans="1:2" x14ac:dyDescent="0.2">
      <c r="A34" s="848"/>
    </row>
    <row r="35" spans="1:2" x14ac:dyDescent="0.2">
      <c r="A35" s="847">
        <v>5</v>
      </c>
      <c r="B35" s="307" t="s">
        <v>2088</v>
      </c>
    </row>
    <row r="36" spans="1:2" x14ac:dyDescent="0.2">
      <c r="A36" s="848"/>
      <c r="B36" s="307" t="s">
        <v>2089</v>
      </c>
    </row>
    <row r="37" spans="1:2" x14ac:dyDescent="0.2">
      <c r="A37" s="848"/>
      <c r="B37" s="307" t="s">
        <v>2090</v>
      </c>
    </row>
    <row r="38" spans="1:2" x14ac:dyDescent="0.2">
      <c r="A38" s="848"/>
    </row>
    <row r="39" spans="1:2" x14ac:dyDescent="0.2">
      <c r="A39" s="847">
        <v>6</v>
      </c>
      <c r="B39" s="368" t="s">
        <v>2091</v>
      </c>
    </row>
    <row r="40" spans="1:2" x14ac:dyDescent="0.2">
      <c r="A40" s="848"/>
      <c r="B40" s="307" t="s">
        <v>2092</v>
      </c>
    </row>
    <row r="41" spans="1:2" x14ac:dyDescent="0.2">
      <c r="A41" s="848"/>
    </row>
    <row r="42" spans="1:2" x14ac:dyDescent="0.2">
      <c r="A42" s="847">
        <v>7</v>
      </c>
      <c r="B42" s="368" t="s">
        <v>2093</v>
      </c>
    </row>
    <row r="43" spans="1:2" x14ac:dyDescent="0.2">
      <c r="A43" s="848"/>
      <c r="B43" s="307" t="s">
        <v>2094</v>
      </c>
    </row>
    <row r="44" spans="1:2" x14ac:dyDescent="0.2">
      <c r="A44" s="848"/>
      <c r="B44" s="307" t="s">
        <v>2059</v>
      </c>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c r="B81" s="253" t="str">
        <f>COVER!A17</f>
        <v xml:space="preserve"> Iroquois West CUSD 10</v>
      </c>
    </row>
    <row r="82" spans="1:2" x14ac:dyDescent="0.2">
      <c r="B82" s="849">
        <f>COVER!A13</f>
        <v>32038010026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9868226</v>
      </c>
      <c r="C8" s="1813">
        <f>'Acct Summary 7-8'!D8</f>
        <v>642939</v>
      </c>
      <c r="D8" s="1813">
        <f>'Acct Summary 7-8'!F8</f>
        <v>521310</v>
      </c>
      <c r="E8" s="1813">
        <f>'Acct Summary 7-8'!I8</f>
        <v>51278</v>
      </c>
      <c r="F8" s="1813">
        <f>SUM(B8:E8)</f>
        <v>11083753</v>
      </c>
    </row>
    <row r="9" spans="1:8" s="858" customFormat="1" ht="14.25" customHeight="1" thickBot="1" x14ac:dyDescent="0.25">
      <c r="A9" s="857" t="s">
        <v>1353</v>
      </c>
      <c r="B9" s="1814">
        <f>'Acct Summary 7-8'!C17</f>
        <v>9476198</v>
      </c>
      <c r="C9" s="1814">
        <f>'Acct Summary 7-8'!D17</f>
        <v>651956</v>
      </c>
      <c r="D9" s="1814">
        <f>'Acct Summary 7-8'!F17</f>
        <v>818478</v>
      </c>
      <c r="E9" s="1813"/>
      <c r="F9" s="1813">
        <f>SUM(B9:E9)</f>
        <v>10946632</v>
      </c>
    </row>
    <row r="10" spans="1:8" s="858" customFormat="1" ht="14.25" thickTop="1" thickBot="1" x14ac:dyDescent="0.25">
      <c r="A10" s="859" t="s">
        <v>1354</v>
      </c>
      <c r="B10" s="1815">
        <f>(B8-B9)</f>
        <v>392028</v>
      </c>
      <c r="C10" s="1815">
        <f>(C8-C9)</f>
        <v>-9017</v>
      </c>
      <c r="D10" s="1815">
        <f>(D8-D9)</f>
        <v>-297168</v>
      </c>
      <c r="E10" s="1814">
        <f>(E8-E9)</f>
        <v>51278</v>
      </c>
      <c r="F10" s="1816">
        <f>SUM(F8-F9)</f>
        <v>137121</v>
      </c>
    </row>
    <row r="11" spans="1:8" s="858" customFormat="1" ht="14.25" thickTop="1" thickBot="1" x14ac:dyDescent="0.25">
      <c r="A11" s="860" t="s">
        <v>1900</v>
      </c>
      <c r="B11" s="1817">
        <f>'Acct Summary 7-8'!C81</f>
        <v>7146937</v>
      </c>
      <c r="C11" s="1817">
        <f>'Acct Summary 7-8'!D81</f>
        <v>1179016</v>
      </c>
      <c r="D11" s="1817">
        <f>'Acct Summary 7-8'!F81</f>
        <v>27546</v>
      </c>
      <c r="E11" s="1817">
        <f>'Acct Summary 7-8'!I81</f>
        <v>2076487</v>
      </c>
      <c r="F11" s="1818">
        <f>SUM(B11:E11)</f>
        <v>10429986</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32038010026</v>
      </c>
      <c r="E2" s="1542">
        <v>2020</v>
      </c>
      <c r="F2" s="1542">
        <v>1</v>
      </c>
      <c r="G2" s="1899">
        <v>101000300</v>
      </c>
    </row>
    <row r="3" spans="1:7" ht="15" x14ac:dyDescent="0.25">
      <c r="A3" t="s">
        <v>950</v>
      </c>
      <c r="B3" s="135" t="str">
        <f>COVER!A15</f>
        <v>IROQUOIS</v>
      </c>
      <c r="E3" s="1830" t="s">
        <v>1968</v>
      </c>
      <c r="F3" s="1830" t="s">
        <v>1967</v>
      </c>
      <c r="G3" s="1899">
        <v>101000400</v>
      </c>
    </row>
    <row r="4" spans="1:7" ht="15" x14ac:dyDescent="0.25">
      <c r="A4" t="s">
        <v>1000</v>
      </c>
      <c r="B4" s="135" t="str">
        <f>COVER!A17</f>
        <v xml:space="preserve"> Iroquois West CUSD 10</v>
      </c>
      <c r="E4" s="1828">
        <v>44119</v>
      </c>
      <c r="F4" s="1829">
        <v>44151</v>
      </c>
      <c r="G4" s="1899">
        <v>101000600</v>
      </c>
    </row>
    <row r="5" spans="1:7" ht="15" x14ac:dyDescent="0.25">
      <c r="A5" t="s">
        <v>699</v>
      </c>
      <c r="B5" s="135" t="str">
        <f>COVER!A38</f>
        <v>Angelo Lekkas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4809617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7146937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7146937</v>
      </c>
      <c r="D92" s="2" t="str">
        <f t="shared" si="0"/>
        <v>Error?</v>
      </c>
      <c r="G92" s="1899">
        <v>102640600</v>
      </c>
    </row>
    <row r="93" spans="1:7" ht="15" x14ac:dyDescent="0.25">
      <c r="A93" s="5">
        <v>32</v>
      </c>
      <c r="B93" s="1832">
        <f>'Assets-Liab 5-6'!C41</f>
        <v>7146937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898251</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1179016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1179016</v>
      </c>
      <c r="D123" s="2" t="str">
        <f t="shared" si="0"/>
        <v>Error?</v>
      </c>
      <c r="G123" s="1899">
        <v>203000400</v>
      </c>
    </row>
    <row r="124" spans="1:7" ht="15" x14ac:dyDescent="0.25">
      <c r="A124" s="5">
        <v>63</v>
      </c>
      <c r="B124" s="1832">
        <f>'Assets-Liab 5-6'!D41</f>
        <v>1179016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13616</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14663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14663</v>
      </c>
      <c r="D140" s="2" t="str">
        <f t="shared" si="1"/>
        <v>Error?</v>
      </c>
    </row>
    <row r="141" spans="1:7" x14ac:dyDescent="0.2">
      <c r="A141" s="5">
        <v>80</v>
      </c>
      <c r="B141" s="1832">
        <f>'Assets-Liab 5-6'!E41</f>
        <v>14663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147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27546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27546</v>
      </c>
      <c r="D170" s="2" t="str">
        <f t="shared" si="1"/>
        <v>Error?</v>
      </c>
    </row>
    <row r="171" spans="1:4" x14ac:dyDescent="0.2">
      <c r="A171" s="5">
        <v>110</v>
      </c>
      <c r="B171" s="1832">
        <f>'Assets-Liab 5-6'!F41</f>
        <v>27546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368511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670860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670860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15000</v>
      </c>
      <c r="D273" s="2" t="str">
        <f t="shared" si="3"/>
        <v>Error?</v>
      </c>
    </row>
    <row r="274" spans="1:4" x14ac:dyDescent="0.2">
      <c r="A274" s="5">
        <v>213</v>
      </c>
      <c r="B274" s="1832">
        <f>'Assets-Liab 5-6'!M17</f>
        <v>9123679</v>
      </c>
      <c r="D274" s="2" t="str">
        <f t="shared" si="3"/>
        <v>Error?</v>
      </c>
    </row>
    <row r="275" spans="1:4" x14ac:dyDescent="0.2">
      <c r="A275" s="5">
        <v>214</v>
      </c>
      <c r="B275" s="1832">
        <f>'Assets-Liab 5-6'!M18</f>
        <v>1162696</v>
      </c>
      <c r="D275" s="2" t="str">
        <f t="shared" si="3"/>
        <v>Error?</v>
      </c>
    </row>
    <row r="276" spans="1:4" x14ac:dyDescent="0.2">
      <c r="A276" s="5">
        <v>215</v>
      </c>
      <c r="B276" s="1832">
        <f>'Assets-Liab 5-6'!M19</f>
        <v>2581935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12883310</v>
      </c>
      <c r="C279" s="2" t="s">
        <v>569</v>
      </c>
      <c r="D279" s="2" t="str">
        <f t="shared" si="3"/>
        <v>Error?</v>
      </c>
    </row>
    <row r="280" spans="1:4" x14ac:dyDescent="0.2">
      <c r="A280" s="5">
        <v>219</v>
      </c>
      <c r="B280" s="1832">
        <f>'Assets-Liab 5-6'!M40</f>
        <v>12883310</v>
      </c>
      <c r="D280" s="2" t="str">
        <f t="shared" si="3"/>
        <v>Error?</v>
      </c>
    </row>
    <row r="281" spans="1:4" x14ac:dyDescent="0.2">
      <c r="A281" s="5">
        <v>220</v>
      </c>
      <c r="B281" s="1832">
        <f>'Assets-Liab 5-6'!M41</f>
        <v>12883310</v>
      </c>
      <c r="C281" s="2" t="s">
        <v>569</v>
      </c>
      <c r="D281" s="2" t="str">
        <f t="shared" si="3"/>
        <v>Error?</v>
      </c>
    </row>
    <row r="282" spans="1:4" x14ac:dyDescent="0.2">
      <c r="A282" s="5">
        <v>221</v>
      </c>
      <c r="B282" s="1832">
        <f>'Assets-Liab 5-6'!N21</f>
        <v>14663</v>
      </c>
      <c r="D282" s="2" t="str">
        <f t="shared" si="3"/>
        <v>Error?</v>
      </c>
    </row>
    <row r="283" spans="1:4" x14ac:dyDescent="0.2">
      <c r="A283" s="5">
        <v>222</v>
      </c>
      <c r="B283" s="1832">
        <f>'Assets-Liab 5-6'!N22</f>
        <v>1520337</v>
      </c>
      <c r="D283" s="2" t="str">
        <f t="shared" si="3"/>
        <v>Error?</v>
      </c>
    </row>
    <row r="284" spans="1:4" x14ac:dyDescent="0.2">
      <c r="A284" s="5">
        <v>223</v>
      </c>
      <c r="B284" s="1832">
        <f>'Assets-Liab 5-6'!N23</f>
        <v>1535000</v>
      </c>
      <c r="C284" s="2" t="s">
        <v>569</v>
      </c>
      <c r="D284" s="2" t="str">
        <f t="shared" si="3"/>
        <v>Error?</v>
      </c>
    </row>
    <row r="285" spans="1:4" x14ac:dyDescent="0.2">
      <c r="A285" s="5">
        <v>224</v>
      </c>
      <c r="B285" s="1832">
        <f>'Assets-Liab 5-6'!N36</f>
        <v>1535000</v>
      </c>
      <c r="D285" s="2" t="str">
        <f t="shared" si="3"/>
        <v>Error?</v>
      </c>
    </row>
    <row r="286" spans="1:4" x14ac:dyDescent="0.2">
      <c r="A286" s="10">
        <v>225</v>
      </c>
      <c r="B286" s="1832"/>
      <c r="D286" s="2" t="str">
        <f t="shared" si="3"/>
        <v>OK</v>
      </c>
    </row>
    <row r="287" spans="1:4" x14ac:dyDescent="0.2">
      <c r="A287" s="5">
        <v>226</v>
      </c>
      <c r="B287" s="1832">
        <f>'Assets-Liab 5-6'!N37</f>
        <v>1535000</v>
      </c>
      <c r="C287" s="2" t="s">
        <v>569</v>
      </c>
      <c r="D287" s="2" t="str">
        <f t="shared" si="3"/>
        <v>Error?</v>
      </c>
    </row>
    <row r="288" spans="1:4" x14ac:dyDescent="0.2">
      <c r="A288" s="5">
        <v>227</v>
      </c>
      <c r="B288" s="1832">
        <f>'Assets-Liab 5-6'!N41</f>
        <v>1535000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2496648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149613</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221462</v>
      </c>
      <c r="D717" s="2" t="str">
        <f t="shared" si="10"/>
        <v>Error?</v>
      </c>
    </row>
    <row r="718" spans="1:4" x14ac:dyDescent="0.2">
      <c r="A718" s="5">
        <v>657</v>
      </c>
      <c r="B718" s="1832">
        <f>'Expenditures 15-22'!C14</f>
        <v>160388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3342897</v>
      </c>
      <c r="C720" s="2" t="s">
        <v>569</v>
      </c>
      <c r="D720" s="2" t="str">
        <f t="shared" si="10"/>
        <v>Error?</v>
      </c>
    </row>
    <row r="721" spans="1:4" x14ac:dyDescent="0.2">
      <c r="A721" s="5">
        <v>660</v>
      </c>
      <c r="B721" s="1832">
        <f>'Expenditures 15-22'!C36</f>
        <v>94566</v>
      </c>
      <c r="D721" s="2" t="str">
        <f t="shared" si="10"/>
        <v>Error?</v>
      </c>
    </row>
    <row r="722" spans="1:4" x14ac:dyDescent="0.2">
      <c r="A722" s="5">
        <v>661</v>
      </c>
      <c r="B722" s="1832">
        <f>'Expenditures 15-22'!C37</f>
        <v>43575</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18333</v>
      </c>
      <c r="D724" s="2" t="str">
        <f t="shared" si="10"/>
        <v>Error?</v>
      </c>
    </row>
    <row r="725" spans="1:4" x14ac:dyDescent="0.2">
      <c r="A725" s="5">
        <v>664</v>
      </c>
      <c r="B725" s="1832">
        <f>'Expenditures 15-22'!C40</f>
        <v>45437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201911</v>
      </c>
      <c r="C727" s="2" t="s">
        <v>569</v>
      </c>
      <c r="D727" s="2" t="str">
        <f t="shared" si="10"/>
        <v>Error?</v>
      </c>
    </row>
    <row r="728" spans="1:4" x14ac:dyDescent="0.2">
      <c r="A728" s="5">
        <v>667</v>
      </c>
      <c r="B728" s="1832">
        <f>'Expenditures 15-22'!C44</f>
        <v>63923</v>
      </c>
      <c r="D728" s="2" t="str">
        <f t="shared" si="10"/>
        <v>Error?</v>
      </c>
    </row>
    <row r="729" spans="1:4" x14ac:dyDescent="0.2">
      <c r="A729" s="5">
        <v>668</v>
      </c>
      <c r="B729" s="1832">
        <f>'Expenditures 15-22'!C45</f>
        <v>105621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169544</v>
      </c>
      <c r="C731" s="2" t="s">
        <v>569</v>
      </c>
      <c r="D731" s="2" t="str">
        <f t="shared" si="10"/>
        <v>Error?</v>
      </c>
    </row>
    <row r="732" spans="1:4" x14ac:dyDescent="0.2">
      <c r="A732" s="5">
        <v>671</v>
      </c>
      <c r="B732" s="1832">
        <f>'Expenditures 15-22'!C49</f>
        <v>3440</v>
      </c>
      <c r="D732" s="2" t="str">
        <f t="shared" si="10"/>
        <v>Error?</v>
      </c>
    </row>
    <row r="733" spans="1:4" x14ac:dyDescent="0.2">
      <c r="A733" s="5">
        <v>672</v>
      </c>
      <c r="B733" s="1832">
        <f>'Expenditures 15-22'!C50</f>
        <v>70200</v>
      </c>
      <c r="D733" s="2" t="str">
        <f t="shared" si="10"/>
        <v>Error?</v>
      </c>
    </row>
    <row r="734" spans="1:4" x14ac:dyDescent="0.2">
      <c r="A734" s="5">
        <v>673</v>
      </c>
      <c r="B734" s="1832">
        <f>'Expenditures 15-22'!C53</f>
        <v>86139</v>
      </c>
      <c r="C734" s="2" t="s">
        <v>569</v>
      </c>
      <c r="D734" s="2" t="str">
        <f t="shared" si="10"/>
        <v>Error?</v>
      </c>
    </row>
    <row r="735" spans="1:4" x14ac:dyDescent="0.2">
      <c r="A735" s="5">
        <v>674</v>
      </c>
      <c r="B735" s="1832">
        <f>'Expenditures 15-22'!C55</f>
        <v>436248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436248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68578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113460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182038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7165</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7165</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1083045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4425942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649067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27390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44287</v>
      </c>
      <c r="D775" s="2" t="str">
        <f t="shared" si="11"/>
        <v>Error?</v>
      </c>
    </row>
    <row r="776" spans="1:4" x14ac:dyDescent="0.2">
      <c r="A776" s="5">
        <v>715</v>
      </c>
      <c r="B776" s="1832">
        <f>'Expenditures 15-22'!D14</f>
        <v>10801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843958</v>
      </c>
      <c r="C778" s="2" t="s">
        <v>569</v>
      </c>
      <c r="D778" s="2" t="str">
        <f t="shared" si="11"/>
        <v>Error?</v>
      </c>
    </row>
    <row r="779" spans="1:4" x14ac:dyDescent="0.2">
      <c r="A779" s="5">
        <v>718</v>
      </c>
      <c r="B779" s="1832">
        <f>'Expenditures 15-22'!D36</f>
        <v>42392</v>
      </c>
      <c r="D779" s="2" t="str">
        <f t="shared" si="11"/>
        <v>Error?</v>
      </c>
    </row>
    <row r="780" spans="1:4" x14ac:dyDescent="0.2">
      <c r="A780" s="5">
        <v>719</v>
      </c>
      <c r="B780" s="1832">
        <f>'Expenditures 15-22'!D37</f>
        <v>15287</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9009</v>
      </c>
      <c r="D782" s="2" t="str">
        <f t="shared" si="11"/>
        <v>Error?</v>
      </c>
    </row>
    <row r="783" spans="1:4" x14ac:dyDescent="0.2">
      <c r="A783" s="5">
        <v>722</v>
      </c>
      <c r="B783" s="1832">
        <f>'Expenditures 15-22'!D40</f>
        <v>5538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72226</v>
      </c>
      <c r="C785" s="2" t="s">
        <v>569</v>
      </c>
      <c r="D785" s="2" t="str">
        <f t="shared" si="11"/>
        <v>Error?</v>
      </c>
    </row>
    <row r="786" spans="1:4" x14ac:dyDescent="0.2">
      <c r="A786" s="5">
        <v>725</v>
      </c>
      <c r="B786" s="1832">
        <f>'Expenditures 15-22'!D44</f>
        <v>1065</v>
      </c>
      <c r="D786" s="2" t="str">
        <f t="shared" si="11"/>
        <v>Error?</v>
      </c>
    </row>
    <row r="787" spans="1:4" x14ac:dyDescent="0.2">
      <c r="A787" s="5">
        <v>726</v>
      </c>
      <c r="B787" s="1832">
        <f>'Expenditures 15-22'!D45</f>
        <v>17743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18808</v>
      </c>
      <c r="C789" s="2" t="s">
        <v>569</v>
      </c>
      <c r="D789" s="2" t="str">
        <f t="shared" si="11"/>
        <v>Error?</v>
      </c>
    </row>
    <row r="790" spans="1:4" x14ac:dyDescent="0.2">
      <c r="A790" s="5">
        <v>729</v>
      </c>
      <c r="B790" s="1832">
        <f>'Expenditures 15-22'!D49</f>
        <v>994</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994</v>
      </c>
      <c r="C792" s="2" t="s">
        <v>569</v>
      </c>
      <c r="D792" s="2" t="str">
        <f t="shared" si="11"/>
        <v>Error?</v>
      </c>
    </row>
    <row r="793" spans="1:4" x14ac:dyDescent="0.2">
      <c r="A793" s="5">
        <v>732</v>
      </c>
      <c r="B793" s="1832">
        <f>'Expenditures 15-22'!D55</f>
        <v>77235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77235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18438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22190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40628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748</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748</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210639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1054597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29679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4302</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84172</v>
      </c>
      <c r="D833" s="2" t="str">
        <f t="shared" si="12"/>
        <v>Error?</v>
      </c>
    </row>
    <row r="834" spans="1:4" x14ac:dyDescent="0.2">
      <c r="A834" s="5">
        <v>773</v>
      </c>
      <c r="B834" s="1832">
        <f>'Expenditures 15-22'!E14</f>
        <v>20861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1805110</v>
      </c>
      <c r="C836" s="2" t="s">
        <v>569</v>
      </c>
      <c r="D836" s="2" t="str">
        <f t="shared" si="12"/>
        <v>Error?</v>
      </c>
    </row>
    <row r="837" spans="1:4" x14ac:dyDescent="0.2">
      <c r="A837" s="5">
        <v>776</v>
      </c>
      <c r="B837" s="1832">
        <f>'Expenditures 15-22'!E36</f>
        <v>626</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3405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593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4624</v>
      </c>
      <c r="C843" s="2" t="s">
        <v>569</v>
      </c>
      <c r="D843" s="2" t="str">
        <f t="shared" si="12"/>
        <v>Error?</v>
      </c>
    </row>
    <row r="844" spans="1:4" x14ac:dyDescent="0.2">
      <c r="A844" s="5">
        <v>783</v>
      </c>
      <c r="B844" s="1832">
        <f>'Expenditures 15-22'!E44</f>
        <v>277</v>
      </c>
      <c r="D844" s="2" t="str">
        <f t="shared" si="12"/>
        <v>Error?</v>
      </c>
    </row>
    <row r="845" spans="1:4" x14ac:dyDescent="0.2">
      <c r="A845" s="5">
        <v>784</v>
      </c>
      <c r="B845" s="1832">
        <f>'Expenditures 15-22'!E45</f>
        <v>28393</v>
      </c>
      <c r="D845" s="2" t="str">
        <f t="shared" si="12"/>
        <v>Error?</v>
      </c>
    </row>
    <row r="846" spans="1:4" x14ac:dyDescent="0.2">
      <c r="A846" s="5">
        <v>785</v>
      </c>
      <c r="B846" s="1832">
        <f>'Expenditures 15-22'!E46</f>
        <v>15564</v>
      </c>
      <c r="D846" s="2" t="str">
        <f t="shared" si="12"/>
        <v>Error?</v>
      </c>
    </row>
    <row r="847" spans="1:4" x14ac:dyDescent="0.2">
      <c r="A847" s="5">
        <v>786</v>
      </c>
      <c r="B847" s="1832">
        <f>'Expenditures 15-22'!E47</f>
        <v>44234</v>
      </c>
      <c r="C847" s="2" t="s">
        <v>569</v>
      </c>
      <c r="D847" s="2" t="str">
        <f t="shared" si="12"/>
        <v>Error?</v>
      </c>
    </row>
    <row r="848" spans="1:4" x14ac:dyDescent="0.2">
      <c r="A848" s="5">
        <v>787</v>
      </c>
      <c r="B848" s="1832">
        <f>'Expenditures 15-22'!E49</f>
        <v>42408</v>
      </c>
      <c r="D848" s="2" t="str">
        <f t="shared" si="12"/>
        <v>Error?</v>
      </c>
    </row>
    <row r="849" spans="1:4" x14ac:dyDescent="0.2">
      <c r="A849" s="5">
        <v>788</v>
      </c>
      <c r="B849" s="1832">
        <f>'Expenditures 15-22'!E50</f>
        <v>2200</v>
      </c>
      <c r="D849" s="2" t="str">
        <f t="shared" si="12"/>
        <v>Error?</v>
      </c>
    </row>
    <row r="850" spans="1:4" x14ac:dyDescent="0.2">
      <c r="A850" s="5">
        <v>789</v>
      </c>
      <c r="B850" s="1832">
        <f>'Expenditures 15-22'!E53</f>
        <v>44666</v>
      </c>
      <c r="C850" s="2" t="s">
        <v>569</v>
      </c>
      <c r="D850" s="2" t="str">
        <f t="shared" si="12"/>
        <v>Error?</v>
      </c>
    </row>
    <row r="851" spans="1:4" x14ac:dyDescent="0.2">
      <c r="A851" s="5">
        <v>790</v>
      </c>
      <c r="B851" s="1832">
        <f>'Expenditures 15-22'!E55</f>
        <v>1593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1593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29735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10756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40491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5000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5000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140608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3547353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42097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1530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10378</v>
      </c>
      <c r="D891" s="2" t="str">
        <f t="shared" si="12"/>
        <v>Error?</v>
      </c>
    </row>
    <row r="892" spans="1:4" x14ac:dyDescent="0.2">
      <c r="A892" s="5">
        <v>831</v>
      </c>
      <c r="B892" s="1832">
        <f>'Expenditures 15-22'!F14</f>
        <v>27571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102977</v>
      </c>
      <c r="C894" s="2" t="s">
        <v>569</v>
      </c>
      <c r="D894" s="2" t="str">
        <f t="shared" si="12"/>
        <v>Error?</v>
      </c>
    </row>
    <row r="895" spans="1:4" x14ac:dyDescent="0.2">
      <c r="A895" s="5">
        <v>834</v>
      </c>
      <c r="B895" s="1832">
        <f>'Expenditures 15-22'!F36</f>
        <v>24</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353</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424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38751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38751</v>
      </c>
      <c r="C905" s="2" t="s">
        <v>569</v>
      </c>
      <c r="D905" s="2" t="str">
        <f t="shared" si="13"/>
        <v>Error?</v>
      </c>
    </row>
    <row r="906" spans="1:4" x14ac:dyDescent="0.2">
      <c r="A906" s="5">
        <v>845</v>
      </c>
      <c r="B906" s="1832">
        <f>'Expenditures 15-22'!F49</f>
        <v>587</v>
      </c>
      <c r="D906" s="2" t="str">
        <f t="shared" si="13"/>
        <v>Error?</v>
      </c>
    </row>
    <row r="907" spans="1:4" x14ac:dyDescent="0.2">
      <c r="A907" s="5">
        <v>846</v>
      </c>
      <c r="B907" s="1832">
        <f>'Expenditures 15-22'!F50</f>
        <v>585</v>
      </c>
      <c r="D907" s="2" t="str">
        <f t="shared" si="13"/>
        <v>Error?</v>
      </c>
    </row>
    <row r="908" spans="1:4" x14ac:dyDescent="0.2">
      <c r="A908" s="5">
        <v>847</v>
      </c>
      <c r="B908" s="1832">
        <f>'Expenditures 15-22'!F53</f>
        <v>1172</v>
      </c>
      <c r="C908" s="2" t="s">
        <v>569</v>
      </c>
      <c r="D908" s="2" t="str">
        <f t="shared" si="13"/>
        <v>Error?</v>
      </c>
    </row>
    <row r="909" spans="1:4" x14ac:dyDescent="0.2">
      <c r="A909" s="5">
        <v>848</v>
      </c>
      <c r="B909" s="1832">
        <f>'Expenditures 15-22'!F55</f>
        <v>18259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18259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1628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124674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126302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53613</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53613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238521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341498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801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19026</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19026</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19026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19827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515</v>
      </c>
      <c r="D1007" s="2" t="str">
        <f t="shared" si="14"/>
        <v>Error?</v>
      </c>
    </row>
    <row r="1008" spans="1:4" x14ac:dyDescent="0.2">
      <c r="A1008" s="5">
        <v>947</v>
      </c>
      <c r="B1008" s="1832">
        <f>'Expenditures 15-22'!H14</f>
        <v>15617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16132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102</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102</v>
      </c>
      <c r="C1017" s="2" t="s">
        <v>569</v>
      </c>
      <c r="D1017" s="2" t="str">
        <f t="shared" si="14"/>
        <v>Error?</v>
      </c>
    </row>
    <row r="1018" spans="1:4" x14ac:dyDescent="0.2">
      <c r="A1018" s="5">
        <v>957</v>
      </c>
      <c r="B1018" s="1832">
        <f>'Expenditures 15-22'!H44</f>
        <v>299</v>
      </c>
      <c r="D1018" s="2" t="str">
        <f t="shared" si="14"/>
        <v>Error?</v>
      </c>
    </row>
    <row r="1019" spans="1:4" x14ac:dyDescent="0.2">
      <c r="A1019" s="5">
        <v>958</v>
      </c>
      <c r="B1019" s="1832">
        <f>'Expenditures 15-22'!H45</f>
        <v>1830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2129</v>
      </c>
      <c r="C1021" s="2" t="s">
        <v>569</v>
      </c>
      <c r="D1021" s="2" t="str">
        <f t="shared" si="14"/>
        <v>Error?</v>
      </c>
    </row>
    <row r="1022" spans="1:4" x14ac:dyDescent="0.2">
      <c r="A1022" s="5">
        <v>961</v>
      </c>
      <c r="B1022" s="1832">
        <f>'Expenditures 15-22'!H49</f>
        <v>67070</v>
      </c>
      <c r="D1022" s="2" t="str">
        <f t="shared" si="14"/>
        <v>Error?</v>
      </c>
    </row>
    <row r="1023" spans="1:4" x14ac:dyDescent="0.2">
      <c r="A1023" s="5">
        <v>962</v>
      </c>
      <c r="B1023" s="1832">
        <f>'Expenditures 15-22'!H50</f>
        <v>70</v>
      </c>
      <c r="D1023" s="2" t="str">
        <f t="shared" ref="D1023:D1086" si="15">IF(ISBLANK(B1023),"OK",IF(A1023-B1023=0,"OK","Error?"))</f>
        <v>Error?</v>
      </c>
    </row>
    <row r="1024" spans="1:4" x14ac:dyDescent="0.2">
      <c r="A1024" s="5">
        <v>963</v>
      </c>
      <c r="B1024" s="1832">
        <f>'Expenditures 15-22'!H53</f>
        <v>67190</v>
      </c>
      <c r="C1024" s="2" t="s">
        <v>569</v>
      </c>
      <c r="D1024" s="2" t="str">
        <f t="shared" si="15"/>
        <v>Error?</v>
      </c>
    </row>
    <row r="1025" spans="1:4" x14ac:dyDescent="0.2">
      <c r="A1025" s="5">
        <v>964</v>
      </c>
      <c r="B1025" s="1832">
        <f>'Expenditures 15-22'!H55</f>
        <v>1428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1428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70849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86981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3217491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182835</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360814</v>
      </c>
      <c r="C1105" s="2" t="s">
        <v>569</v>
      </c>
      <c r="D1105" s="2" t="str">
        <f t="shared" si="16"/>
        <v>Error?</v>
      </c>
    </row>
    <row r="1106" spans="1:4" x14ac:dyDescent="0.2">
      <c r="A1106" s="5">
        <v>1045</v>
      </c>
      <c r="B1106" s="1832">
        <f>'Expenditures 15-22'!K14</f>
        <v>236039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6111875</v>
      </c>
      <c r="C1108" s="2" t="s">
        <v>569</v>
      </c>
      <c r="D1108" s="2" t="str">
        <f t="shared" si="16"/>
        <v>Error?</v>
      </c>
    </row>
    <row r="1109" spans="1:4" x14ac:dyDescent="0.2">
      <c r="A1109" s="5">
        <v>1048</v>
      </c>
      <c r="B1109" s="1832">
        <f>'Expenditures 15-22'!K36</f>
        <v>137608</v>
      </c>
      <c r="C1109" s="2" t="s">
        <v>569</v>
      </c>
      <c r="D1109" s="2" t="str">
        <f t="shared" si="16"/>
        <v>Error?</v>
      </c>
    </row>
    <row r="1110" spans="1:4" x14ac:dyDescent="0.2">
      <c r="A1110" s="5">
        <v>1049</v>
      </c>
      <c r="B1110" s="1832">
        <f>'Expenditures 15-22'!K37</f>
        <v>58862</v>
      </c>
      <c r="C1110" s="2" t="s">
        <v>569</v>
      </c>
      <c r="D1110" s="2" t="str">
        <f t="shared" si="16"/>
        <v>Error?</v>
      </c>
    </row>
    <row r="1111" spans="1:4" x14ac:dyDescent="0.2">
      <c r="A1111" s="5">
        <v>1050</v>
      </c>
      <c r="B1111" s="1832">
        <f>'Expenditures 15-22'!K38</f>
        <v>3452</v>
      </c>
      <c r="C1111" s="2" t="s">
        <v>569</v>
      </c>
      <c r="D1111" s="2" t="str">
        <f t="shared" si="16"/>
        <v>Error?</v>
      </c>
    </row>
    <row r="1112" spans="1:4" x14ac:dyDescent="0.2">
      <c r="A1112" s="5">
        <v>1051</v>
      </c>
      <c r="B1112" s="1832">
        <f>'Expenditures 15-22'!K39</f>
        <v>27342</v>
      </c>
      <c r="C1112" s="2" t="s">
        <v>569</v>
      </c>
      <c r="D1112" s="2" t="str">
        <f t="shared" si="16"/>
        <v>Error?</v>
      </c>
    </row>
    <row r="1113" spans="1:4" x14ac:dyDescent="0.2">
      <c r="A1113" s="5">
        <v>1052</v>
      </c>
      <c r="B1113" s="1832">
        <f>'Expenditures 15-22'!K40</f>
        <v>52023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279287</v>
      </c>
      <c r="C1115" s="2" t="s">
        <v>569</v>
      </c>
      <c r="D1115" s="2" t="str">
        <f t="shared" si="16"/>
        <v>Error?</v>
      </c>
    </row>
    <row r="1116" spans="1:4" x14ac:dyDescent="0.2">
      <c r="A1116" s="5">
        <v>1055</v>
      </c>
      <c r="B1116" s="1832">
        <f>'Expenditures 15-22'!K44</f>
        <v>65564</v>
      </c>
      <c r="C1116" s="2" t="s">
        <v>569</v>
      </c>
      <c r="D1116" s="2" t="str">
        <f t="shared" si="16"/>
        <v>Error?</v>
      </c>
    </row>
    <row r="1117" spans="1:4" x14ac:dyDescent="0.2">
      <c r="A1117" s="5">
        <v>1056</v>
      </c>
      <c r="B1117" s="1832">
        <f>'Expenditures 15-22'!K45</f>
        <v>211364</v>
      </c>
      <c r="C1117" s="2" t="s">
        <v>569</v>
      </c>
      <c r="D1117" s="2" t="str">
        <f t="shared" si="16"/>
        <v>Error?</v>
      </c>
    </row>
    <row r="1118" spans="1:4" x14ac:dyDescent="0.2">
      <c r="A1118" s="5">
        <v>1057</v>
      </c>
      <c r="B1118" s="1832">
        <f>'Expenditures 15-22'!K46</f>
        <v>15564</v>
      </c>
      <c r="C1118" s="2" t="s">
        <v>569</v>
      </c>
      <c r="D1118" s="2" t="str">
        <f t="shared" si="16"/>
        <v>Error?</v>
      </c>
    </row>
    <row r="1119" spans="1:4" x14ac:dyDescent="0.2">
      <c r="A1119" s="5">
        <v>1058</v>
      </c>
      <c r="B1119" s="1832">
        <f>'Expenditures 15-22'!K47</f>
        <v>292492</v>
      </c>
      <c r="C1119" s="2" t="s">
        <v>569</v>
      </c>
      <c r="D1119" s="2" t="str">
        <f t="shared" si="16"/>
        <v>Error?</v>
      </c>
    </row>
    <row r="1120" spans="1:4" x14ac:dyDescent="0.2">
      <c r="A1120" s="5">
        <v>1059</v>
      </c>
      <c r="B1120" s="1832">
        <f>'Expenditures 15-22'!K49</f>
        <v>114499</v>
      </c>
      <c r="C1120" s="2" t="s">
        <v>569</v>
      </c>
      <c r="D1120" s="2" t="str">
        <f t="shared" si="16"/>
        <v>Error?</v>
      </c>
    </row>
    <row r="1121" spans="1:4" x14ac:dyDescent="0.2">
      <c r="A1121" s="5">
        <v>1060</v>
      </c>
      <c r="B1121" s="1832">
        <f>'Expenditures 15-22'!K50</f>
        <v>73055</v>
      </c>
      <c r="C1121" s="2" t="s">
        <v>569</v>
      </c>
      <c r="D1121" s="2" t="str">
        <f t="shared" si="16"/>
        <v>Error?</v>
      </c>
    </row>
    <row r="1122" spans="1:4" x14ac:dyDescent="0.2">
      <c r="A1122" s="5">
        <v>1061</v>
      </c>
      <c r="B1122" s="1832">
        <f>'Expenditures 15-22'!K53</f>
        <v>200161</v>
      </c>
      <c r="C1122" s="2" t="s">
        <v>569</v>
      </c>
      <c r="D1122" s="2" t="str">
        <f t="shared" si="16"/>
        <v>Error?</v>
      </c>
    </row>
    <row r="1123" spans="1:4" x14ac:dyDescent="0.2">
      <c r="A1123" s="5">
        <v>1062</v>
      </c>
      <c r="B1123" s="1832">
        <f>'Expenditures 15-22'!K55</f>
        <v>534763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534763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118379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271080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389459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66526</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66526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1762688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1601635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9476198</v>
      </c>
      <c r="C1152" s="2" t="s">
        <v>569</v>
      </c>
      <c r="D1152" s="2" t="str">
        <f t="shared" si="17"/>
        <v>Error?</v>
      </c>
    </row>
    <row r="1153" spans="1:4" x14ac:dyDescent="0.2">
      <c r="A1153" s="5">
        <v>1092</v>
      </c>
      <c r="B1153" s="1832">
        <f>'Expenditures 15-22'!K115</f>
        <v>392028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208315</v>
      </c>
      <c r="D1221" s="2" t="str">
        <f t="shared" si="18"/>
        <v>Error?</v>
      </c>
    </row>
    <row r="1222" spans="1:4" x14ac:dyDescent="0.2">
      <c r="A1222" s="10">
        <v>1161</v>
      </c>
      <c r="B1222" s="1832"/>
      <c r="D1222" s="2" t="str">
        <f t="shared" si="18"/>
        <v>OK</v>
      </c>
    </row>
    <row r="1223" spans="1:4" x14ac:dyDescent="0.2">
      <c r="A1223" s="5">
        <v>1162</v>
      </c>
      <c r="B1223" s="1832">
        <f>'Expenditures 15-22'!C127</f>
        <v>208315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208315</v>
      </c>
      <c r="C1225" s="2" t="s">
        <v>569</v>
      </c>
      <c r="D1225" s="2" t="str">
        <f t="shared" si="18"/>
        <v>Error?</v>
      </c>
    </row>
    <row r="1226" spans="1:4" x14ac:dyDescent="0.2">
      <c r="A1226" s="5">
        <v>1165</v>
      </c>
      <c r="B1226" s="1832">
        <f>'Expenditures 15-22'!C151</f>
        <v>208315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68523</v>
      </c>
      <c r="D1229" s="2" t="str">
        <f t="shared" si="18"/>
        <v>Error?</v>
      </c>
    </row>
    <row r="1230" spans="1:4" x14ac:dyDescent="0.2">
      <c r="A1230" s="10">
        <v>1169</v>
      </c>
      <c r="B1230" s="1832"/>
      <c r="D1230" s="2" t="str">
        <f t="shared" si="18"/>
        <v>OK</v>
      </c>
    </row>
    <row r="1231" spans="1:4" x14ac:dyDescent="0.2">
      <c r="A1231" s="5">
        <v>1170</v>
      </c>
      <c r="B1231" s="1832">
        <f>'Expenditures 15-22'!D127</f>
        <v>68523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68523</v>
      </c>
      <c r="C1233" s="2" t="s">
        <v>569</v>
      </c>
      <c r="D1233" s="2" t="str">
        <f t="shared" si="18"/>
        <v>Error?</v>
      </c>
    </row>
    <row r="1234" spans="1:4" x14ac:dyDescent="0.2">
      <c r="A1234" s="5">
        <v>1173</v>
      </c>
      <c r="B1234" s="1832">
        <f>'Expenditures 15-22'!D151</f>
        <v>68523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189521</v>
      </c>
      <c r="D1237" s="2" t="str">
        <f t="shared" si="18"/>
        <v>Error?</v>
      </c>
    </row>
    <row r="1238" spans="1:4" x14ac:dyDescent="0.2">
      <c r="A1238" s="10">
        <v>1177</v>
      </c>
      <c r="B1238" s="1832"/>
      <c r="D1238" s="2" t="str">
        <f t="shared" si="18"/>
        <v>OK</v>
      </c>
    </row>
    <row r="1239" spans="1:4" x14ac:dyDescent="0.2">
      <c r="A1239" s="5">
        <v>1178</v>
      </c>
      <c r="B1239" s="1832">
        <f>'Expenditures 15-22'!E127</f>
        <v>189521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189521</v>
      </c>
      <c r="C1241" s="2" t="s">
        <v>569</v>
      </c>
      <c r="D1241" s="2" t="str">
        <f t="shared" si="18"/>
        <v>Error?</v>
      </c>
    </row>
    <row r="1242" spans="1:4" x14ac:dyDescent="0.2">
      <c r="A1242" s="5">
        <v>1181</v>
      </c>
      <c r="B1242" s="1832">
        <f>'Expenditures 15-22'!E151</f>
        <v>189521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185597</v>
      </c>
      <c r="D1245" s="2" t="str">
        <f t="shared" si="18"/>
        <v>Error?</v>
      </c>
    </row>
    <row r="1246" spans="1:4" x14ac:dyDescent="0.2">
      <c r="A1246" s="10">
        <v>1185</v>
      </c>
      <c r="B1246" s="1832"/>
      <c r="D1246" s="2" t="str">
        <f t="shared" si="18"/>
        <v>OK</v>
      </c>
    </row>
    <row r="1247" spans="1:4" x14ac:dyDescent="0.2">
      <c r="A1247" s="5">
        <v>1186</v>
      </c>
      <c r="B1247" s="1832">
        <f>'Expenditures 15-22'!F127</f>
        <v>185597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185597</v>
      </c>
      <c r="C1249" s="2" t="s">
        <v>569</v>
      </c>
      <c r="D1249" s="2" t="str">
        <f t="shared" si="18"/>
        <v>Error?</v>
      </c>
    </row>
    <row r="1250" spans="1:4" x14ac:dyDescent="0.2">
      <c r="A1250" s="5">
        <v>1189</v>
      </c>
      <c r="B1250" s="1832">
        <f>'Expenditures 15-22'!F151</f>
        <v>185597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651956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651956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651956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651956</v>
      </c>
      <c r="C1288" s="2" t="s">
        <v>569</v>
      </c>
      <c r="D1288" s="2" t="str">
        <f t="shared" si="19"/>
        <v>Error?</v>
      </c>
    </row>
    <row r="1289" spans="1:4" x14ac:dyDescent="0.2">
      <c r="A1289" s="5">
        <v>1228</v>
      </c>
      <c r="B1289" s="1832">
        <f>'Expenditures 15-22'!K152</f>
        <v>-9017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48585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95000</v>
      </c>
      <c r="D1315" s="2" t="str">
        <f t="shared" si="19"/>
        <v>Error?</v>
      </c>
    </row>
    <row r="1316" spans="1:4" x14ac:dyDescent="0.2">
      <c r="A1316" s="5">
        <v>1255</v>
      </c>
      <c r="B1316" s="1832">
        <f>'Expenditures 15-22'!H171</f>
        <v>975</v>
      </c>
      <c r="D1316" s="2" t="str">
        <f t="shared" si="19"/>
        <v>Error?</v>
      </c>
    </row>
    <row r="1317" spans="1:4" x14ac:dyDescent="0.2">
      <c r="A1317" s="5">
        <v>1256</v>
      </c>
      <c r="B1317" s="1832">
        <f>'Expenditures 15-22'!H172</f>
        <v>144560</v>
      </c>
      <c r="C1317" s="2" t="s">
        <v>569</v>
      </c>
      <c r="D1317" s="2" t="str">
        <f t="shared" si="19"/>
        <v>Error?</v>
      </c>
    </row>
    <row r="1318" spans="1:4" x14ac:dyDescent="0.2">
      <c r="A1318" s="5">
        <v>1257</v>
      </c>
      <c r="B1318" s="1832">
        <f>'Expenditures 15-22'!H174</f>
        <v>144560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48585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95000</v>
      </c>
      <c r="C1329" s="2" t="s">
        <v>569</v>
      </c>
      <c r="D1329" s="2" t="str">
        <f t="shared" si="19"/>
        <v>Error?</v>
      </c>
    </row>
    <row r="1330" spans="1:4" x14ac:dyDescent="0.2">
      <c r="A1330" s="5">
        <v>1269</v>
      </c>
      <c r="B1330" s="1832">
        <f>'Expenditures 15-22'!K171</f>
        <v>975</v>
      </c>
      <c r="C1330" s="2" t="s">
        <v>569</v>
      </c>
      <c r="D1330" s="2" t="str">
        <f t="shared" si="19"/>
        <v>Error?</v>
      </c>
    </row>
    <row r="1331" spans="1:4" x14ac:dyDescent="0.2">
      <c r="A1331" s="5">
        <v>1270</v>
      </c>
      <c r="B1331" s="1832">
        <f>'Expenditures 15-22'!K172</f>
        <v>144560</v>
      </c>
      <c r="C1331" s="2" t="s">
        <v>569</v>
      </c>
      <c r="D1331" s="2" t="str">
        <f t="shared" si="19"/>
        <v>Error?</v>
      </c>
    </row>
    <row r="1332" spans="1:4" x14ac:dyDescent="0.2">
      <c r="A1332" s="5">
        <v>1271</v>
      </c>
      <c r="B1332" s="1832">
        <f>'Expenditures 15-22'!K174</f>
        <v>144560</v>
      </c>
      <c r="C1332" s="2" t="s">
        <v>569</v>
      </c>
      <c r="D1332" s="2" t="str">
        <f t="shared" si="19"/>
        <v>Error?</v>
      </c>
    </row>
    <row r="1333" spans="1:4" x14ac:dyDescent="0.2">
      <c r="A1333" s="5">
        <v>1272</v>
      </c>
      <c r="B1333" s="1832">
        <f>'Expenditures 15-22'!K175</f>
        <v>262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166836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166836</v>
      </c>
      <c r="C1339" s="2" t="s">
        <v>569</v>
      </c>
      <c r="D1339" s="2" t="str">
        <f t="shared" si="19"/>
        <v>Error?</v>
      </c>
    </row>
    <row r="1340" spans="1:4" x14ac:dyDescent="0.2">
      <c r="A1340" s="5">
        <v>1279</v>
      </c>
      <c r="B1340" s="1832">
        <f>'Expenditures 15-22'!C210</f>
        <v>166836</v>
      </c>
      <c r="C1340" s="2" t="s">
        <v>569</v>
      </c>
      <c r="D1340" s="2" t="str">
        <f t="shared" si="19"/>
        <v>Error?</v>
      </c>
    </row>
    <row r="1341" spans="1:4" x14ac:dyDescent="0.2">
      <c r="A1341" s="5">
        <v>1280</v>
      </c>
      <c r="B1341" s="1832">
        <f>'Expenditures 15-22'!D182</f>
        <v>15500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15500</v>
      </c>
      <c r="C1345" s="2" t="s">
        <v>569</v>
      </c>
      <c r="D1345" s="2" t="str">
        <f t="shared" si="20"/>
        <v>Error?</v>
      </c>
    </row>
    <row r="1346" spans="1:4" x14ac:dyDescent="0.2">
      <c r="A1346" s="5">
        <v>1285</v>
      </c>
      <c r="B1346" s="1832">
        <f>'Expenditures 15-22'!D210</f>
        <v>15500</v>
      </c>
      <c r="C1346" s="2" t="s">
        <v>569</v>
      </c>
      <c r="D1346" s="2" t="str">
        <f t="shared" si="20"/>
        <v>Error?</v>
      </c>
    </row>
    <row r="1347" spans="1:4" x14ac:dyDescent="0.2">
      <c r="A1347" s="5">
        <v>1286</v>
      </c>
      <c r="B1347" s="1832">
        <f>'Expenditures 15-22'!E182</f>
        <v>597343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597343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597343</v>
      </c>
      <c r="C1353" s="2" t="s">
        <v>569</v>
      </c>
      <c r="D1353" s="2" t="str">
        <f t="shared" si="20"/>
        <v>Error?</v>
      </c>
    </row>
    <row r="1354" spans="1:4" x14ac:dyDescent="0.2">
      <c r="A1354" s="5">
        <v>1293</v>
      </c>
      <c r="B1354" s="1832">
        <f>'Expenditures 15-22'!F182</f>
        <v>38799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38799</v>
      </c>
      <c r="C1358" s="2" t="s">
        <v>569</v>
      </c>
      <c r="D1358" s="2" t="str">
        <f t="shared" si="20"/>
        <v>Error?</v>
      </c>
    </row>
    <row r="1359" spans="1:4" x14ac:dyDescent="0.2">
      <c r="A1359" s="5">
        <v>1298</v>
      </c>
      <c r="B1359" s="1832">
        <f>'Expenditures 15-22'!F210</f>
        <v>38799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818478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818478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818478</v>
      </c>
      <c r="C1388" s="2" t="s">
        <v>569</v>
      </c>
      <c r="D1388" s="2" t="str">
        <f t="shared" si="20"/>
        <v>Error?</v>
      </c>
    </row>
    <row r="1389" spans="1:4" x14ac:dyDescent="0.2">
      <c r="A1389" s="5">
        <v>1328</v>
      </c>
      <c r="B1389" s="1832">
        <f>'Expenditures 15-22'!K211</f>
        <v>-297168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12544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3210</v>
      </c>
      <c r="D1407" s="2" t="str">
        <f t="shared" ref="D1407:D1470" si="21">IF(ISBLANK(B1407),"OK",IF(A1407-B1407=0,"OK","Error?"))</f>
        <v>Error?</v>
      </c>
    </row>
    <row r="1408" spans="1:4" x14ac:dyDescent="0.2">
      <c r="A1408" s="5">
        <v>1347</v>
      </c>
      <c r="B1408" s="1832">
        <f>'Expenditures 15-22'!D223</f>
        <v>7490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101720</v>
      </c>
      <c r="C1410" s="2" t="s">
        <v>569</v>
      </c>
      <c r="D1410" s="2" t="str">
        <f t="shared" si="21"/>
        <v>Error?</v>
      </c>
    </row>
    <row r="1411" spans="1:4" x14ac:dyDescent="0.2">
      <c r="A1411" s="5">
        <v>1350</v>
      </c>
      <c r="B1411" s="1832">
        <f>'Expenditures 15-22'!D232</f>
        <v>1646</v>
      </c>
      <c r="D1411" s="2" t="str">
        <f t="shared" si="21"/>
        <v>Error?</v>
      </c>
    </row>
    <row r="1412" spans="1:4" x14ac:dyDescent="0.2">
      <c r="A1412" s="5">
        <v>1351</v>
      </c>
      <c r="B1412" s="1832">
        <f>'Expenditures 15-22'!D233</f>
        <v>702</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2179</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4527</v>
      </c>
      <c r="C1417" s="2" t="s">
        <v>569</v>
      </c>
      <c r="D1417" s="2" t="str">
        <f t="shared" si="21"/>
        <v>Error?</v>
      </c>
    </row>
    <row r="1418" spans="1:4" x14ac:dyDescent="0.2">
      <c r="A1418" s="5">
        <v>1357</v>
      </c>
      <c r="B1418" s="1832">
        <f>'Expenditures 15-22'!D240</f>
        <v>1030</v>
      </c>
      <c r="D1418" s="2" t="str">
        <f t="shared" si="21"/>
        <v>Error?</v>
      </c>
    </row>
    <row r="1419" spans="1:4" x14ac:dyDescent="0.2">
      <c r="A1419" s="5">
        <v>1358</v>
      </c>
      <c r="B1419" s="1832">
        <f>'Expenditures 15-22'!D241</f>
        <v>18631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19661</v>
      </c>
      <c r="C1421" s="2" t="s">
        <v>569</v>
      </c>
      <c r="D1421" s="2" t="str">
        <f t="shared" si="21"/>
        <v>Error?</v>
      </c>
    </row>
    <row r="1422" spans="1:4" x14ac:dyDescent="0.2">
      <c r="A1422" s="5">
        <v>1361</v>
      </c>
      <c r="B1422" s="1832">
        <f>'Expenditures 15-22'!D245</f>
        <v>339</v>
      </c>
      <c r="D1422" s="2" t="str">
        <f t="shared" si="21"/>
        <v>Error?</v>
      </c>
    </row>
    <row r="1423" spans="1:4" x14ac:dyDescent="0.2">
      <c r="A1423" s="5">
        <v>1362</v>
      </c>
      <c r="B1423" s="1832">
        <f>'Expenditures 15-22'!D246</f>
        <v>1131</v>
      </c>
      <c r="D1423" s="2" t="str">
        <f t="shared" si="21"/>
        <v>Error?</v>
      </c>
    </row>
    <row r="1424" spans="1:4" x14ac:dyDescent="0.2">
      <c r="A1424" s="5">
        <v>1363</v>
      </c>
      <c r="B1424" s="1832">
        <f>'Expenditures 15-22'!D257</f>
        <v>1832</v>
      </c>
      <c r="C1424" s="2" t="s">
        <v>569</v>
      </c>
      <c r="D1424" s="2" t="str">
        <f t="shared" si="21"/>
        <v>Error?</v>
      </c>
    </row>
    <row r="1425" spans="1:4" x14ac:dyDescent="0.2">
      <c r="A1425" s="5">
        <v>1364</v>
      </c>
      <c r="B1425" s="1832">
        <f>'Expenditures 15-22'!D259</f>
        <v>27597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27597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12302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45330</v>
      </c>
      <c r="D1431" s="2" t="str">
        <f t="shared" si="21"/>
        <v>Error?</v>
      </c>
    </row>
    <row r="1432" spans="1:4" x14ac:dyDescent="0.2">
      <c r="A1432" s="5">
        <v>1371</v>
      </c>
      <c r="B1432" s="1832">
        <f>'Expenditures 15-22'!D267</f>
        <v>25711</v>
      </c>
      <c r="D1432" s="2" t="str">
        <f t="shared" si="21"/>
        <v>Error?</v>
      </c>
    </row>
    <row r="1433" spans="1:4" x14ac:dyDescent="0.2">
      <c r="A1433" s="5">
        <v>1372</v>
      </c>
      <c r="B1433" s="1832">
        <f>'Expenditures 15-22'!D268</f>
        <v>20159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103502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157119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258839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12544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3210</v>
      </c>
      <c r="C1471" s="2" t="s">
        <v>569</v>
      </c>
      <c r="D1471" s="2" t="str">
        <f t="shared" ref="D1471:D1534" si="22">IF(ISBLANK(B1471),"OK",IF(A1471-B1471=0,"OK","Error?"))</f>
        <v>Error?</v>
      </c>
    </row>
    <row r="1472" spans="1:4" x14ac:dyDescent="0.2">
      <c r="A1472" s="5">
        <v>1411</v>
      </c>
      <c r="B1472" s="1832">
        <f>'Expenditures 15-22'!K223</f>
        <v>7490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101720</v>
      </c>
      <c r="C1474" s="2" t="s">
        <v>569</v>
      </c>
      <c r="D1474" s="2" t="str">
        <f t="shared" si="22"/>
        <v>Error?</v>
      </c>
    </row>
    <row r="1475" spans="1:4" x14ac:dyDescent="0.2">
      <c r="A1475" s="5">
        <v>1414</v>
      </c>
      <c r="B1475" s="1832">
        <f>'Expenditures 15-22'!K232</f>
        <v>1646</v>
      </c>
      <c r="C1475" s="2" t="s">
        <v>569</v>
      </c>
      <c r="D1475" s="2" t="str">
        <f t="shared" si="22"/>
        <v>Error?</v>
      </c>
    </row>
    <row r="1476" spans="1:4" x14ac:dyDescent="0.2">
      <c r="A1476" s="5">
        <v>1415</v>
      </c>
      <c r="B1476" s="1832">
        <f>'Expenditures 15-22'!K233</f>
        <v>702</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2179</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4527</v>
      </c>
      <c r="C1481" s="2" t="s">
        <v>569</v>
      </c>
      <c r="D1481" s="2" t="str">
        <f t="shared" si="22"/>
        <v>Error?</v>
      </c>
    </row>
    <row r="1482" spans="1:4" x14ac:dyDescent="0.2">
      <c r="A1482" s="5">
        <v>1421</v>
      </c>
      <c r="B1482" s="1832">
        <f>'Expenditures 15-22'!K240</f>
        <v>1030</v>
      </c>
      <c r="C1482" s="2" t="s">
        <v>569</v>
      </c>
      <c r="D1482" s="2" t="str">
        <f t="shared" si="22"/>
        <v>Error?</v>
      </c>
    </row>
    <row r="1483" spans="1:4" x14ac:dyDescent="0.2">
      <c r="A1483" s="5">
        <v>1422</v>
      </c>
      <c r="B1483" s="1832">
        <f>'Expenditures 15-22'!K241</f>
        <v>18631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19661</v>
      </c>
      <c r="C1485" s="2" t="s">
        <v>569</v>
      </c>
      <c r="D1485" s="2" t="str">
        <f t="shared" si="22"/>
        <v>Error?</v>
      </c>
    </row>
    <row r="1486" spans="1:4" x14ac:dyDescent="0.2">
      <c r="A1486" s="5">
        <v>1425</v>
      </c>
      <c r="B1486" s="1832">
        <f>'Expenditures 15-22'!K245</f>
        <v>339</v>
      </c>
      <c r="C1486" s="2" t="s">
        <v>569</v>
      </c>
      <c r="D1486" s="2" t="str">
        <f t="shared" si="22"/>
        <v>Error?</v>
      </c>
    </row>
    <row r="1487" spans="1:4" x14ac:dyDescent="0.2">
      <c r="A1487" s="5">
        <v>1426</v>
      </c>
      <c r="B1487" s="1832">
        <f>'Expenditures 15-22'!K246</f>
        <v>1131</v>
      </c>
      <c r="C1487" s="2" t="s">
        <v>569</v>
      </c>
      <c r="D1487" s="2" t="str">
        <f t="shared" si="22"/>
        <v>Error?</v>
      </c>
    </row>
    <row r="1488" spans="1:4" x14ac:dyDescent="0.2">
      <c r="A1488" s="5">
        <v>1427</v>
      </c>
      <c r="B1488" s="1832">
        <f>'Expenditures 15-22'!K257</f>
        <v>1832</v>
      </c>
      <c r="C1488" s="2" t="s">
        <v>569</v>
      </c>
      <c r="D1488" s="2" t="str">
        <f t="shared" si="22"/>
        <v>Error?</v>
      </c>
    </row>
    <row r="1489" spans="1:4" x14ac:dyDescent="0.2">
      <c r="A1489" s="5">
        <v>1428</v>
      </c>
      <c r="B1489" s="1832">
        <f>'Expenditures 15-22'!K259</f>
        <v>27597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27597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12302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45330</v>
      </c>
      <c r="C1495" s="2" t="s">
        <v>569</v>
      </c>
      <c r="D1495" s="2" t="str">
        <f t="shared" si="22"/>
        <v>Error?</v>
      </c>
    </row>
    <row r="1496" spans="1:4" x14ac:dyDescent="0.2">
      <c r="A1496" s="5">
        <v>1435</v>
      </c>
      <c r="B1496" s="1832">
        <f>'Expenditures 15-22'!K267</f>
        <v>25711</v>
      </c>
      <c r="C1496" s="2" t="s">
        <v>569</v>
      </c>
      <c r="D1496" s="2" t="str">
        <f t="shared" si="22"/>
        <v>Error?</v>
      </c>
    </row>
    <row r="1497" spans="1:4" x14ac:dyDescent="0.2">
      <c r="A1497" s="5">
        <v>1436</v>
      </c>
      <c r="B1497" s="1832">
        <f>'Expenditures 15-22'!K268</f>
        <v>20159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103502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157119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258839</v>
      </c>
      <c r="C1517" s="2" t="s">
        <v>569</v>
      </c>
      <c r="D1517" s="2" t="str">
        <f t="shared" si="22"/>
        <v>Error?</v>
      </c>
    </row>
    <row r="1518" spans="1:4" x14ac:dyDescent="0.2">
      <c r="A1518" s="5">
        <v>1457</v>
      </c>
      <c r="B1518" s="1832">
        <f>'Expenditures 15-22'!K296</f>
        <v>91534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7067665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7146937</v>
      </c>
      <c r="C1630" s="2" t="s">
        <v>569</v>
      </c>
      <c r="D1630" s="2" t="str">
        <f t="shared" si="24"/>
        <v>Error?</v>
      </c>
    </row>
    <row r="1631" spans="1:4" x14ac:dyDescent="0.2">
      <c r="A1631" s="5">
        <v>1570</v>
      </c>
      <c r="B1631" s="1832">
        <f>'Acct Summary 7-8'!D79</f>
        <v>1188033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1179016</v>
      </c>
      <c r="C1644" s="2" t="s">
        <v>569</v>
      </c>
      <c r="D1644" s="2" t="str">
        <f t="shared" si="24"/>
        <v>Error?</v>
      </c>
    </row>
    <row r="1645" spans="1:4" x14ac:dyDescent="0.2">
      <c r="A1645" s="5">
        <v>1584</v>
      </c>
      <c r="B1645" s="1832">
        <f>'Acct Summary 7-8'!E79</f>
        <v>14401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14663</v>
      </c>
      <c r="C1658" s="2" t="s">
        <v>569</v>
      </c>
      <c r="D1658" s="2" t="str">
        <f t="shared" si="24"/>
        <v>Error?</v>
      </c>
    </row>
    <row r="1659" spans="1:4" x14ac:dyDescent="0.2">
      <c r="A1659" s="5">
        <v>1598</v>
      </c>
      <c r="B1659" s="1832">
        <f>'Acct Summary 7-8'!F79</f>
        <v>324714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27546</v>
      </c>
      <c r="C1672" s="2" t="s">
        <v>569</v>
      </c>
      <c r="D1672" s="2" t="str">
        <f t="shared" si="25"/>
        <v>Error?</v>
      </c>
    </row>
    <row r="1673" spans="1:4" x14ac:dyDescent="0.2">
      <c r="A1673" s="5">
        <v>1612</v>
      </c>
      <c r="B1673" s="1832">
        <f>'Acct Summary 7-8'!G79</f>
        <v>579326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670860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2496275</v>
      </c>
      <c r="C1744" s="2" t="s">
        <v>569</v>
      </c>
      <c r="D1744" s="2" t="str">
        <f t="shared" si="26"/>
        <v>Error?</v>
      </c>
    </row>
    <row r="1745" spans="1:5" x14ac:dyDescent="0.2">
      <c r="A1745" s="5">
        <v>1684</v>
      </c>
      <c r="B1745" s="1832">
        <f>'Tax Sched 23'!B5</f>
        <v>567337</v>
      </c>
      <c r="C1745" s="2" t="s">
        <v>569</v>
      </c>
      <c r="D1745" s="2" t="str">
        <f t="shared" si="26"/>
        <v>Error?</v>
      </c>
    </row>
    <row r="1746" spans="1:5" x14ac:dyDescent="0.2">
      <c r="A1746" s="5">
        <v>1685</v>
      </c>
      <c r="B1746" s="1832">
        <f>'Tax Sched 23'!B6</f>
        <v>144708</v>
      </c>
      <c r="C1746" s="2" t="s">
        <v>569</v>
      </c>
      <c r="D1746" s="2" t="str">
        <f t="shared" si="26"/>
        <v>Error?</v>
      </c>
    </row>
    <row r="1747" spans="1:5" x14ac:dyDescent="0.2">
      <c r="A1747" s="5">
        <v>1686</v>
      </c>
      <c r="B1747" s="1832">
        <f>'Tax Sched 23'!B7</f>
        <v>181555</v>
      </c>
      <c r="C1747" s="2" t="s">
        <v>569</v>
      </c>
      <c r="D1747" s="2" t="str">
        <f t="shared" si="26"/>
        <v>Error?</v>
      </c>
    </row>
    <row r="1748" spans="1:5" x14ac:dyDescent="0.2">
      <c r="A1748" s="5">
        <v>1687</v>
      </c>
      <c r="B1748" s="1832">
        <f>'Tax Sched 23'!B8</f>
        <v>177697</v>
      </c>
      <c r="C1748" s="2" t="s">
        <v>569</v>
      </c>
      <c r="D1748" s="2" t="str">
        <f t="shared" si="26"/>
        <v>Error?</v>
      </c>
    </row>
    <row r="1749" spans="1:5" x14ac:dyDescent="0.2">
      <c r="A1749" s="5">
        <v>1688</v>
      </c>
      <c r="B1749" s="1832">
        <f>'Tax Sched 23'!B10</f>
        <v>45389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533962</v>
      </c>
      <c r="C1752" s="2" t="s">
        <v>569</v>
      </c>
      <c r="D1752" s="2" t="str">
        <f t="shared" si="26"/>
        <v>Error?</v>
      </c>
    </row>
    <row r="1753" spans="1:5" x14ac:dyDescent="0.2">
      <c r="A1753" s="5">
        <v>1692</v>
      </c>
      <c r="B1753" s="1832">
        <f>'Tax Sched 23'!B12</f>
        <v>45389</v>
      </c>
      <c r="C1753" s="2" t="s">
        <v>569</v>
      </c>
      <c r="D1753" s="2" t="str">
        <f t="shared" si="26"/>
        <v>Error?</v>
      </c>
    </row>
    <row r="1754" spans="1:5" x14ac:dyDescent="0.2">
      <c r="A1754" s="5">
        <v>1693</v>
      </c>
      <c r="B1754" s="1832">
        <f>'Tax Sched 23'!B14</f>
        <v>36313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4444666</v>
      </c>
      <c r="C1759" s="2" t="s">
        <v>569</v>
      </c>
      <c r="D1759" s="2" t="str">
        <f t="shared" si="26"/>
        <v>Error?</v>
      </c>
    </row>
    <row r="1760" spans="1:5" x14ac:dyDescent="0.2">
      <c r="A1760" s="5">
        <v>1699</v>
      </c>
      <c r="B1760" s="1832">
        <f>'Tax Sched 23'!D4</f>
        <v>2496275</v>
      </c>
      <c r="C1760" s="2" t="s">
        <v>569</v>
      </c>
      <c r="D1760" s="2" t="str">
        <f t="shared" si="26"/>
        <v>Error?</v>
      </c>
    </row>
    <row r="1761" spans="1:7" x14ac:dyDescent="0.2">
      <c r="A1761" s="5">
        <v>1700</v>
      </c>
      <c r="B1761" s="1832">
        <f>'Tax Sched 23'!D5</f>
        <v>567337</v>
      </c>
      <c r="C1761" s="2" t="s">
        <v>569</v>
      </c>
      <c r="D1761" s="2" t="str">
        <f t="shared" si="26"/>
        <v>Error?</v>
      </c>
    </row>
    <row r="1762" spans="1:7" s="8" customFormat="1" x14ac:dyDescent="0.2">
      <c r="A1762" s="5">
        <v>1701</v>
      </c>
      <c r="B1762" s="1832">
        <f>'Tax Sched 23'!D6</f>
        <v>144708</v>
      </c>
      <c r="C1762" s="2" t="s">
        <v>569</v>
      </c>
      <c r="D1762" s="2" t="str">
        <f t="shared" si="26"/>
        <v>Error?</v>
      </c>
      <c r="E1762" s="9"/>
      <c r="G1762"/>
    </row>
    <row r="1763" spans="1:7" x14ac:dyDescent="0.2">
      <c r="A1763" s="5">
        <v>1702</v>
      </c>
      <c r="B1763" s="1832">
        <f>'Tax Sched 23'!D7</f>
        <v>181555</v>
      </c>
      <c r="C1763" s="2" t="s">
        <v>569</v>
      </c>
      <c r="D1763" s="2" t="str">
        <f t="shared" si="26"/>
        <v>Error?</v>
      </c>
    </row>
    <row r="1764" spans="1:7" x14ac:dyDescent="0.2">
      <c r="A1764" s="5">
        <v>1703</v>
      </c>
      <c r="B1764" s="1832">
        <f>'Tax Sched 23'!D8</f>
        <v>177697</v>
      </c>
      <c r="C1764" s="2" t="s">
        <v>569</v>
      </c>
      <c r="D1764" s="2" t="str">
        <f t="shared" si="26"/>
        <v>Error?</v>
      </c>
    </row>
    <row r="1765" spans="1:7" x14ac:dyDescent="0.2">
      <c r="A1765" s="5">
        <v>1704</v>
      </c>
      <c r="B1765" s="1832">
        <f>'Tax Sched 23'!D10</f>
        <v>45389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533962</v>
      </c>
      <c r="C1768" s="2" t="s">
        <v>569</v>
      </c>
      <c r="D1768" s="2" t="str">
        <f t="shared" si="26"/>
        <v>Error?</v>
      </c>
    </row>
    <row r="1769" spans="1:7" x14ac:dyDescent="0.2">
      <c r="A1769" s="5">
        <v>1708</v>
      </c>
      <c r="B1769" s="1832">
        <f>'Tax Sched 23'!D12</f>
        <v>45389</v>
      </c>
      <c r="C1769" s="2" t="s">
        <v>569</v>
      </c>
      <c r="D1769" s="2" t="str">
        <f t="shared" si="26"/>
        <v>Error?</v>
      </c>
    </row>
    <row r="1770" spans="1:7" x14ac:dyDescent="0.2">
      <c r="A1770" s="5">
        <v>1709</v>
      </c>
      <c r="B1770" s="1832">
        <f>'Tax Sched 23'!D14</f>
        <v>36313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4444666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2604882</v>
      </c>
      <c r="C1792" s="2" t="s">
        <v>569</v>
      </c>
      <c r="D1792" s="2" t="str">
        <f t="shared" si="27"/>
        <v>Error?</v>
      </c>
    </row>
    <row r="1793" spans="1:4" x14ac:dyDescent="0.2">
      <c r="A1793" s="5">
        <v>1732</v>
      </c>
      <c r="B1793" s="1832">
        <f>'Tax Sched 23'!F5</f>
        <v>592019</v>
      </c>
      <c r="C1793" s="2" t="s">
        <v>569</v>
      </c>
      <c r="D1793" s="2" t="str">
        <f t="shared" si="27"/>
        <v>Error?</v>
      </c>
    </row>
    <row r="1794" spans="1:4" x14ac:dyDescent="0.2">
      <c r="A1794" s="5">
        <v>1733</v>
      </c>
      <c r="B1794" s="1832">
        <f>'Tax Sched 23'!F6</f>
        <v>285628</v>
      </c>
      <c r="C1794" s="2" t="s">
        <v>569</v>
      </c>
      <c r="D1794" s="2" t="str">
        <f t="shared" si="27"/>
        <v>Error?</v>
      </c>
    </row>
    <row r="1795" spans="1:4" x14ac:dyDescent="0.2">
      <c r="A1795" s="5">
        <v>1734</v>
      </c>
      <c r="B1795" s="1832">
        <f>'Tax Sched 23'!F7</f>
        <v>189446</v>
      </c>
      <c r="C1795" s="2" t="s">
        <v>569</v>
      </c>
      <c r="D1795" s="2" t="str">
        <f t="shared" si="27"/>
        <v>Error?</v>
      </c>
    </row>
    <row r="1796" spans="1:4" x14ac:dyDescent="0.2">
      <c r="A1796" s="5">
        <v>1735</v>
      </c>
      <c r="B1796" s="1832">
        <f>'Tax Sched 23'!F8</f>
        <v>111129</v>
      </c>
      <c r="C1796" s="2" t="s">
        <v>569</v>
      </c>
      <c r="D1796" s="2" t="str">
        <f t="shared" si="27"/>
        <v>Error?</v>
      </c>
    </row>
    <row r="1797" spans="1:4" x14ac:dyDescent="0.2">
      <c r="A1797" s="5">
        <v>1736</v>
      </c>
      <c r="B1797" s="1832">
        <f>'Tax Sched 23'!F10</f>
        <v>47362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535005</v>
      </c>
      <c r="C1800" s="2" t="s">
        <v>569</v>
      </c>
      <c r="D1800" s="2" t="str">
        <f t="shared" si="27"/>
        <v>Error?</v>
      </c>
    </row>
    <row r="1801" spans="1:4" x14ac:dyDescent="0.2">
      <c r="A1801" s="5">
        <v>1740</v>
      </c>
      <c r="B1801" s="1832">
        <f>'Tax Sched 23'!F12</f>
        <v>47362</v>
      </c>
      <c r="C1801" s="2" t="s">
        <v>569</v>
      </c>
      <c r="D1801" s="2" t="str">
        <f t="shared" si="27"/>
        <v>Error?</v>
      </c>
    </row>
    <row r="1802" spans="1:4" x14ac:dyDescent="0.2">
      <c r="A1802" s="5">
        <v>1741</v>
      </c>
      <c r="B1802" s="1832">
        <f>'Tax Sched 23'!F14</f>
        <v>37889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4600214</v>
      </c>
      <c r="C1807" s="2" t="s">
        <v>569</v>
      </c>
      <c r="D1807" s="2" t="str">
        <f t="shared" si="27"/>
        <v>Error?</v>
      </c>
    </row>
    <row r="1808" spans="1:4" x14ac:dyDescent="0.2">
      <c r="A1808" s="5">
        <v>1747</v>
      </c>
      <c r="B1808" s="1832">
        <f>'Tax Sched 23'!E4</f>
        <v>2604882</v>
      </c>
      <c r="D1808" s="2" t="str">
        <f t="shared" si="27"/>
        <v>Error?</v>
      </c>
    </row>
    <row r="1809" spans="1:4" x14ac:dyDescent="0.2">
      <c r="A1809" s="5">
        <v>1748</v>
      </c>
      <c r="B1809" s="1832">
        <f>'Tax Sched 23'!E5</f>
        <v>592019</v>
      </c>
      <c r="D1809" s="2" t="str">
        <f t="shared" si="27"/>
        <v>Error?</v>
      </c>
    </row>
    <row r="1810" spans="1:4" x14ac:dyDescent="0.2">
      <c r="A1810" s="5">
        <v>1749</v>
      </c>
      <c r="B1810" s="1832">
        <f>'Tax Sched 23'!E6</f>
        <v>285628</v>
      </c>
      <c r="D1810" s="2" t="str">
        <f t="shared" si="27"/>
        <v>Error?</v>
      </c>
    </row>
    <row r="1811" spans="1:4" x14ac:dyDescent="0.2">
      <c r="A1811" s="5">
        <v>1750</v>
      </c>
      <c r="B1811" s="1832">
        <f>'Tax Sched 23'!E7</f>
        <v>189446</v>
      </c>
      <c r="D1811" s="2" t="str">
        <f t="shared" si="27"/>
        <v>Error?</v>
      </c>
    </row>
    <row r="1812" spans="1:4" x14ac:dyDescent="0.2">
      <c r="A1812" s="5">
        <v>1751</v>
      </c>
      <c r="B1812" s="1832">
        <f>'Tax Sched 23'!E8</f>
        <v>111129</v>
      </c>
      <c r="D1812" s="2" t="str">
        <f t="shared" si="27"/>
        <v>Error?</v>
      </c>
    </row>
    <row r="1813" spans="1:4" x14ac:dyDescent="0.2">
      <c r="A1813" s="5">
        <v>1752</v>
      </c>
      <c r="B1813" s="1832">
        <f>'Tax Sched 23'!E10</f>
        <v>47362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535005</v>
      </c>
      <c r="D1816" s="2" t="str">
        <f t="shared" si="27"/>
        <v>Error?</v>
      </c>
    </row>
    <row r="1817" spans="1:4" x14ac:dyDescent="0.2">
      <c r="A1817" s="5">
        <v>1756</v>
      </c>
      <c r="B1817" s="1832">
        <f>'Tax Sched 23'!E12</f>
        <v>47362</v>
      </c>
      <c r="D1817" s="2" t="str">
        <f t="shared" si="27"/>
        <v>Error?</v>
      </c>
    </row>
    <row r="1818" spans="1:4" x14ac:dyDescent="0.2">
      <c r="A1818" s="5">
        <v>1757</v>
      </c>
      <c r="B1818" s="1832">
        <f>'Tax Sched 23'!E14</f>
        <v>37889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4600214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1630000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36313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36313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36313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15000</v>
      </c>
      <c r="D2008" s="2" t="str">
        <f t="shared" si="30"/>
        <v>Error?</v>
      </c>
    </row>
    <row r="2009" spans="1:4" x14ac:dyDescent="0.2">
      <c r="A2009" s="5">
        <v>1948</v>
      </c>
      <c r="B2009" s="1832">
        <f>'Cap Outlay Deprec 26'!C8</f>
        <v>9123679</v>
      </c>
      <c r="D2009" s="2" t="str">
        <f t="shared" si="30"/>
        <v>Error?</v>
      </c>
    </row>
    <row r="2010" spans="1:4" x14ac:dyDescent="0.2">
      <c r="A2010" s="5">
        <v>1949</v>
      </c>
      <c r="B2010" s="1832">
        <f>'Cap Outlay Deprec 26'!C10</f>
        <v>1162696</v>
      </c>
      <c r="D2010" s="2" t="str">
        <f t="shared" si="30"/>
        <v>Error?</v>
      </c>
    </row>
    <row r="2011" spans="1:4" x14ac:dyDescent="0.2">
      <c r="A2011" s="5">
        <v>1950</v>
      </c>
      <c r="B2011" s="1832">
        <f>'Cap Outlay Deprec 26'!C12</f>
        <v>2350079</v>
      </c>
      <c r="D2011" s="2" t="str">
        <f t="shared" si="30"/>
        <v>Error?</v>
      </c>
    </row>
    <row r="2012" spans="1:4" x14ac:dyDescent="0.2">
      <c r="A2012" s="5">
        <v>1951</v>
      </c>
      <c r="B2012" s="1832">
        <f>'Cap Outlay Deprec 26'!C13</f>
        <v>212029</v>
      </c>
      <c r="D2012" s="2" t="str">
        <f t="shared" si="30"/>
        <v>Error?</v>
      </c>
    </row>
    <row r="2013" spans="1:4" x14ac:dyDescent="0.2">
      <c r="A2013" s="5">
        <v>1952</v>
      </c>
      <c r="B2013" s="1832">
        <f>'Cap Outlay Deprec 26'!C16</f>
        <v>12863483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19827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19827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15000</v>
      </c>
      <c r="C2026" s="2" t="s">
        <v>569</v>
      </c>
      <c r="D2026" s="2" t="str">
        <f t="shared" si="30"/>
        <v>Error?</v>
      </c>
    </row>
    <row r="2027" spans="1:4" x14ac:dyDescent="0.2">
      <c r="A2027" s="5">
        <v>1966</v>
      </c>
      <c r="B2027" s="1832">
        <f>'Cap Outlay Deprec 26'!F8</f>
        <v>9123679</v>
      </c>
      <c r="C2027" s="2" t="s">
        <v>569</v>
      </c>
      <c r="D2027" s="2" t="str">
        <f t="shared" si="30"/>
        <v>Error?</v>
      </c>
    </row>
    <row r="2028" spans="1:4" x14ac:dyDescent="0.2">
      <c r="A2028" s="5">
        <v>1967</v>
      </c>
      <c r="B2028" s="1832">
        <f>'Cap Outlay Deprec 26'!F10</f>
        <v>1162696</v>
      </c>
      <c r="C2028" s="2" t="s">
        <v>569</v>
      </c>
      <c r="D2028" s="2" t="str">
        <f t="shared" si="30"/>
        <v>Error?</v>
      </c>
    </row>
    <row r="2029" spans="1:4" x14ac:dyDescent="0.2">
      <c r="A2029" s="5">
        <v>1968</v>
      </c>
      <c r="B2029" s="1832">
        <f>'Cap Outlay Deprec 26'!F12</f>
        <v>2369906</v>
      </c>
      <c r="C2029" s="2" t="s">
        <v>569</v>
      </c>
      <c r="D2029" s="2" t="str">
        <f t="shared" si="30"/>
        <v>Error?</v>
      </c>
    </row>
    <row r="2030" spans="1:4" x14ac:dyDescent="0.2">
      <c r="A2030" s="5">
        <v>1969</v>
      </c>
      <c r="B2030" s="1832">
        <f>'Cap Outlay Deprec 26'!F13</f>
        <v>212029</v>
      </c>
      <c r="C2030" s="2" t="s">
        <v>569</v>
      </c>
      <c r="D2030" s="2" t="str">
        <f t="shared" si="30"/>
        <v>Error?</v>
      </c>
    </row>
    <row r="2031" spans="1:4" x14ac:dyDescent="0.2">
      <c r="A2031" s="5">
        <v>1970</v>
      </c>
      <c r="B2031" s="1832">
        <f>'Cap Outlay Deprec 26'!F16</f>
        <v>12883310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6845296</v>
      </c>
      <c r="D2033" s="2" t="str">
        <f t="shared" si="30"/>
        <v>Error?</v>
      </c>
    </row>
    <row r="2034" spans="1:4" x14ac:dyDescent="0.2">
      <c r="A2034" s="5">
        <v>1973</v>
      </c>
      <c r="B2034" s="1832">
        <f>'Cap Outlay Deprec 26'!H10</f>
        <v>555010</v>
      </c>
      <c r="D2034" s="2" t="str">
        <f t="shared" si="30"/>
        <v>Error?</v>
      </c>
    </row>
    <row r="2035" spans="1:4" x14ac:dyDescent="0.2">
      <c r="A2035" s="5">
        <v>1974</v>
      </c>
      <c r="B2035" s="1832">
        <f>'Cap Outlay Deprec 26'!H12</f>
        <v>2067572</v>
      </c>
      <c r="D2035" s="2" t="str">
        <f t="shared" si="30"/>
        <v>Error?</v>
      </c>
    </row>
    <row r="2036" spans="1:4" x14ac:dyDescent="0.2">
      <c r="A2036" s="5">
        <v>1975</v>
      </c>
      <c r="B2036" s="1832">
        <f>'Cap Outlay Deprec 26'!H13</f>
        <v>205107</v>
      </c>
      <c r="D2036" s="2" t="str">
        <f t="shared" si="30"/>
        <v>Error?</v>
      </c>
    </row>
    <row r="2037" spans="1:4" x14ac:dyDescent="0.2">
      <c r="A2037" s="5">
        <v>1976</v>
      </c>
      <c r="B2037" s="1832">
        <f>'Cap Outlay Deprec 26'!H16</f>
        <v>9672985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222695</v>
      </c>
      <c r="D2039" s="2" t="str">
        <f t="shared" si="30"/>
        <v>Error?</v>
      </c>
    </row>
    <row r="2040" spans="1:4" x14ac:dyDescent="0.2">
      <c r="A2040" s="5">
        <v>1979</v>
      </c>
      <c r="B2040" s="1832">
        <f>'Cap Outlay Deprec 26'!I10</f>
        <v>46508</v>
      </c>
      <c r="D2040" s="2" t="str">
        <f t="shared" si="30"/>
        <v>Error?</v>
      </c>
    </row>
    <row r="2041" spans="1:4" x14ac:dyDescent="0.2">
      <c r="A2041" s="5">
        <v>1980</v>
      </c>
      <c r="B2041" s="1832">
        <f>'Cap Outlay Deprec 26'!I12</f>
        <v>236990</v>
      </c>
      <c r="D2041" s="2" t="str">
        <f t="shared" si="30"/>
        <v>Error?</v>
      </c>
    </row>
    <row r="2042" spans="1:4" x14ac:dyDescent="0.2">
      <c r="A2042" s="5">
        <v>1981</v>
      </c>
      <c r="B2042" s="1832">
        <f>'Cap Outlay Deprec 26'!I13</f>
        <v>6922</v>
      </c>
      <c r="D2042" s="2" t="str">
        <f t="shared" si="30"/>
        <v>Error?</v>
      </c>
    </row>
    <row r="2043" spans="1:4" x14ac:dyDescent="0.2">
      <c r="A2043" s="5">
        <v>1982</v>
      </c>
      <c r="B2043" s="1832">
        <f>'Cap Outlay Deprec 26'!I16</f>
        <v>513115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7067991</v>
      </c>
      <c r="C2051" s="2" t="s">
        <v>569</v>
      </c>
      <c r="D2051" s="2" t="str">
        <f t="shared" si="31"/>
        <v>Error?</v>
      </c>
    </row>
    <row r="2052" spans="1:4" x14ac:dyDescent="0.2">
      <c r="A2052" s="5">
        <v>1991</v>
      </c>
      <c r="B2052" s="1832">
        <f>'Cap Outlay Deprec 26'!K10</f>
        <v>601518</v>
      </c>
      <c r="C2052" s="2" t="s">
        <v>569</v>
      </c>
      <c r="D2052" s="2" t="str">
        <f t="shared" si="31"/>
        <v>Error?</v>
      </c>
    </row>
    <row r="2053" spans="1:4" x14ac:dyDescent="0.2">
      <c r="A2053" s="5">
        <v>1992</v>
      </c>
      <c r="B2053" s="1832">
        <f>'Cap Outlay Deprec 26'!K12</f>
        <v>2304562</v>
      </c>
      <c r="C2053" s="2" t="s">
        <v>569</v>
      </c>
      <c r="D2053" s="2" t="str">
        <f t="shared" si="31"/>
        <v>Error?</v>
      </c>
    </row>
    <row r="2054" spans="1:4" x14ac:dyDescent="0.2">
      <c r="A2054" s="5">
        <v>1993</v>
      </c>
      <c r="B2054" s="1832">
        <f>'Cap Outlay Deprec 26'!K13</f>
        <v>212029</v>
      </c>
      <c r="C2054" s="2" t="s">
        <v>569</v>
      </c>
      <c r="D2054" s="2" t="str">
        <f t="shared" si="31"/>
        <v>Error?</v>
      </c>
    </row>
    <row r="2055" spans="1:4" x14ac:dyDescent="0.2">
      <c r="A2055" s="5">
        <v>1994</v>
      </c>
      <c r="B2055" s="1832">
        <f>'Cap Outlay Deprec 26'!K16</f>
        <v>10186100</v>
      </c>
      <c r="C2055" s="2" t="s">
        <v>569</v>
      </c>
      <c r="D2055" s="2" t="str">
        <f t="shared" si="31"/>
        <v>Error?</v>
      </c>
    </row>
    <row r="2056" spans="1:4" x14ac:dyDescent="0.2">
      <c r="A2056" s="5">
        <v>1995</v>
      </c>
      <c r="B2056" s="1832">
        <f>'Cap Outlay Deprec 26'!L5</f>
        <v>15000</v>
      </c>
      <c r="C2056" s="2" t="s">
        <v>569</v>
      </c>
      <c r="D2056" s="2" t="str">
        <f t="shared" si="31"/>
        <v>Error?</v>
      </c>
    </row>
    <row r="2057" spans="1:4" x14ac:dyDescent="0.2">
      <c r="A2057" s="5">
        <v>1996</v>
      </c>
      <c r="B2057" s="1832">
        <f>'Cap Outlay Deprec 26'!L8</f>
        <v>2055688</v>
      </c>
      <c r="C2057" s="2" t="s">
        <v>569</v>
      </c>
      <c r="D2057" s="2" t="str">
        <f t="shared" si="31"/>
        <v>Error?</v>
      </c>
    </row>
    <row r="2058" spans="1:4" x14ac:dyDescent="0.2">
      <c r="A2058" s="5">
        <v>1997</v>
      </c>
      <c r="B2058" s="1832">
        <f>'Cap Outlay Deprec 26'!L10</f>
        <v>561178</v>
      </c>
      <c r="C2058" s="2" t="s">
        <v>569</v>
      </c>
      <c r="D2058" s="2" t="str">
        <f t="shared" si="31"/>
        <v>Error?</v>
      </c>
    </row>
    <row r="2059" spans="1:4" x14ac:dyDescent="0.2">
      <c r="A2059" s="5">
        <v>1998</v>
      </c>
      <c r="B2059" s="1832">
        <f>'Cap Outlay Deprec 26'!L12</f>
        <v>65344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2697210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1601635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110864</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670860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2991754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5994046</v>
      </c>
      <c r="C2553" s="2" t="s">
        <v>569</v>
      </c>
      <c r="D2553" s="2" t="str">
        <f t="shared" si="38"/>
        <v>Error?</v>
      </c>
    </row>
    <row r="2554" spans="1:4" x14ac:dyDescent="0.2">
      <c r="A2554" s="5">
        <v>2493</v>
      </c>
      <c r="B2554" s="1832">
        <f>'Acct Summary 7-8'!C7</f>
        <v>847452</v>
      </c>
      <c r="C2554" s="2" t="s">
        <v>569</v>
      </c>
      <c r="D2554" s="2" t="str">
        <f t="shared" si="38"/>
        <v>Error?</v>
      </c>
    </row>
    <row r="2555" spans="1:4" x14ac:dyDescent="0.2">
      <c r="A2555" s="5">
        <v>2494</v>
      </c>
      <c r="B2555" s="1832">
        <f>'Acct Summary 7-8'!C8</f>
        <v>9868226</v>
      </c>
      <c r="C2555" s="2" t="s">
        <v>569</v>
      </c>
      <c r="D2555" s="2" t="str">
        <f t="shared" si="38"/>
        <v>Error?</v>
      </c>
    </row>
    <row r="2556" spans="1:4" x14ac:dyDescent="0.2">
      <c r="A2556" s="5">
        <v>2495</v>
      </c>
      <c r="B2556" s="1832">
        <f>'Acct Summary 7-8'!C12</f>
        <v>6111875</v>
      </c>
      <c r="C2556" s="2" t="s">
        <v>569</v>
      </c>
      <c r="D2556" s="2" t="str">
        <f t="shared" si="38"/>
        <v>Error?</v>
      </c>
    </row>
    <row r="2557" spans="1:4" x14ac:dyDescent="0.2">
      <c r="A2557" s="5">
        <v>2496</v>
      </c>
      <c r="B2557" s="1832">
        <f>'Acct Summary 7-8'!C13</f>
        <v>1762688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1601635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9476198</v>
      </c>
      <c r="C2561" s="2" t="s">
        <v>569</v>
      </c>
      <c r="D2561" s="2" t="str">
        <f t="shared" si="39"/>
        <v>Error?</v>
      </c>
    </row>
    <row r="2562" spans="1:4" x14ac:dyDescent="0.2">
      <c r="A2562" s="5">
        <v>2501</v>
      </c>
      <c r="B2562" s="1832">
        <f>'Acct Summary 7-8'!C20</f>
        <v>392028</v>
      </c>
      <c r="C2562" s="2" t="s">
        <v>569</v>
      </c>
      <c r="D2562" s="2" t="str">
        <f t="shared" si="39"/>
        <v>Error?</v>
      </c>
    </row>
    <row r="2563" spans="1:4" x14ac:dyDescent="0.2">
      <c r="A2563" s="5">
        <v>2502</v>
      </c>
      <c r="B2563" s="1832">
        <f>'Acct Summary 7-8'!C80</f>
        <v>-312756</v>
      </c>
      <c r="D2563" s="2" t="str">
        <f t="shared" si="39"/>
        <v>Error?</v>
      </c>
    </row>
    <row r="2564" spans="1:4" x14ac:dyDescent="0.2">
      <c r="A2564" s="5">
        <v>2503</v>
      </c>
      <c r="B2564" s="1832">
        <f>'Acct Summary 7-8'!D4</f>
        <v>642939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642939</v>
      </c>
      <c r="C2568" s="2" t="s">
        <v>569</v>
      </c>
      <c r="D2568" s="2" t="str">
        <f t="shared" si="39"/>
        <v>Error?</v>
      </c>
    </row>
    <row r="2569" spans="1:4" x14ac:dyDescent="0.2">
      <c r="A2569" s="5">
        <v>2508</v>
      </c>
      <c r="B2569" s="1832">
        <f>'Acct Summary 7-8'!D13</f>
        <v>651956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651956</v>
      </c>
      <c r="C2573" s="2" t="s">
        <v>569</v>
      </c>
      <c r="D2573" s="2" t="str">
        <f t="shared" si="39"/>
        <v>Error?</v>
      </c>
    </row>
    <row r="2574" spans="1:4" x14ac:dyDescent="0.2">
      <c r="A2574" s="5">
        <v>2513</v>
      </c>
      <c r="B2574" s="1832">
        <f>'Acct Summary 7-8'!D20</f>
        <v>-9017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186571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334739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521310</v>
      </c>
      <c r="C2595" s="2" t="s">
        <v>569</v>
      </c>
      <c r="D2595" s="2" t="str">
        <f t="shared" si="39"/>
        <v>Error?</v>
      </c>
    </row>
    <row r="2596" spans="1:4" x14ac:dyDescent="0.2">
      <c r="A2596" s="5">
        <v>2535</v>
      </c>
      <c r="B2596" s="1832">
        <f>'Acct Summary 7-8'!F13</f>
        <v>818478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818478</v>
      </c>
      <c r="C2600" s="2" t="s">
        <v>569</v>
      </c>
      <c r="D2600" s="2" t="str">
        <f t="shared" si="39"/>
        <v>Error?</v>
      </c>
    </row>
    <row r="2601" spans="1:4" x14ac:dyDescent="0.2">
      <c r="A2601" s="5">
        <v>2540</v>
      </c>
      <c r="B2601" s="1832">
        <f>'Acct Summary 7-8'!F20</f>
        <v>-297168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350373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350373</v>
      </c>
      <c r="C2606" s="2" t="s">
        <v>569</v>
      </c>
      <c r="D2606" s="2" t="str">
        <f t="shared" si="39"/>
        <v>Error?</v>
      </c>
    </row>
    <row r="2607" spans="1:4" x14ac:dyDescent="0.2">
      <c r="A2607" s="5">
        <v>2546</v>
      </c>
      <c r="B2607" s="1832">
        <f>'Acct Summary 7-8'!G12</f>
        <v>101720</v>
      </c>
      <c r="C2607" s="2" t="s">
        <v>569</v>
      </c>
      <c r="D2607" s="2" t="str">
        <f t="shared" si="39"/>
        <v>Error?</v>
      </c>
    </row>
    <row r="2608" spans="1:4" x14ac:dyDescent="0.2">
      <c r="A2608" s="5">
        <v>2547</v>
      </c>
      <c r="B2608" s="1832">
        <f>'Acct Summary 7-8'!G13</f>
        <v>157119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258839</v>
      </c>
      <c r="C2612" s="2" t="s">
        <v>569</v>
      </c>
      <c r="D2612" s="2" t="str">
        <f t="shared" si="39"/>
        <v>Error?</v>
      </c>
    </row>
    <row r="2613" spans="1:4" x14ac:dyDescent="0.2">
      <c r="A2613" s="5">
        <v>2552</v>
      </c>
      <c r="B2613" s="1832">
        <f>'Acct Summary 7-8'!G20</f>
        <v>91534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144822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144822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144560</v>
      </c>
      <c r="C2634" s="2" t="s">
        <v>569</v>
      </c>
      <c r="D2634" s="2" t="str">
        <f t="shared" si="40"/>
        <v>Error?</v>
      </c>
    </row>
    <row r="2635" spans="1:4" x14ac:dyDescent="0.2">
      <c r="A2635" s="5">
        <v>2574</v>
      </c>
      <c r="B2635" s="1832">
        <f>'Acct Summary 7-8'!E17</f>
        <v>144560</v>
      </c>
      <c r="C2635" s="2" t="s">
        <v>569</v>
      </c>
      <c r="D2635" s="2" t="str">
        <f t="shared" si="40"/>
        <v>Error?</v>
      </c>
    </row>
    <row r="2636" spans="1:4" x14ac:dyDescent="0.2">
      <c r="A2636" s="5">
        <v>2575</v>
      </c>
      <c r="B2636" s="1832">
        <f>'Acct Summary 7-8'!E20</f>
        <v>262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12499</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58</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50</v>
      </c>
      <c r="D2723" s="2" t="str">
        <f t="shared" si="41"/>
        <v>Error?</v>
      </c>
    </row>
    <row r="2724" spans="1:4" x14ac:dyDescent="0.2">
      <c r="A2724" s="5">
        <v>2663</v>
      </c>
      <c r="B2724" s="1832">
        <f>'Expenditures 15-22'!K51</f>
        <v>12607</v>
      </c>
      <c r="C2724" s="2" t="s">
        <v>569</v>
      </c>
      <c r="D2724" s="2" t="str">
        <f t="shared" si="41"/>
        <v>Error?</v>
      </c>
    </row>
    <row r="2725" spans="1:4" x14ac:dyDescent="0.2">
      <c r="A2725" s="5">
        <v>2664</v>
      </c>
      <c r="B2725" s="1832">
        <f>'Expenditures 15-22'!D247</f>
        <v>362</v>
      </c>
      <c r="D2725" s="2" t="str">
        <f t="shared" si="41"/>
        <v>Error?</v>
      </c>
    </row>
    <row r="2726" spans="1:4" x14ac:dyDescent="0.2">
      <c r="A2726" s="5">
        <v>2665</v>
      </c>
      <c r="B2726" s="1832">
        <f>'Expenditures 15-22'!K247</f>
        <v>362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1601635</v>
      </c>
      <c r="C2789" s="2" t="s">
        <v>569</v>
      </c>
      <c r="D2789" s="2" t="str">
        <f t="shared" si="42"/>
        <v>Error?</v>
      </c>
    </row>
    <row r="2790" spans="1:4" x14ac:dyDescent="0.2">
      <c r="A2790" s="5">
        <v>2729</v>
      </c>
      <c r="B2790" s="1832">
        <f>'Expenditures 15-22'!E102</f>
        <v>1601635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2027412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2076487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245625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552473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2076487</v>
      </c>
      <c r="D2912" s="2" t="str">
        <f t="shared" si="44"/>
        <v>Error?</v>
      </c>
    </row>
    <row r="2913" spans="1:4" x14ac:dyDescent="0.2">
      <c r="A2913" s="5">
        <v>2852</v>
      </c>
      <c r="B2913" s="1832">
        <f>'Assets-Liab 5-6'!I41</f>
        <v>2076487</v>
      </c>
      <c r="C2913" s="2" t="s">
        <v>569</v>
      </c>
      <c r="D2913" s="2" t="str">
        <f t="shared" si="44"/>
        <v>Error?</v>
      </c>
    </row>
    <row r="2914" spans="1:4" x14ac:dyDescent="0.2">
      <c r="A2914" s="5">
        <v>2853</v>
      </c>
      <c r="B2914" s="1832">
        <f>'Assets-Liab 5-6'!L33</f>
        <v>552473</v>
      </c>
      <c r="D2914" s="2" t="str">
        <f t="shared" si="44"/>
        <v>Error?</v>
      </c>
    </row>
    <row r="2915" spans="1:4" x14ac:dyDescent="0.2">
      <c r="A2915" s="10">
        <v>2854</v>
      </c>
      <c r="B2915" s="1832"/>
      <c r="D2915" s="2" t="str">
        <f t="shared" si="44"/>
        <v>OK</v>
      </c>
    </row>
    <row r="2916" spans="1:4" x14ac:dyDescent="0.2">
      <c r="A2916" s="5">
        <v>2855</v>
      </c>
      <c r="B2916" s="1832">
        <f>'Assets-Liab 5-6'!L34</f>
        <v>552473</v>
      </c>
      <c r="C2916" s="2" t="s">
        <v>569</v>
      </c>
      <c r="D2916" s="2" t="str">
        <f t="shared" si="44"/>
        <v>Error?</v>
      </c>
    </row>
    <row r="2917" spans="1:4" x14ac:dyDescent="0.2">
      <c r="A2917" s="5">
        <v>2856</v>
      </c>
      <c r="B2917" s="1832">
        <f>'Assets-Liab 5-6'!L41</f>
        <v>552473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1601635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1601635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201362</v>
      </c>
      <c r="D3055" s="2" t="str">
        <f t="shared" si="46"/>
        <v>Error?</v>
      </c>
    </row>
    <row r="3056" spans="1:4" x14ac:dyDescent="0.2">
      <c r="A3056" s="5">
        <v>2995</v>
      </c>
      <c r="B3056" s="1832">
        <f>'Expenditures 15-22'!D10</f>
        <v>82588</v>
      </c>
      <c r="D3056" s="2" t="str">
        <f t="shared" si="46"/>
        <v>Error?</v>
      </c>
    </row>
    <row r="3057" spans="1:4" x14ac:dyDescent="0.2">
      <c r="A3057" s="5">
        <v>2996</v>
      </c>
      <c r="B3057" s="1832">
        <f>'Expenditures 15-22'!E10</f>
        <v>11067</v>
      </c>
      <c r="D3057" s="2" t="str">
        <f t="shared" si="46"/>
        <v>Error?</v>
      </c>
    </row>
    <row r="3058" spans="1:4" x14ac:dyDescent="0.2">
      <c r="A3058" s="5">
        <v>2997</v>
      </c>
      <c r="B3058" s="1832">
        <f>'Expenditures 15-22'!F10</f>
        <v>19958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314975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34388</v>
      </c>
      <c r="D3064" s="2" t="str">
        <f t="shared" si="46"/>
        <v>Error?</v>
      </c>
    </row>
    <row r="3065" spans="1:4" x14ac:dyDescent="0.2">
      <c r="A3065" s="5">
        <v>3004</v>
      </c>
      <c r="B3065" s="1832">
        <f>'Expenditures 15-22'!K219</f>
        <v>34388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51278</v>
      </c>
      <c r="C3225" s="2" t="s">
        <v>569</v>
      </c>
      <c r="D3225" s="2" t="str">
        <f t="shared" si="49"/>
        <v>Error?</v>
      </c>
    </row>
    <row r="3226" spans="1:4" x14ac:dyDescent="0.2">
      <c r="A3226" s="5">
        <v>3165</v>
      </c>
      <c r="B3226" s="1832">
        <f>'Acct Summary 7-8'!I8</f>
        <v>51278</v>
      </c>
      <c r="C3226" s="2" t="s">
        <v>569</v>
      </c>
      <c r="D3226" s="2" t="str">
        <f t="shared" si="49"/>
        <v>Error?</v>
      </c>
    </row>
    <row r="3227" spans="1:4" x14ac:dyDescent="0.2">
      <c r="A3227" s="5">
        <v>3166</v>
      </c>
      <c r="B3227" s="1832">
        <f>'Acct Summary 7-8'!I20</f>
        <v>51278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392028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-9017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-297168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91534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262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110864</v>
      </c>
      <c r="C3318" s="2" t="s">
        <v>569</v>
      </c>
      <c r="D3318" s="2" t="str">
        <f t="shared" si="50"/>
        <v>Error?</v>
      </c>
    </row>
    <row r="3319" spans="1:4" x14ac:dyDescent="0.2">
      <c r="A3319" s="5">
        <v>3258</v>
      </c>
      <c r="B3319" s="1832">
        <f>'Acct Summary 7-8'!I77</f>
        <v>-110864</v>
      </c>
      <c r="C3319" s="2" t="s">
        <v>569</v>
      </c>
      <c r="D3319" s="2" t="str">
        <f t="shared" si="50"/>
        <v>Error?</v>
      </c>
    </row>
    <row r="3320" spans="1:4" x14ac:dyDescent="0.2">
      <c r="A3320" s="5">
        <v>3259</v>
      </c>
      <c r="B3320" s="1832">
        <f>'Acct Summary 7-8'!I78</f>
        <v>-59586</v>
      </c>
      <c r="C3320" s="2" t="s">
        <v>569</v>
      </c>
      <c r="D3320" s="2" t="str">
        <f t="shared" si="50"/>
        <v>Error?</v>
      </c>
    </row>
    <row r="3321" spans="1:4" x14ac:dyDescent="0.2">
      <c r="A3321" s="5">
        <v>3260</v>
      </c>
      <c r="B3321" s="1832">
        <f>'Acct Summary 7-8'!I79</f>
        <v>2136073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2076487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1654354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1654354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41965</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41965</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34974</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2337320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280765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1047</v>
      </c>
      <c r="D3417" s="2" t="str">
        <f t="shared" si="52"/>
        <v>Error?</v>
      </c>
    </row>
    <row r="3418" spans="1:4" x14ac:dyDescent="0.2">
      <c r="A3418" s="10">
        <v>3357</v>
      </c>
      <c r="B3418" s="1832"/>
      <c r="D3418" s="2" t="str">
        <f t="shared" si="52"/>
        <v>OK</v>
      </c>
    </row>
    <row r="3419" spans="1:4" x14ac:dyDescent="0.2">
      <c r="A3419" s="5">
        <v>3358</v>
      </c>
      <c r="B3419" s="1832">
        <f>'Assets-Liab 5-6'!F4</f>
        <v>27399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302349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49075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306848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170652</v>
      </c>
      <c r="C3446" s="2" t="s">
        <v>569</v>
      </c>
      <c r="D3446" s="2" t="str">
        <f t="shared" si="52"/>
        <v>Error?</v>
      </c>
    </row>
    <row r="3447" spans="1:4" x14ac:dyDescent="0.2">
      <c r="A3447" s="5">
        <v>3386</v>
      </c>
      <c r="B3447" s="1832">
        <f>'Tax Sched 23'!D16</f>
        <v>170652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102130</v>
      </c>
      <c r="C3449" s="2" t="s">
        <v>569</v>
      </c>
      <c r="D3449" s="2" t="str">
        <f t="shared" si="52"/>
        <v>Error?</v>
      </c>
    </row>
    <row r="3450" spans="1:4" x14ac:dyDescent="0.2">
      <c r="A3450" s="5">
        <v>3389</v>
      </c>
      <c r="B3450" s="1832">
        <f>'Tax Sched 23'!E16</f>
        <v>102130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95598</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95598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95598</v>
      </c>
      <c r="D3567" s="2" t="str">
        <f t="shared" si="54"/>
        <v>Error?</v>
      </c>
    </row>
    <row r="3568" spans="1:4" x14ac:dyDescent="0.2">
      <c r="A3568" s="5">
        <v>3507</v>
      </c>
      <c r="B3568" s="1832">
        <f>'Assets-Liab 5-6'!K41</f>
        <v>95598</v>
      </c>
      <c r="C3568" s="2" t="s">
        <v>569</v>
      </c>
      <c r="D3568" s="2" t="str">
        <f t="shared" si="54"/>
        <v>Error?</v>
      </c>
    </row>
    <row r="3569" spans="1:4" x14ac:dyDescent="0.2">
      <c r="A3569" s="5">
        <v>3508</v>
      </c>
      <c r="B3569" s="1832">
        <f>'Acct Summary 7-8'!K4</f>
        <v>346134</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396134</v>
      </c>
      <c r="C3571" s="2" t="s">
        <v>569</v>
      </c>
      <c r="D3571" s="2" t="str">
        <f t="shared" si="54"/>
        <v>Error?</v>
      </c>
    </row>
    <row r="3572" spans="1:4" x14ac:dyDescent="0.2">
      <c r="A3572" s="5">
        <v>3511</v>
      </c>
      <c r="B3572" s="1832">
        <f>'Acct Summary 7-8'!K13</f>
        <v>507067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507067</v>
      </c>
      <c r="C3575" s="2" t="s">
        <v>569</v>
      </c>
      <c r="D3575" s="2" t="str">
        <f t="shared" si="54"/>
        <v>Error?</v>
      </c>
    </row>
    <row r="3576" spans="1:4" x14ac:dyDescent="0.2">
      <c r="A3576" s="5">
        <v>3515</v>
      </c>
      <c r="B3576" s="1832">
        <f>'Acct Summary 7-8'!K20</f>
        <v>-110933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110864</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110864</v>
      </c>
      <c r="C3587" s="2" t="s">
        <v>569</v>
      </c>
      <c r="D3587" s="2" t="str">
        <f t="shared" si="55"/>
        <v>Error?</v>
      </c>
    </row>
    <row r="3588" spans="1:4" x14ac:dyDescent="0.2">
      <c r="A3588" s="5">
        <v>3527</v>
      </c>
      <c r="B3588" s="1832">
        <f>'Acct Summary 7-8'!K78</f>
        <v>-69</v>
      </c>
      <c r="C3588" s="2" t="s">
        <v>569</v>
      </c>
      <c r="D3588" s="2" t="str">
        <f t="shared" si="55"/>
        <v>Error?</v>
      </c>
    </row>
    <row r="3589" spans="1:4" x14ac:dyDescent="0.2">
      <c r="A3589" s="5">
        <v>3528</v>
      </c>
      <c r="B3589" s="1832">
        <f>'Acct Summary 7-8'!K79</f>
        <v>95667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95598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498685</v>
      </c>
      <c r="D3631" s="2" t="str">
        <f t="shared" si="55"/>
        <v>Error?</v>
      </c>
    </row>
    <row r="3632" spans="1:4" x14ac:dyDescent="0.2">
      <c r="A3632" s="5">
        <v>3571</v>
      </c>
      <c r="B3632" s="1832">
        <f>'Expenditures 15-22'!E349</f>
        <v>8382</v>
      </c>
      <c r="D3632" s="2" t="str">
        <f t="shared" si="55"/>
        <v>Error?</v>
      </c>
    </row>
    <row r="3633" spans="1:4" x14ac:dyDescent="0.2">
      <c r="A3633" s="5">
        <v>3572</v>
      </c>
      <c r="B3633" s="1832">
        <f>'Expenditures 15-22'!E350</f>
        <v>507067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507067</v>
      </c>
      <c r="C3635" s="2" t="s">
        <v>569</v>
      </c>
      <c r="D3635" s="2" t="str">
        <f t="shared" si="55"/>
        <v>Error?</v>
      </c>
    </row>
    <row r="3636" spans="1:4" x14ac:dyDescent="0.2">
      <c r="A3636" s="5">
        <v>3575</v>
      </c>
      <c r="B3636" s="1832">
        <f>'Expenditures 15-22'!E367</f>
        <v>507067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498685</v>
      </c>
      <c r="C3668" s="2" t="s">
        <v>569</v>
      </c>
      <c r="D3668" s="2" t="str">
        <f t="shared" si="56"/>
        <v>Error?</v>
      </c>
    </row>
    <row r="3669" spans="1:4" x14ac:dyDescent="0.2">
      <c r="A3669" s="5">
        <v>3608</v>
      </c>
      <c r="B3669" s="1832">
        <f>'Expenditures 15-22'!K349</f>
        <v>8382</v>
      </c>
      <c r="C3669" s="2" t="s">
        <v>569</v>
      </c>
      <c r="D3669" s="2" t="str">
        <f t="shared" si="56"/>
        <v>Error?</v>
      </c>
    </row>
    <row r="3670" spans="1:4" x14ac:dyDescent="0.2">
      <c r="A3670" s="5">
        <v>3609</v>
      </c>
      <c r="B3670" s="1832">
        <f>'Expenditures 15-22'!K350</f>
        <v>507067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507067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507067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-110933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45389</v>
      </c>
      <c r="C3725" s="2" t="s">
        <v>569</v>
      </c>
      <c r="D3725" s="2" t="str">
        <f t="shared" si="57"/>
        <v>Error?</v>
      </c>
    </row>
    <row r="3726" spans="1:4" x14ac:dyDescent="0.2">
      <c r="A3726" s="5">
        <v>3665</v>
      </c>
      <c r="B3726" s="1832">
        <f>'Tax Sched 23'!D13</f>
        <v>45389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47362</v>
      </c>
      <c r="C3728" s="2" t="s">
        <v>569</v>
      </c>
      <c r="D3728" s="2" t="str">
        <f t="shared" si="57"/>
        <v>Error?</v>
      </c>
    </row>
    <row r="3729" spans="1:4" x14ac:dyDescent="0.2">
      <c r="A3729" s="5">
        <v>3668</v>
      </c>
      <c r="B3729" s="1832">
        <f>'Tax Sched 23'!E13</f>
        <v>47362</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3182979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13051205</v>
      </c>
      <c r="C4122" s="2" t="s">
        <v>569</v>
      </c>
      <c r="D4122" s="2" t="str">
        <f t="shared" si="63"/>
        <v>Error?</v>
      </c>
    </row>
    <row r="4123" spans="1:4" x14ac:dyDescent="0.2">
      <c r="A4123" s="5">
        <v>4062</v>
      </c>
      <c r="B4123" s="1832">
        <f>'Acct Summary 7-8'!D10</f>
        <v>642939</v>
      </c>
      <c r="C4123" s="2" t="s">
        <v>569</v>
      </c>
      <c r="D4123" s="2" t="str">
        <f t="shared" si="63"/>
        <v>Error?</v>
      </c>
    </row>
    <row r="4124" spans="1:4" x14ac:dyDescent="0.2">
      <c r="A4124" s="5">
        <v>4063</v>
      </c>
      <c r="B4124" s="1832">
        <f>'Acct Summary 7-8'!E10</f>
        <v>144822</v>
      </c>
      <c r="C4124" s="2" t="s">
        <v>569</v>
      </c>
      <c r="D4124" s="2" t="str">
        <f t="shared" si="63"/>
        <v>Error?</v>
      </c>
    </row>
    <row r="4125" spans="1:4" x14ac:dyDescent="0.2">
      <c r="A4125" s="5">
        <v>4064</v>
      </c>
      <c r="B4125" s="1832">
        <f>'Acct Summary 7-8'!F10</f>
        <v>521310</v>
      </c>
      <c r="C4125" s="2" t="s">
        <v>569</v>
      </c>
      <c r="D4125" s="2" t="str">
        <f t="shared" si="63"/>
        <v>Error?</v>
      </c>
    </row>
    <row r="4126" spans="1:4" x14ac:dyDescent="0.2">
      <c r="A4126" s="5">
        <v>4065</v>
      </c>
      <c r="B4126" s="1832">
        <f>'Acct Summary 7-8'!G10</f>
        <v>350373</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51278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396134</v>
      </c>
      <c r="C4130" s="2" t="s">
        <v>569</v>
      </c>
      <c r="D4130" s="2" t="str">
        <f t="shared" si="63"/>
        <v>Error?</v>
      </c>
    </row>
    <row r="4131" spans="1:4" x14ac:dyDescent="0.2">
      <c r="A4131" s="5">
        <v>4070</v>
      </c>
      <c r="B4131" s="1832">
        <f>'Acct Summary 7-8'!C18</f>
        <v>3182979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12659177</v>
      </c>
      <c r="C4136" s="2" t="s">
        <v>569</v>
      </c>
      <c r="D4136" s="2" t="str">
        <f t="shared" si="63"/>
        <v>Error?</v>
      </c>
    </row>
    <row r="4137" spans="1:4" x14ac:dyDescent="0.2">
      <c r="A4137" s="5">
        <v>4076</v>
      </c>
      <c r="B4137" s="1832">
        <f>'Acct Summary 7-8'!D19</f>
        <v>651956</v>
      </c>
      <c r="C4137" s="2" t="s">
        <v>569</v>
      </c>
      <c r="D4137" s="2" t="str">
        <f t="shared" si="63"/>
        <v>Error?</v>
      </c>
    </row>
    <row r="4138" spans="1:4" x14ac:dyDescent="0.2">
      <c r="A4138" s="5">
        <v>4077</v>
      </c>
      <c r="B4138" s="1832">
        <f>'Acct Summary 7-8'!E19</f>
        <v>144560</v>
      </c>
      <c r="C4138" s="2" t="s">
        <v>569</v>
      </c>
      <c r="D4138" s="2" t="str">
        <f t="shared" si="63"/>
        <v>Error?</v>
      </c>
    </row>
    <row r="4139" spans="1:4" x14ac:dyDescent="0.2">
      <c r="A4139" s="5">
        <v>4078</v>
      </c>
      <c r="B4139" s="1832">
        <f>'Acct Summary 7-8'!F19</f>
        <v>818478</v>
      </c>
      <c r="C4139" s="2" t="s">
        <v>569</v>
      </c>
      <c r="D4139" s="2" t="str">
        <f t="shared" si="63"/>
        <v>Error?</v>
      </c>
    </row>
    <row r="4140" spans="1:4" x14ac:dyDescent="0.2">
      <c r="A4140" s="5">
        <v>4079</v>
      </c>
      <c r="B4140" s="1832">
        <f>'Acct Summary 7-8'!G19</f>
        <v>258839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507067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1535000</v>
      </c>
      <c r="C4171" s="2" t="s">
        <v>569</v>
      </c>
      <c r="D4171" s="2" t="str">
        <f t="shared" si="64"/>
        <v>Error?</v>
      </c>
    </row>
    <row r="4172" spans="1:4" x14ac:dyDescent="0.2">
      <c r="A4172" s="5">
        <v>4111</v>
      </c>
      <c r="B4172" s="1832">
        <f>'Short-Term Long-Term Debt 24'!J49</f>
        <v>1520337</v>
      </c>
      <c r="C4172" s="2" t="s">
        <v>569</v>
      </c>
      <c r="D4172" s="2" t="str">
        <f t="shared" si="64"/>
        <v>Error?</v>
      </c>
    </row>
    <row r="4173" spans="1:4" x14ac:dyDescent="0.2">
      <c r="A4173" s="5">
        <v>4112</v>
      </c>
      <c r="B4173" s="1832">
        <f>'Short-Term Long-Term Debt 24'!H49</f>
        <v>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2750</v>
      </c>
      <c r="C4265" s="2" t="s">
        <v>569</v>
      </c>
      <c r="D4265" s="2" t="str">
        <f t="shared" si="65"/>
        <v>Error?</v>
      </c>
      <c r="E4265" s="125"/>
    </row>
    <row r="4266" spans="1:5" x14ac:dyDescent="0.2">
      <c r="A4266" s="12">
        <v>4205</v>
      </c>
      <c r="B4266" s="1832">
        <f>('FP Info 3'!F10)*100000</f>
        <v>625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3574.9999999999995</v>
      </c>
      <c r="C4268" s="2" t="s">
        <v>569</v>
      </c>
      <c r="D4268" s="2" t="str">
        <f t="shared" si="65"/>
        <v>Error?</v>
      </c>
    </row>
    <row r="4269" spans="1:5" x14ac:dyDescent="0.2">
      <c r="A4269" s="12">
        <v>4208</v>
      </c>
      <c r="B4269" s="1832">
        <f>'FP Info 3'!J16</f>
        <v>10429986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8265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2973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31259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94723013</v>
      </c>
      <c r="D4995" s="2" t="str">
        <f t="shared" si="77"/>
        <v>Error?</v>
      </c>
    </row>
    <row r="4996" spans="1:4" x14ac:dyDescent="0.2">
      <c r="A4996" s="12">
        <v>4935</v>
      </c>
      <c r="B4996" s="1832">
        <f>'FP Info 3'!H31</f>
        <v>13071775.794000002</v>
      </c>
      <c r="D4996" s="2" t="str">
        <f t="shared" si="77"/>
        <v>Error?</v>
      </c>
    </row>
    <row r="4997" spans="1:4" x14ac:dyDescent="0.2">
      <c r="A4997" s="12">
        <v>4936</v>
      </c>
      <c r="B4997" s="1832">
        <f>'FP Info 3'!H37</f>
        <v>1535000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2496275</v>
      </c>
      <c r="D5061" s="2" t="str">
        <f t="shared" si="78"/>
        <v>Error?</v>
      </c>
    </row>
    <row r="5062" spans="1:4" x14ac:dyDescent="0.2">
      <c r="A5062" s="10">
        <v>5001</v>
      </c>
      <c r="B5062" s="1832"/>
      <c r="D5062" s="2" t="str">
        <f t="shared" si="78"/>
        <v>OK</v>
      </c>
    </row>
    <row r="5063" spans="1:4" x14ac:dyDescent="0.2">
      <c r="A5063" s="5">
        <v>5002</v>
      </c>
      <c r="B5063" s="1832">
        <f>'Revenues 9-14'!C7</f>
        <v>36313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2532588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21458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21458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4075</v>
      </c>
      <c r="D5094" s="2" t="str">
        <f t="shared" si="78"/>
        <v>Error?</v>
      </c>
    </row>
    <row r="5095" spans="1:4" x14ac:dyDescent="0.2">
      <c r="A5095" s="5">
        <v>5034</v>
      </c>
      <c r="B5095" s="1832">
        <f>'Revenues 9-14'!C74</f>
        <v>7839</v>
      </c>
      <c r="D5095" s="2" t="str">
        <f t="shared" si="78"/>
        <v>Error?</v>
      </c>
    </row>
    <row r="5096" spans="1:4" x14ac:dyDescent="0.2">
      <c r="A5096" s="5">
        <v>5035</v>
      </c>
      <c r="B5096" s="1832">
        <f>'Revenues 9-14'!C75</f>
        <v>97827</v>
      </c>
      <c r="C5096" s="2" t="s">
        <v>569</v>
      </c>
      <c r="D5096" s="2" t="str">
        <f t="shared" si="78"/>
        <v>Error?</v>
      </c>
    </row>
    <row r="5097" spans="1:4" x14ac:dyDescent="0.2">
      <c r="A5097" s="5">
        <v>5036</v>
      </c>
      <c r="B5097" s="1832">
        <f>'Revenues 9-14'!C77</f>
        <v>37444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32563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70007</v>
      </c>
      <c r="C5102" s="2" t="s">
        <v>569</v>
      </c>
      <c r="D5102" s="2" t="str">
        <f t="shared" si="78"/>
        <v>Error?</v>
      </c>
    </row>
    <row r="5103" spans="1:4" x14ac:dyDescent="0.2">
      <c r="A5103" s="5">
        <v>5042</v>
      </c>
      <c r="B5103" s="1832">
        <f>'Revenues 9-14'!C84</f>
        <v>17653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17653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60000</v>
      </c>
      <c r="D5114" s="2" t="str">
        <f t="shared" si="78"/>
        <v>Error?</v>
      </c>
    </row>
    <row r="5115" spans="1:4" x14ac:dyDescent="0.2">
      <c r="A5115" s="5">
        <v>5054</v>
      </c>
      <c r="B5115" s="1832">
        <f>'Revenues 9-14'!C98</f>
        <v>109512</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78124</v>
      </c>
      <c r="D5119" s="2" t="str">
        <f t="shared" ref="D5119:D5182" si="79">IF(ISBLANK(B5119),"OK",IF(A5119-B5119=0,"OK","Error?"))</f>
        <v>Error?</v>
      </c>
    </row>
    <row r="5120" spans="1:4" x14ac:dyDescent="0.2">
      <c r="A5120" s="5">
        <v>5059</v>
      </c>
      <c r="B5120" s="1832">
        <f>'Revenues 9-14'!C108</f>
        <v>252221</v>
      </c>
      <c r="C5120" s="2" t="s">
        <v>569</v>
      </c>
      <c r="D5120" s="2" t="str">
        <f t="shared" si="79"/>
        <v>Error?</v>
      </c>
    </row>
    <row r="5121" spans="1:4" x14ac:dyDescent="0.2">
      <c r="A5121" s="5">
        <v>5060</v>
      </c>
      <c r="B5121" s="1832">
        <f>'Revenues 9-14'!C109</f>
        <v>2991754</v>
      </c>
      <c r="C5121" s="2" t="s">
        <v>569</v>
      </c>
      <c r="D5121" s="2" t="str">
        <f t="shared" si="79"/>
        <v>Error?</v>
      </c>
    </row>
    <row r="5122" spans="1:4" x14ac:dyDescent="0.2">
      <c r="A5122" s="5">
        <v>5061</v>
      </c>
      <c r="B5122" s="1832">
        <f>'Revenues 9-14'!C111</f>
        <v>34974</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34974</v>
      </c>
      <c r="C5125" s="2" t="s">
        <v>569</v>
      </c>
      <c r="D5125" s="2" t="str">
        <f t="shared" si="79"/>
        <v>Error?</v>
      </c>
    </row>
    <row r="5126" spans="1:4" x14ac:dyDescent="0.2">
      <c r="A5126" s="5">
        <v>5065</v>
      </c>
      <c r="B5126" s="1832">
        <f>'Revenues 9-14'!C117</f>
        <v>4284720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4284720</v>
      </c>
      <c r="C5132" s="2" t="s">
        <v>569</v>
      </c>
      <c r="D5132" s="2" t="str">
        <f t="shared" si="79"/>
        <v>Error?</v>
      </c>
    </row>
    <row r="5133" spans="1:4" x14ac:dyDescent="0.2">
      <c r="A5133" s="5">
        <v>5072</v>
      </c>
      <c r="B5133" s="1832">
        <f>'Revenues 9-14'!C125</f>
        <v>3309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1334894</v>
      </c>
      <c r="D5137" s="2" t="str">
        <f t="shared" si="79"/>
        <v>Error?</v>
      </c>
    </row>
    <row r="5138" spans="1:4" x14ac:dyDescent="0.2">
      <c r="A5138" s="10">
        <v>5077</v>
      </c>
      <c r="B5138" s="1832"/>
      <c r="D5138" s="2" t="str">
        <f t="shared" si="79"/>
        <v>OK</v>
      </c>
    </row>
    <row r="5139" spans="1:4" x14ac:dyDescent="0.2">
      <c r="A5139" s="5">
        <v>5078</v>
      </c>
      <c r="B5139" s="1832">
        <f>'Revenues 9-14'!C129</f>
        <v>319460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1657663</v>
      </c>
      <c r="C5147" s="2" t="s">
        <v>569</v>
      </c>
      <c r="D5147" s="2" t="str">
        <f t="shared" si="79"/>
        <v>Error?</v>
      </c>
    </row>
    <row r="5148" spans="1:4" x14ac:dyDescent="0.2">
      <c r="A5148" s="5">
        <v>5087</v>
      </c>
      <c r="B5148" s="1832">
        <f>'Revenues 9-14'!C134</f>
        <v>17568</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8366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37624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1199</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1199</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2596</v>
      </c>
      <c r="D5167" s="2" t="str">
        <f t="shared" si="79"/>
        <v>Error?</v>
      </c>
    </row>
    <row r="5168" spans="1:4" x14ac:dyDescent="0.2">
      <c r="A5168" s="5">
        <v>5107</v>
      </c>
      <c r="B5168" s="1832">
        <f>'Revenues 9-14'!C148</f>
        <v>10244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1709326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5994046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142603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30037</v>
      </c>
      <c r="D5241" s="2" t="str">
        <f t="shared" si="80"/>
        <v>Error?</v>
      </c>
    </row>
    <row r="5242" spans="1:4" x14ac:dyDescent="0.2">
      <c r="A5242" s="5">
        <v>5181</v>
      </c>
      <c r="B5242" s="1832">
        <f>'Revenues 9-14'!C194</f>
        <v>42181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214821</v>
      </c>
      <c r="C5246" s="2" t="s">
        <v>569</v>
      </c>
      <c r="D5246" s="2" t="str">
        <f t="shared" si="80"/>
        <v>Error?</v>
      </c>
    </row>
    <row r="5247" spans="1:4" x14ac:dyDescent="0.2">
      <c r="A5247" s="5">
        <v>5186</v>
      </c>
      <c r="B5247" s="1832">
        <f>'Revenues 9-14'!C200</f>
        <v>299414</v>
      </c>
      <c r="D5247" s="2" t="str">
        <f t="shared" ref="D5247:D5310" si="81">IF(ISBLANK(B5247),"OK",IF(A5247-B5247=0,"OK","Error?"))</f>
        <v>Error?</v>
      </c>
    </row>
    <row r="5248" spans="1:4" x14ac:dyDescent="0.2">
      <c r="A5248" s="5">
        <v>5187</v>
      </c>
      <c r="B5248" s="1832">
        <f>'Revenues 9-14'!C201</f>
        <v>28006</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327420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1985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260729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262714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847452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847452</v>
      </c>
      <c r="C5326" s="2" t="s">
        <v>569</v>
      </c>
      <c r="D5326" s="2" t="str">
        <f t="shared" si="82"/>
        <v>Error?</v>
      </c>
    </row>
    <row r="5327" spans="1:5" x14ac:dyDescent="0.2">
      <c r="A5327" s="5">
        <v>5266</v>
      </c>
      <c r="B5327" s="1832">
        <f>'Revenues 9-14'!C268</f>
        <v>9868226</v>
      </c>
      <c r="C5327" s="2" t="s">
        <v>569</v>
      </c>
      <c r="D5327" s="2" t="str">
        <f t="shared" si="82"/>
        <v>Error?</v>
      </c>
    </row>
    <row r="5328" spans="1:5" x14ac:dyDescent="0.2">
      <c r="A5328" s="5">
        <v>5267</v>
      </c>
      <c r="B5328" s="1832">
        <f>'Revenues 9-14'!D5</f>
        <v>567337</v>
      </c>
      <c r="D5328" s="2" t="str">
        <f t="shared" si="82"/>
        <v>Error?</v>
      </c>
    </row>
    <row r="5329" spans="1:4" x14ac:dyDescent="0.2">
      <c r="A5329" s="10">
        <v>5268</v>
      </c>
      <c r="B5329" s="1832"/>
      <c r="D5329" s="2" t="str">
        <f t="shared" si="82"/>
        <v>OK</v>
      </c>
    </row>
    <row r="5330" spans="1:4" x14ac:dyDescent="0.2">
      <c r="A5330" s="5">
        <v>5269</v>
      </c>
      <c r="B5330" s="1832">
        <f>'Revenues 9-14'!D6</f>
        <v>45389</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612726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3676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3676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20537</v>
      </c>
      <c r="D5354" s="2" t="str">
        <f t="shared" si="82"/>
        <v>Error?</v>
      </c>
    </row>
    <row r="5355" spans="1:4" x14ac:dyDescent="0.2">
      <c r="A5355" s="5">
        <v>5294</v>
      </c>
      <c r="B5355" s="1832">
        <f>'Revenues 9-14'!D108</f>
        <v>26537</v>
      </c>
      <c r="C5355" s="2" t="s">
        <v>569</v>
      </c>
      <c r="D5355" s="2" t="str">
        <f t="shared" si="82"/>
        <v>Error?</v>
      </c>
    </row>
    <row r="5356" spans="1:4" x14ac:dyDescent="0.2">
      <c r="A5356" s="5">
        <v>5295</v>
      </c>
      <c r="B5356" s="1832">
        <f>'Revenues 9-14'!D109</f>
        <v>642939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642939</v>
      </c>
      <c r="C5508" s="2" t="s">
        <v>569</v>
      </c>
      <c r="D5508" s="2" t="str">
        <f t="shared" si="85"/>
        <v>Error?</v>
      </c>
    </row>
    <row r="5509" spans="1:4" x14ac:dyDescent="0.2">
      <c r="A5509" s="5">
        <v>5448</v>
      </c>
      <c r="B5509" s="1832">
        <f>'Revenues 9-14'!E5</f>
        <v>144708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144708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114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144822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144822</v>
      </c>
      <c r="C5552" s="2" t="s">
        <v>569</v>
      </c>
      <c r="D5552" s="2" t="str">
        <f t="shared" si="85"/>
        <v>Error?</v>
      </c>
    </row>
    <row r="5553" spans="1:4" x14ac:dyDescent="0.2">
      <c r="A5553" s="5">
        <v>5492</v>
      </c>
      <c r="B5553" s="1832">
        <f>'Revenues 9-14'!F5</f>
        <v>181555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181555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638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638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4378</v>
      </c>
      <c r="D5586" s="2" t="str">
        <f t="shared" si="86"/>
        <v>Error?</v>
      </c>
    </row>
    <row r="5587" spans="1:4" x14ac:dyDescent="0.2">
      <c r="A5587" s="5">
        <v>5526</v>
      </c>
      <c r="B5587" s="1832">
        <f>'Revenues 9-14'!F108</f>
        <v>4378</v>
      </c>
      <c r="C5587" s="2" t="s">
        <v>569</v>
      </c>
      <c r="D5587" s="2" t="str">
        <f t="shared" si="86"/>
        <v>Error?</v>
      </c>
    </row>
    <row r="5588" spans="1:4" x14ac:dyDescent="0.2">
      <c r="A5588" s="5">
        <v>5527</v>
      </c>
      <c r="B5588" s="1832">
        <f>'Revenues 9-14'!F109</f>
        <v>186571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215993</v>
      </c>
      <c r="D5615" s="2" t="str">
        <f t="shared" si="86"/>
        <v>Error?</v>
      </c>
    </row>
    <row r="5616" spans="1:4" x14ac:dyDescent="0.2">
      <c r="A5616" s="10">
        <v>5555</v>
      </c>
      <c r="B5616" s="1832"/>
      <c r="D5616" s="2" t="str">
        <f t="shared" si="86"/>
        <v>OK</v>
      </c>
    </row>
    <row r="5617" spans="1:5" x14ac:dyDescent="0.2">
      <c r="A5617" s="5">
        <v>5556</v>
      </c>
      <c r="B5617" s="1832">
        <f>'Revenues 9-14'!F153</f>
        <v>118746</v>
      </c>
      <c r="D5617" s="2" t="str">
        <f t="shared" si="86"/>
        <v>Error?</v>
      </c>
    </row>
    <row r="5618" spans="1:5" x14ac:dyDescent="0.2">
      <c r="A5618" s="5">
        <v>5557</v>
      </c>
      <c r="B5618" s="1832">
        <f>'Revenues 9-14'!F155</f>
        <v>334739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334739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334739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521310</v>
      </c>
      <c r="C5720" s="2" t="s">
        <v>569</v>
      </c>
      <c r="D5720" s="2" t="str">
        <f t="shared" si="88"/>
        <v>Error?</v>
      </c>
    </row>
    <row r="5721" spans="1:4" x14ac:dyDescent="0.2">
      <c r="A5721" s="5">
        <v>5660</v>
      </c>
      <c r="B5721" s="1832">
        <f>'Revenues 9-14'!G5</f>
        <v>177697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170652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348349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2024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2024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350373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45389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45389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5889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5889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51278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45389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45389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222867</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222867</v>
      </c>
      <c r="C5992" s="2" t="s">
        <v>569</v>
      </c>
      <c r="D5992" s="2" t="str">
        <f t="shared" si="92"/>
        <v>Error?</v>
      </c>
    </row>
    <row r="5993" spans="1:4" x14ac:dyDescent="0.2">
      <c r="A5993" s="5">
        <v>5932</v>
      </c>
      <c r="B5993" s="1832">
        <f>'Revenues 9-14'!K65</f>
        <v>281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77597</v>
      </c>
      <c r="D5998" s="2" t="str">
        <f t="shared" si="92"/>
        <v>Error?</v>
      </c>
    </row>
    <row r="5999" spans="1:4" x14ac:dyDescent="0.2">
      <c r="A5999" s="5">
        <v>5938</v>
      </c>
      <c r="B5999" s="1832">
        <f>'Revenues 9-14'!K108</f>
        <v>77597</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396134</v>
      </c>
      <c r="C6023" s="2" t="s">
        <v>569</v>
      </c>
      <c r="D6023" s="2" t="str">
        <f t="shared" si="93"/>
        <v>Error?</v>
      </c>
    </row>
    <row r="6024" spans="1:5" x14ac:dyDescent="0.2">
      <c r="A6024" s="5">
        <v>5963</v>
      </c>
      <c r="B6024" s="1832">
        <f>'Revenues 9-14'!G109</f>
        <v>350373</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51278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346134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85913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37705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817.8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653266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653266</v>
      </c>
      <c r="D6215" s="2" t="str">
        <f t="shared" si="96"/>
        <v>Error?</v>
      </c>
      <c r="E6215" s="2" t="s">
        <v>189</v>
      </c>
    </row>
    <row r="6216" spans="1:5" x14ac:dyDescent="0.2">
      <c r="A6216">
        <v>6155</v>
      </c>
      <c r="B6216" s="1832">
        <f>'Assets-Liab 5-6'!J41</f>
        <v>653266</v>
      </c>
      <c r="D6216" s="2" t="str">
        <f t="shared" si="96"/>
        <v>Error?</v>
      </c>
      <c r="E6216" s="2" t="s">
        <v>189</v>
      </c>
    </row>
    <row r="6217" spans="1:5" x14ac:dyDescent="0.2">
      <c r="A6217">
        <v>6156</v>
      </c>
      <c r="B6217" s="1832">
        <f>'Assets-Liab 5-6'!J4</f>
        <v>117078</v>
      </c>
      <c r="D6217" s="2" t="str">
        <f t="shared" si="96"/>
        <v>Error?</v>
      </c>
      <c r="E6217" s="2" t="s">
        <v>189</v>
      </c>
    </row>
    <row r="6218" spans="1:5" x14ac:dyDescent="0.2">
      <c r="A6218">
        <v>6157</v>
      </c>
      <c r="B6218" s="1832">
        <f>'Assets-Liab 5-6'!J5</f>
        <v>536188</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538564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538564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538564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463182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463182</v>
      </c>
      <c r="D6229" s="2" t="str">
        <f t="shared" si="96"/>
        <v>Error?</v>
      </c>
      <c r="E6229" s="2" t="s">
        <v>189</v>
      </c>
    </row>
    <row r="6230" spans="1:5" x14ac:dyDescent="0.2">
      <c r="A6230">
        <v>6169</v>
      </c>
      <c r="B6230" s="1832">
        <f>'Acct Summary 7-8'!J20</f>
        <v>75382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75382</v>
      </c>
      <c r="D6263" s="2" t="str">
        <f t="shared" si="96"/>
        <v>Error?</v>
      </c>
      <c r="E6263" s="2" t="s">
        <v>189</v>
      </c>
    </row>
    <row r="6264" spans="1:5" x14ac:dyDescent="0.2">
      <c r="A6264">
        <v>6203</v>
      </c>
      <c r="B6264" s="1832">
        <f>'Acct Summary 7-8'!J79</f>
        <v>577884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653266</v>
      </c>
      <c r="D6266" s="2" t="str">
        <f t="shared" si="96"/>
        <v>Error?</v>
      </c>
      <c r="E6266" s="2" t="s">
        <v>189</v>
      </c>
    </row>
    <row r="6267" spans="1:5" x14ac:dyDescent="0.2">
      <c r="A6267">
        <v>6206</v>
      </c>
      <c r="B6267" s="1832">
        <f>'Acct Summary 7-8'!C82</f>
        <v>79272</v>
      </c>
      <c r="D6267" s="2" t="str">
        <f t="shared" si="96"/>
        <v>Error?</v>
      </c>
      <c r="E6267" s="2" t="s">
        <v>189</v>
      </c>
    </row>
    <row r="6268" spans="1:5" x14ac:dyDescent="0.2">
      <c r="A6268">
        <v>6207</v>
      </c>
      <c r="B6268" s="1832">
        <f>'Acct Summary 7-8'!D82</f>
        <v>-9017</v>
      </c>
      <c r="D6268" s="2" t="str">
        <f t="shared" si="96"/>
        <v>Error?</v>
      </c>
      <c r="E6268" s="2" t="s">
        <v>189</v>
      </c>
    </row>
    <row r="6269" spans="1:5" x14ac:dyDescent="0.2">
      <c r="A6269">
        <v>6208</v>
      </c>
      <c r="B6269" s="1832">
        <f>'Acct Summary 7-8'!E82</f>
        <v>262</v>
      </c>
      <c r="D6269" s="2" t="str">
        <f t="shared" si="96"/>
        <v>Error?</v>
      </c>
      <c r="E6269" s="2" t="s">
        <v>189</v>
      </c>
    </row>
    <row r="6270" spans="1:5" x14ac:dyDescent="0.2">
      <c r="A6270">
        <v>6209</v>
      </c>
      <c r="B6270" s="1832">
        <f>'Acct Summary 7-8'!F82</f>
        <v>-297168</v>
      </c>
      <c r="D6270" s="2" t="str">
        <f t="shared" si="96"/>
        <v>Error?</v>
      </c>
      <c r="E6270" s="2" t="s">
        <v>189</v>
      </c>
    </row>
    <row r="6271" spans="1:5" x14ac:dyDescent="0.2">
      <c r="A6271">
        <v>6210</v>
      </c>
      <c r="B6271" s="1832">
        <f>'Acct Summary 7-8'!G82</f>
        <v>91534</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-59586</v>
      </c>
      <c r="D6273" s="2" t="str">
        <f t="shared" si="97"/>
        <v>Error?</v>
      </c>
      <c r="E6273" s="2" t="s">
        <v>189</v>
      </c>
    </row>
    <row r="6274" spans="1:5" x14ac:dyDescent="0.2">
      <c r="A6274">
        <v>6213</v>
      </c>
      <c r="B6274" s="1832">
        <f>'Acct Summary 7-8'!J82</f>
        <v>75382</v>
      </c>
      <c r="D6274" s="2" t="str">
        <f t="shared" si="97"/>
        <v>Error?</v>
      </c>
      <c r="E6274" s="2" t="s">
        <v>189</v>
      </c>
    </row>
    <row r="6275" spans="1:5" x14ac:dyDescent="0.2">
      <c r="A6275">
        <v>6214</v>
      </c>
      <c r="B6275" s="1832">
        <f>'Acct Summary 7-8'!K82</f>
        <v>-69</v>
      </c>
      <c r="D6275" s="2" t="str">
        <f t="shared" si="97"/>
        <v>Error?</v>
      </c>
      <c r="E6275" s="2" t="s">
        <v>189</v>
      </c>
    </row>
    <row r="6276" spans="1:5" x14ac:dyDescent="0.2">
      <c r="A6276">
        <v>6215</v>
      </c>
      <c r="B6276" s="1832">
        <f>'Acct Summary 7-8'!C83</f>
        <v>1.1091744617309485E-2</v>
      </c>
      <c r="D6276" s="2" t="str">
        <f t="shared" si="97"/>
        <v>Error?</v>
      </c>
      <c r="E6276" s="2" t="s">
        <v>189</v>
      </c>
    </row>
    <row r="6277" spans="1:5" x14ac:dyDescent="0.2">
      <c r="A6277">
        <v>6216</v>
      </c>
      <c r="B6277" s="1832">
        <f>'Acct Summary 7-8'!D83</f>
        <v>-7.647902997075527E-3</v>
      </c>
      <c r="D6277" s="2" t="str">
        <f t="shared" si="97"/>
        <v>Error?</v>
      </c>
      <c r="E6277" s="2" t="s">
        <v>189</v>
      </c>
    </row>
    <row r="6278" spans="1:5" x14ac:dyDescent="0.2">
      <c r="A6278">
        <v>6217</v>
      </c>
      <c r="B6278" s="1832">
        <f>'Acct Summary 7-8'!E83</f>
        <v>1.7868103389483733E-2</v>
      </c>
      <c r="D6278" s="2" t="str">
        <f t="shared" si="97"/>
        <v>Error?</v>
      </c>
      <c r="E6278" s="2" t="s">
        <v>189</v>
      </c>
    </row>
    <row r="6279" spans="1:5" x14ac:dyDescent="0.2">
      <c r="A6279">
        <v>6218</v>
      </c>
      <c r="B6279" s="1832">
        <f>'Acct Summary 7-8'!F83</f>
        <v>-10.788063602700937</v>
      </c>
      <c r="D6279" s="2" t="str">
        <f t="shared" si="97"/>
        <v>Error?</v>
      </c>
      <c r="E6279" s="2" t="s">
        <v>189</v>
      </c>
    </row>
    <row r="6280" spans="1:5" x14ac:dyDescent="0.2">
      <c r="A6280">
        <v>6219</v>
      </c>
      <c r="B6280" s="1832">
        <f>'Acct Summary 7-8'!G83</f>
        <v>0.13644277494559223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-2.8695580564674857E-2</v>
      </c>
      <c r="D6282" s="2" t="str">
        <f t="shared" si="97"/>
        <v>Error?</v>
      </c>
      <c r="E6282" s="2" t="s">
        <v>189</v>
      </c>
    </row>
    <row r="6283" spans="1:5" x14ac:dyDescent="0.2">
      <c r="A6283">
        <v>6222</v>
      </c>
      <c r="B6283" s="1832">
        <f>'Acct Summary 7-8'!J83</f>
        <v>0.11539250473773317</v>
      </c>
      <c r="D6283" s="2" t="str">
        <f t="shared" si="97"/>
        <v>Error?</v>
      </c>
      <c r="E6283" s="2" t="s">
        <v>189</v>
      </c>
    </row>
    <row r="6284" spans="1:5" x14ac:dyDescent="0.2">
      <c r="A6284">
        <v>6223</v>
      </c>
      <c r="B6284" s="1832">
        <f>'Acct Summary 7-8'!K83</f>
        <v>-7.2177242201719699E-4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533962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533962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4602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4602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4585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538564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11690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71935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89690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55677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463182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538564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1508</v>
      </c>
      <c r="D7073" s="2" t="str">
        <f t="shared" si="109"/>
        <v>Error?</v>
      </c>
    </row>
    <row r="7074" spans="1:4" x14ac:dyDescent="0.2">
      <c r="A7074">
        <v>7013</v>
      </c>
      <c r="B7074" s="1832">
        <f>'Expenditures 15-22'!K216</f>
        <v>1508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615</v>
      </c>
      <c r="D7079" s="2" t="str">
        <f t="shared" si="109"/>
        <v>Error?</v>
      </c>
    </row>
    <row r="7080" spans="1:4" x14ac:dyDescent="0.2">
      <c r="A7080">
        <v>7019</v>
      </c>
      <c r="B7080" s="1832">
        <f>'Expenditures 15-22'!K226</f>
        <v>615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243191</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197605</v>
      </c>
      <c r="D7174" s="2" t="str">
        <f t="shared" si="111"/>
        <v>Error?</v>
      </c>
    </row>
    <row r="7175" spans="1:4" x14ac:dyDescent="0.2">
      <c r="A7175">
        <v>7114</v>
      </c>
      <c r="B7175" s="1832">
        <f>'Expenditures 15-22'!F325</f>
        <v>22386</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463182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243191</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197605</v>
      </c>
      <c r="D7201" s="2" t="str">
        <f t="shared" si="111"/>
        <v>Error?</v>
      </c>
    </row>
    <row r="7202" spans="1:4" x14ac:dyDescent="0.2">
      <c r="A7202">
        <v>7141</v>
      </c>
      <c r="B7202" s="1832">
        <f>'Expenditures 15-22'!F330</f>
        <v>22386</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463182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243191</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197605</v>
      </c>
      <c r="D7218" s="2" t="str">
        <f t="shared" si="111"/>
        <v>Error?</v>
      </c>
    </row>
    <row r="7219" spans="1:4" x14ac:dyDescent="0.2">
      <c r="A7219">
        <v>7158</v>
      </c>
      <c r="B7219" s="1832">
        <f>'Expenditures 15-22'!F342</f>
        <v>22386</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463182</v>
      </c>
      <c r="D7224" s="2" t="str">
        <f t="shared" si="111"/>
        <v>Error?</v>
      </c>
    </row>
    <row r="7225" spans="1:4" x14ac:dyDescent="0.2">
      <c r="A7225">
        <v>7164</v>
      </c>
      <c r="B7225" s="1832">
        <f>'Expenditures 15-22'!K343</f>
        <v>75382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17107</v>
      </c>
      <c r="D7246" s="2" t="str">
        <f t="shared" si="112"/>
        <v>Error?</v>
      </c>
    </row>
    <row r="7247" spans="1:4" x14ac:dyDescent="0.2">
      <c r="A7247">
        <f t="shared" si="113"/>
        <v>7186</v>
      </c>
      <c r="B7247" s="1832">
        <f>'Expenditures 15-22'!E7</f>
        <v>90</v>
      </c>
      <c r="D7247" s="2" t="str">
        <f t="shared" si="112"/>
        <v>Error?</v>
      </c>
    </row>
    <row r="7248" spans="1:4" x14ac:dyDescent="0.2">
      <c r="A7248">
        <f t="shared" si="113"/>
        <v>7187</v>
      </c>
      <c r="B7248" s="1832">
        <f>'Expenditures 15-22'!F7</f>
        <v>558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41489</v>
      </c>
      <c r="D7263" s="2" t="str">
        <f t="shared" si="112"/>
        <v>Error?</v>
      </c>
    </row>
    <row r="7264" spans="1:4" x14ac:dyDescent="0.2">
      <c r="A7264">
        <f t="shared" si="113"/>
        <v>7203</v>
      </c>
      <c r="B7264" s="1832">
        <f>'Expenditures 15-22'!D17</f>
        <v>12718</v>
      </c>
      <c r="D7264" s="2" t="str">
        <f t="shared" si="112"/>
        <v>Error?</v>
      </c>
    </row>
    <row r="7265" spans="1:5" x14ac:dyDescent="0.2">
      <c r="A7265">
        <f t="shared" si="113"/>
        <v>7204</v>
      </c>
      <c r="B7265" s="1832">
        <f>'Expenditures 15-22'!E17</f>
        <v>585</v>
      </c>
      <c r="D7265" s="2" t="str">
        <f t="shared" si="112"/>
        <v>Error?</v>
      </c>
    </row>
    <row r="7266" spans="1:5" x14ac:dyDescent="0.2">
      <c r="A7266">
        <f t="shared" si="113"/>
        <v>7205</v>
      </c>
      <c r="B7266" s="1832">
        <f>'Expenditures 15-22'!F17</f>
        <v>885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513115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4585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10244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14829</v>
      </c>
      <c r="D7719" s="2" t="str">
        <f t="shared" si="126"/>
        <v>Error?</v>
      </c>
      <c r="E7719" s="2" t="s">
        <v>822</v>
      </c>
    </row>
    <row r="7720" spans="1:6" x14ac:dyDescent="0.2">
      <c r="A7720">
        <v>7659</v>
      </c>
      <c r="B7720" s="1832">
        <f>'Rest Tax Levies-Tort Im 25'!H14</f>
        <v>36313</v>
      </c>
      <c r="D7720" s="2" t="str">
        <f t="shared" si="126"/>
        <v>Error?</v>
      </c>
      <c r="E7720" s="2" t="s">
        <v>822</v>
      </c>
    </row>
    <row r="7721" spans="1:6" x14ac:dyDescent="0.2">
      <c r="A7721">
        <v>7660</v>
      </c>
      <c r="B7721" s="1832">
        <f>'Rest Tax Levies-Tort Im 25'!K14</f>
        <v>14829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110864</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14829</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2220000</v>
      </c>
      <c r="D7817" s="2" t="str">
        <f t="shared" si="128"/>
        <v>Error?</v>
      </c>
      <c r="E7817" s="4" t="s">
        <v>1963</v>
      </c>
    </row>
    <row r="7818" spans="1:5" x14ac:dyDescent="0.2">
      <c r="A7818">
        <v>7757</v>
      </c>
      <c r="B7818" s="1832">
        <f>'PCTC-OEPP 27-28'!F172</f>
        <v>202451</v>
      </c>
      <c r="D7818" s="2" t="str">
        <f t="shared" si="128"/>
        <v>Error?</v>
      </c>
      <c r="E7818" s="4" t="s">
        <v>1977</v>
      </c>
    </row>
    <row r="7819" spans="1:5" x14ac:dyDescent="0.2">
      <c r="A7819">
        <v>7758</v>
      </c>
      <c r="B7819" s="1832">
        <f>'PCTC-OEPP 27-28'!F173</f>
        <v>29564</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11813213</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89690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1807660</v>
      </c>
      <c r="D7834" s="2" t="str">
        <f t="shared" si="129"/>
        <v>Error?</v>
      </c>
      <c r="E7834" s="4" t="s">
        <v>1995</v>
      </c>
    </row>
    <row r="7835" spans="1:5" x14ac:dyDescent="0.2">
      <c r="A7835">
        <v>7774</v>
      </c>
      <c r="B7835" s="1832">
        <f>'PCTC-OEPP 27-28'!F78</f>
        <v>10005553</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12234.718757642457</v>
      </c>
      <c r="D7837" s="2" t="str">
        <f t="shared" si="129"/>
        <v>Error?</v>
      </c>
      <c r="E7837" s="4" t="s">
        <v>1995</v>
      </c>
    </row>
    <row r="7838" spans="1:5" x14ac:dyDescent="0.2">
      <c r="A7838">
        <v>7777</v>
      </c>
      <c r="B7838" s="1832">
        <f>'PCTC-OEPP 27-28'!F96</f>
        <v>70007</v>
      </c>
      <c r="D7838" s="2" t="str">
        <f t="shared" si="129"/>
        <v>Error?</v>
      </c>
      <c r="E7838" s="4" t="s">
        <v>1995</v>
      </c>
    </row>
    <row r="7839" spans="1:5" x14ac:dyDescent="0.2">
      <c r="A7839">
        <v>7778</v>
      </c>
      <c r="B7839" s="1832">
        <f>'PCTC-OEPP 27-28'!F102</f>
        <v>6000</v>
      </c>
      <c r="D7839" s="2" t="str">
        <f t="shared" si="129"/>
        <v>Error?</v>
      </c>
      <c r="E7839" s="4" t="s">
        <v>1995</v>
      </c>
    </row>
    <row r="7840" spans="1:5" x14ac:dyDescent="0.2">
      <c r="A7840">
        <v>7779</v>
      </c>
      <c r="B7840" s="1832">
        <f>'PCTC-OEPP 27-28'!F103</f>
        <v>109512</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1657663</v>
      </c>
      <c r="D7842" s="2" t="str">
        <f t="shared" si="129"/>
        <v>Error?</v>
      </c>
      <c r="E7842" s="4" t="s">
        <v>1995</v>
      </c>
    </row>
    <row r="7843" spans="1:5" x14ac:dyDescent="0.2">
      <c r="A7843">
        <v>7782</v>
      </c>
      <c r="B7843" s="1832">
        <f>'PCTC-OEPP 27-28'!F107</f>
        <v>37624</v>
      </c>
      <c r="D7843" s="2" t="str">
        <f t="shared" si="129"/>
        <v>Error?</v>
      </c>
      <c r="E7843" s="4" t="s">
        <v>1995</v>
      </c>
    </row>
    <row r="7844" spans="1:5" x14ac:dyDescent="0.2">
      <c r="A7844">
        <v>7783</v>
      </c>
      <c r="B7844" s="1832">
        <f>'PCTC-OEPP 27-28'!F108</f>
        <v>1199</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10244</v>
      </c>
      <c r="D7846" s="2" t="str">
        <f t="shared" si="129"/>
        <v>Error?</v>
      </c>
      <c r="E7846" s="4" t="s">
        <v>1995</v>
      </c>
    </row>
    <row r="7847" spans="1:5" x14ac:dyDescent="0.2">
      <c r="A7847">
        <v>7786</v>
      </c>
      <c r="B7847" s="1832">
        <f>'PCTC-OEPP 27-28'!F112</f>
        <v>334739</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214821</v>
      </c>
      <c r="D7858" s="2" t="str">
        <f t="shared" si="129"/>
        <v>Error?</v>
      </c>
      <c r="E7858" s="4" t="s">
        <v>1995</v>
      </c>
    </row>
    <row r="7859" spans="1:5" x14ac:dyDescent="0.2">
      <c r="A7859">
        <v>7798</v>
      </c>
      <c r="B7859" s="1832">
        <f>'PCTC-OEPP 27-28'!F127</f>
        <v>327420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260729</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31259</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8265</v>
      </c>
      <c r="D7874" s="2" t="str">
        <f t="shared" si="129"/>
        <v>Error?</v>
      </c>
      <c r="E7874" s="4" t="s">
        <v>1995</v>
      </c>
    </row>
    <row r="7875" spans="1:5" x14ac:dyDescent="0.2">
      <c r="A7875">
        <v>7814</v>
      </c>
      <c r="B7875" s="1832">
        <f>'PCTC-OEPP 27-28'!F170</f>
        <v>2973</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3422546</v>
      </c>
      <c r="D7877" s="2" t="str">
        <f t="shared" si="129"/>
        <v>Error?</v>
      </c>
      <c r="E7877" s="4" t="s">
        <v>1995</v>
      </c>
    </row>
    <row r="7878" spans="1:5" x14ac:dyDescent="0.2">
      <c r="A7878">
        <v>7817</v>
      </c>
      <c r="B7878" s="1832">
        <f>'PCTC-OEPP 27-28'!F176</f>
        <v>6583007</v>
      </c>
      <c r="D7878" s="2" t="str">
        <f t="shared" si="129"/>
        <v>Error?</v>
      </c>
      <c r="E7878" s="4" t="s">
        <v>1995</v>
      </c>
    </row>
    <row r="7879" spans="1:5" x14ac:dyDescent="0.2">
      <c r="A7879">
        <v>7818</v>
      </c>
      <c r="B7879" s="1832">
        <f>'PCTC-OEPP 27-28'!F178</f>
        <v>7096122</v>
      </c>
      <c r="D7879" s="2" t="str">
        <f t="shared" si="129"/>
        <v>Error?</v>
      </c>
      <c r="E7879" s="4" t="s">
        <v>1995</v>
      </c>
    </row>
    <row r="7880" spans="1:5" x14ac:dyDescent="0.2">
      <c r="A7880">
        <v>7819</v>
      </c>
      <c r="B7880" s="1832">
        <f>'PCTC-OEPP 27-28'!F180</f>
        <v>8677.0873074101255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Iroquois West CUSD 10</v>
      </c>
      <c r="B7" s="2537"/>
      <c r="C7" s="2537"/>
      <c r="D7" s="2538"/>
      <c r="E7" s="2539">
        <f>COVER!A13</f>
        <v>32038010026</v>
      </c>
      <c r="F7" s="2540"/>
      <c r="G7" s="2546">
        <f>COVER!T23</f>
        <v>65.018319000000005</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RUSSELL LEIGH &amp; ASSOCIATES LLC</v>
      </c>
      <c r="H9" s="2552"/>
      <c r="I9" s="2552"/>
      <c r="J9" s="2552"/>
      <c r="K9" s="2552"/>
      <c r="L9" s="2553"/>
    </row>
    <row r="10" spans="1:29" ht="13.5" customHeight="1" x14ac:dyDescent="0.2">
      <c r="A10" s="2525" t="str">
        <f>COVER!A38</f>
        <v>Angelo Lekkas</v>
      </c>
      <c r="B10" s="2526"/>
      <c r="C10" s="2526"/>
      <c r="D10" s="2526"/>
      <c r="E10" s="2526"/>
      <c r="F10" s="2527"/>
      <c r="G10" s="2519" t="str">
        <f>COVER!T17</f>
        <v>228 E MAIN ST</v>
      </c>
      <c r="H10" s="2520"/>
      <c r="I10" s="2520"/>
      <c r="J10" s="2520"/>
      <c r="K10" s="2520"/>
      <c r="L10" s="2521"/>
    </row>
    <row r="11" spans="1:29" ht="13.5" customHeight="1" x14ac:dyDescent="0.2">
      <c r="A11" s="963" t="s">
        <v>1502</v>
      </c>
      <c r="B11" s="964"/>
      <c r="C11" s="965"/>
      <c r="D11" s="970"/>
      <c r="E11" s="965"/>
      <c r="F11" s="969"/>
      <c r="G11" s="2519" t="str">
        <f>COVER!T19</f>
        <v>HOOPESTON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admin@russleigh.com</v>
      </c>
      <c r="J13" s="2532"/>
      <c r="K13" s="2532"/>
      <c r="L13" s="2533"/>
    </row>
    <row r="14" spans="1:29" ht="13.5" customHeight="1" x14ac:dyDescent="0.2">
      <c r="A14" s="2519" t="str">
        <f>COVER!A19</f>
        <v>529 E. SECOND ST.</v>
      </c>
      <c r="B14" s="2520"/>
      <c r="C14" s="2520"/>
      <c r="D14" s="2520"/>
      <c r="E14" s="2520"/>
      <c r="F14" s="2521"/>
      <c r="G14" s="974" t="s">
        <v>1175</v>
      </c>
      <c r="H14" s="972"/>
      <c r="I14" s="972"/>
      <c r="J14" s="972"/>
      <c r="K14" s="972"/>
      <c r="L14" s="973"/>
    </row>
    <row r="15" spans="1:29" ht="13.5" customHeight="1" x14ac:dyDescent="0.2">
      <c r="A15" s="2519" t="str">
        <f>COVER!A21</f>
        <v>GILMAN</v>
      </c>
      <c r="B15" s="2520"/>
      <c r="C15" s="2520"/>
      <c r="D15" s="2520"/>
      <c r="E15" s="2520"/>
      <c r="F15" s="2521"/>
      <c r="G15" s="2516" t="str">
        <f>COVER!T15</f>
        <v>RUSS LEIGH</v>
      </c>
      <c r="H15" s="2517"/>
      <c r="I15" s="2517"/>
      <c r="J15" s="2517"/>
      <c r="K15" s="2517"/>
      <c r="L15" s="2518"/>
    </row>
    <row r="16" spans="1:29" ht="12.2" customHeight="1" x14ac:dyDescent="0.2">
      <c r="A16" s="2542">
        <f>COVER!A25</f>
        <v>60938</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217-283-9336</v>
      </c>
      <c r="H18" s="2537"/>
      <c r="I18" s="2537"/>
      <c r="J18" s="2537"/>
      <c r="K18" s="2536" t="str">
        <f>COVER!X21</f>
        <v>217-283-9736</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Iroquois West CUSD 10</v>
      </c>
      <c r="B1" s="2559"/>
      <c r="C1" s="2559"/>
      <c r="D1" s="2559"/>
    </row>
    <row r="2" spans="1:11" s="991" customFormat="1" ht="12.75" x14ac:dyDescent="0.2">
      <c r="A2" s="2560">
        <f>'Single Audit Cover'!E7</f>
        <v>32038010026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Iroquois West CUSD 10</v>
      </c>
      <c r="B1" s="2563"/>
      <c r="C1" s="2563"/>
      <c r="D1" s="2563"/>
      <c r="E1" s="2563"/>
    </row>
    <row r="2" spans="1:5" x14ac:dyDescent="0.2">
      <c r="A2" s="2564">
        <f>'Single Audit Cover'!E7</f>
        <v>32038010026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847452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37705</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-2973</v>
      </c>
    </row>
    <row r="19" spans="1:4" ht="13.5" thickBot="1" x14ac:dyDescent="0.25">
      <c r="A19" s="1041" t="s">
        <v>1224</v>
      </c>
      <c r="D19" s="1042">
        <f>SUM(D10:D17)</f>
        <v>882184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882184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882184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657E-1EB8-42E9-BFE2-2072828DE369}">
  <dimension ref="B1:N152"/>
  <sheetViews>
    <sheetView showGridLines="0" topLeftCell="A16" zoomScaleNormal="100" workbookViewId="0">
      <selection activeCell="M45" sqref="M4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Iroquois West CUSD 10</v>
      </c>
      <c r="C1" s="2567"/>
      <c r="D1" s="2567"/>
      <c r="E1" s="2567"/>
      <c r="F1" s="2567"/>
      <c r="G1" s="2567"/>
      <c r="H1" s="2567"/>
      <c r="I1" s="2567"/>
      <c r="J1" s="2567"/>
      <c r="K1" s="2567"/>
      <c r="L1" s="2567"/>
      <c r="M1" s="2567"/>
    </row>
    <row r="2" spans="2:14" ht="15" x14ac:dyDescent="0.2">
      <c r="B2" s="2568">
        <f>'Single Audit Cover'!E7</f>
        <v>32038010026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2096</v>
      </c>
      <c r="C11" s="1821"/>
      <c r="D11" s="1822"/>
      <c r="E11" s="1823"/>
      <c r="F11" s="1823"/>
      <c r="G11" s="1823"/>
      <c r="H11" s="1823"/>
      <c r="I11" s="1823"/>
      <c r="J11" s="1823"/>
      <c r="K11" s="1823"/>
      <c r="L11" s="1823">
        <f>+G11+I11+K11</f>
        <v>0</v>
      </c>
      <c r="M11" s="1823"/>
    </row>
    <row r="12" spans="2:14" ht="20.100000000000001" customHeight="1" x14ac:dyDescent="0.2">
      <c r="B12" s="1113" t="s">
        <v>2097</v>
      </c>
      <c r="C12" s="1824"/>
      <c r="D12" s="1825"/>
      <c r="E12" s="1826"/>
      <c r="F12" s="1826"/>
      <c r="G12" s="1826"/>
      <c r="H12" s="1826"/>
      <c r="I12" s="1826"/>
      <c r="J12" s="1826"/>
      <c r="K12" s="1826"/>
      <c r="L12" s="1823">
        <f t="shared" ref="L12:L27" si="0">+G12+I12+K12</f>
        <v>0</v>
      </c>
      <c r="M12" s="1826"/>
    </row>
    <row r="13" spans="2:14" ht="20.100000000000001" customHeight="1" x14ac:dyDescent="0.2">
      <c r="B13" s="1113" t="s">
        <v>2098</v>
      </c>
      <c r="C13" s="1824">
        <v>10.555</v>
      </c>
      <c r="D13" s="1825">
        <v>4210</v>
      </c>
      <c r="E13" s="1826">
        <v>172954</v>
      </c>
      <c r="F13" s="1826">
        <v>31412</v>
      </c>
      <c r="G13" s="1826">
        <v>172954</v>
      </c>
      <c r="H13" s="1826"/>
      <c r="I13" s="1826">
        <v>31412</v>
      </c>
      <c r="J13" s="1826"/>
      <c r="K13" s="1826"/>
      <c r="L13" s="1823">
        <f t="shared" si="0"/>
        <v>204366</v>
      </c>
      <c r="M13" s="1826"/>
    </row>
    <row r="14" spans="2:14" ht="20.100000000000001" customHeight="1" x14ac:dyDescent="0.2">
      <c r="B14" s="1113" t="s">
        <v>2099</v>
      </c>
      <c r="C14" s="1824">
        <v>10.555</v>
      </c>
      <c r="D14" s="1825">
        <v>4210</v>
      </c>
      <c r="E14" s="1826"/>
      <c r="F14" s="1826">
        <v>111191</v>
      </c>
      <c r="G14" s="1826"/>
      <c r="H14" s="1826"/>
      <c r="I14" s="1826">
        <v>111191</v>
      </c>
      <c r="J14" s="1826"/>
      <c r="K14" s="1826"/>
      <c r="L14" s="1823">
        <f t="shared" si="0"/>
        <v>111191</v>
      </c>
      <c r="M14" s="1826">
        <v>150000</v>
      </c>
    </row>
    <row r="15" spans="2:14" ht="20.100000000000001" customHeight="1" x14ac:dyDescent="0.2">
      <c r="B15" s="1113" t="s">
        <v>2100</v>
      </c>
      <c r="C15" s="1824">
        <v>10.553000000000001</v>
      </c>
      <c r="D15" s="1825">
        <v>4220</v>
      </c>
      <c r="E15" s="1826">
        <v>37794</v>
      </c>
      <c r="F15" s="1826">
        <v>6384</v>
      </c>
      <c r="G15" s="1826">
        <v>37794</v>
      </c>
      <c r="H15" s="1826"/>
      <c r="I15" s="1826">
        <v>6384</v>
      </c>
      <c r="J15" s="1826"/>
      <c r="K15" s="1826"/>
      <c r="L15" s="1823">
        <f t="shared" si="0"/>
        <v>44178</v>
      </c>
      <c r="M15" s="1826"/>
    </row>
    <row r="16" spans="2:14" ht="20.100000000000001" customHeight="1" x14ac:dyDescent="0.2">
      <c r="B16" s="1113" t="s">
        <v>2101</v>
      </c>
      <c r="C16" s="1824">
        <v>10.553000000000001</v>
      </c>
      <c r="D16" s="1825">
        <v>4220</v>
      </c>
      <c r="E16" s="1826"/>
      <c r="F16" s="1826">
        <v>23653</v>
      </c>
      <c r="G16" s="1826"/>
      <c r="H16" s="1826"/>
      <c r="I16" s="1826">
        <v>23653</v>
      </c>
      <c r="J16" s="1826"/>
      <c r="K16" s="1826"/>
      <c r="L16" s="1823">
        <f t="shared" si="0"/>
        <v>23653</v>
      </c>
      <c r="M16" s="1826">
        <v>32000</v>
      </c>
    </row>
    <row r="17" spans="2:14" ht="20.100000000000001" customHeight="1" x14ac:dyDescent="0.2">
      <c r="B17" s="1113" t="s">
        <v>2102</v>
      </c>
      <c r="C17" s="1824">
        <v>10.557</v>
      </c>
      <c r="D17" s="1825">
        <v>4225</v>
      </c>
      <c r="E17" s="1826"/>
      <c r="F17" s="1826">
        <v>42181</v>
      </c>
      <c r="G17" s="1826"/>
      <c r="H17" s="1826"/>
      <c r="I17" s="1826">
        <v>42181</v>
      </c>
      <c r="J17" s="1826"/>
      <c r="K17" s="1826"/>
      <c r="L17" s="1823">
        <f t="shared" si="0"/>
        <v>42181</v>
      </c>
      <c r="M17" s="1826"/>
    </row>
    <row r="18" spans="2:14" ht="20.100000000000001" customHeight="1" x14ac:dyDescent="0.2">
      <c r="B18" s="1113" t="s">
        <v>2103</v>
      </c>
      <c r="C18" s="1824">
        <v>10.555</v>
      </c>
      <c r="D18" s="1825">
        <v>4250</v>
      </c>
      <c r="E18" s="1826"/>
      <c r="F18" s="1826">
        <v>31067</v>
      </c>
      <c r="G18" s="1826"/>
      <c r="H18" s="1826"/>
      <c r="I18" s="1826">
        <v>31067</v>
      </c>
      <c r="J18" s="1826"/>
      <c r="K18" s="1826"/>
      <c r="L18" s="1823">
        <f t="shared" si="0"/>
        <v>31067</v>
      </c>
      <c r="M18" s="1826"/>
    </row>
    <row r="19" spans="2:14" ht="20.100000000000001" customHeight="1" x14ac:dyDescent="0.2">
      <c r="B19" s="1113" t="s">
        <v>2104</v>
      </c>
      <c r="C19" s="1824">
        <v>10.555</v>
      </c>
      <c r="D19" s="1825"/>
      <c r="E19" s="1826"/>
      <c r="F19" s="1826">
        <v>6638</v>
      </c>
      <c r="G19" s="1826"/>
      <c r="H19" s="1826"/>
      <c r="I19" s="1826">
        <v>6638</v>
      </c>
      <c r="J19" s="1826"/>
      <c r="K19" s="1826"/>
      <c r="L19" s="1823">
        <f t="shared" si="0"/>
        <v>6638</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2105</v>
      </c>
      <c r="C21" s="1824"/>
      <c r="D21" s="1825"/>
      <c r="E21" s="1826">
        <v>210748</v>
      </c>
      <c r="F21" s="1826">
        <v>252526</v>
      </c>
      <c r="G21" s="1826">
        <v>210748</v>
      </c>
      <c r="H21" s="1826"/>
      <c r="I21" s="1826">
        <v>252526</v>
      </c>
      <c r="J21" s="1826"/>
      <c r="K21" s="1826"/>
      <c r="L21" s="1823">
        <f t="shared" si="0"/>
        <v>463274</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2106</v>
      </c>
      <c r="C23" s="1824"/>
      <c r="D23" s="1825"/>
      <c r="E23" s="1826"/>
      <c r="F23" s="1826"/>
      <c r="G23" s="1826"/>
      <c r="H23" s="1826"/>
      <c r="I23" s="1826"/>
      <c r="J23" s="1826"/>
      <c r="K23" s="1826"/>
      <c r="L23" s="1823">
        <f t="shared" si="0"/>
        <v>0</v>
      </c>
      <c r="M23" s="1826"/>
    </row>
    <row r="24" spans="2:14" ht="20.100000000000001" customHeight="1" x14ac:dyDescent="0.2">
      <c r="B24" s="1113" t="s">
        <v>2097</v>
      </c>
      <c r="C24" s="1824"/>
      <c r="D24" s="1825"/>
      <c r="E24" s="1826"/>
      <c r="F24" s="1826"/>
      <c r="G24" s="1826"/>
      <c r="H24" s="1826"/>
      <c r="I24" s="1826"/>
      <c r="J24" s="1826"/>
      <c r="K24" s="1826"/>
      <c r="L24" s="1823">
        <f t="shared" si="0"/>
        <v>0</v>
      </c>
      <c r="M24" s="1826"/>
    </row>
    <row r="25" spans="2:14" ht="20.100000000000001" customHeight="1" x14ac:dyDescent="0.2">
      <c r="B25" s="1113" t="s">
        <v>2107</v>
      </c>
      <c r="C25" s="1824" t="s">
        <v>2108</v>
      </c>
      <c r="D25" s="1825">
        <v>4300</v>
      </c>
      <c r="E25" s="1826">
        <v>181925</v>
      </c>
      <c r="F25" s="1826">
        <v>14561</v>
      </c>
      <c r="G25" s="1826">
        <v>209462</v>
      </c>
      <c r="H25" s="1826"/>
      <c r="I25" s="1826"/>
      <c r="J25" s="1826"/>
      <c r="K25" s="1826"/>
      <c r="L25" s="1823">
        <f t="shared" si="0"/>
        <v>209462</v>
      </c>
      <c r="M25" s="1826"/>
    </row>
    <row r="26" spans="2:14" ht="20.100000000000001" customHeight="1" x14ac:dyDescent="0.2">
      <c r="B26" s="1113" t="s">
        <v>2109</v>
      </c>
      <c r="C26" s="1824" t="s">
        <v>2108</v>
      </c>
      <c r="D26" s="1825">
        <v>4300</v>
      </c>
      <c r="E26" s="1826"/>
      <c r="F26" s="1826">
        <v>211888</v>
      </c>
      <c r="G26" s="1826"/>
      <c r="H26" s="1826"/>
      <c r="I26" s="1826">
        <v>216784</v>
      </c>
      <c r="J26" s="1826"/>
      <c r="K26" s="1826"/>
      <c r="L26" s="1823">
        <f t="shared" si="0"/>
        <v>216784</v>
      </c>
      <c r="M26" s="1826">
        <v>250000</v>
      </c>
    </row>
    <row r="27" spans="2:14" ht="20.100000000000001" customHeight="1" x14ac:dyDescent="0.2">
      <c r="B27" s="1113" t="s">
        <v>2110</v>
      </c>
      <c r="C27" s="1824" t="s">
        <v>2108</v>
      </c>
      <c r="D27" s="1825">
        <v>4306</v>
      </c>
      <c r="E27" s="1826"/>
      <c r="F27" s="1826">
        <v>28006</v>
      </c>
      <c r="G27" s="1826"/>
      <c r="H27" s="1826"/>
      <c r="I27" s="1826">
        <v>28806</v>
      </c>
      <c r="J27" s="1826"/>
      <c r="K27" s="1826"/>
      <c r="L27" s="1823">
        <f t="shared" si="0"/>
        <v>28806</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G27" sqref="G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Iroquois West CUSD 10</v>
      </c>
      <c r="C1" s="2567"/>
      <c r="D1" s="2567"/>
      <c r="E1" s="2567"/>
      <c r="F1" s="2567"/>
      <c r="G1" s="2567"/>
      <c r="H1" s="2567"/>
      <c r="I1" s="2567"/>
      <c r="J1" s="2567"/>
      <c r="K1" s="2567"/>
      <c r="L1" s="2567"/>
      <c r="M1" s="2567"/>
    </row>
    <row r="2" spans="2:14" ht="15" x14ac:dyDescent="0.2">
      <c r="B2" s="2568">
        <f>'Single Audit Cover'!E7</f>
        <v>32038010026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2112</v>
      </c>
      <c r="C11" s="1821">
        <v>84.013000000000005</v>
      </c>
      <c r="D11" s="1822">
        <v>4331</v>
      </c>
      <c r="E11" s="1823">
        <v>28061</v>
      </c>
      <c r="F11" s="1823">
        <v>13600</v>
      </c>
      <c r="G11" s="1823">
        <v>34150</v>
      </c>
      <c r="H11" s="1823"/>
      <c r="I11" s="1823">
        <v>7510</v>
      </c>
      <c r="J11" s="1823"/>
      <c r="K11" s="1823"/>
      <c r="L11" s="1823">
        <f>+G11+I11+K11</f>
        <v>41660</v>
      </c>
      <c r="M11" s="1823"/>
    </row>
    <row r="12" spans="2:14" ht="20.100000000000001" customHeight="1" x14ac:dyDescent="0.2">
      <c r="B12" s="1113" t="s">
        <v>2111</v>
      </c>
      <c r="C12" s="1824">
        <v>84.013000000000005</v>
      </c>
      <c r="D12" s="1825">
        <v>4331</v>
      </c>
      <c r="E12" s="1826"/>
      <c r="F12" s="1826">
        <v>59365</v>
      </c>
      <c r="G12" s="1826"/>
      <c r="H12" s="1826"/>
      <c r="I12" s="1826">
        <v>59365</v>
      </c>
      <c r="J12" s="1826"/>
      <c r="K12" s="1826"/>
      <c r="L12" s="1823">
        <f t="shared" ref="L12:L27" si="0">+G12+I12+K12</f>
        <v>59365</v>
      </c>
      <c r="M12" s="1826">
        <v>60000</v>
      </c>
    </row>
    <row r="13" spans="2:14" ht="20.100000000000001" customHeight="1" x14ac:dyDescent="0.2">
      <c r="B13" s="1113" t="s">
        <v>2114</v>
      </c>
      <c r="C13" s="1824" t="s">
        <v>2113</v>
      </c>
      <c r="D13" s="1825">
        <v>4600</v>
      </c>
      <c r="E13" s="1826"/>
      <c r="F13" s="1826">
        <v>1985</v>
      </c>
      <c r="G13" s="1826"/>
      <c r="H13" s="1826"/>
      <c r="I13" s="1826">
        <v>1985</v>
      </c>
      <c r="J13" s="1826"/>
      <c r="K13" s="1826"/>
      <c r="L13" s="1823">
        <f t="shared" si="0"/>
        <v>1985</v>
      </c>
      <c r="M13" s="1826"/>
    </row>
    <row r="14" spans="2:14" ht="20.100000000000001" customHeight="1" x14ac:dyDescent="0.2">
      <c r="B14" s="1113" t="s">
        <v>2115</v>
      </c>
      <c r="C14" s="1824">
        <v>84.027000000000001</v>
      </c>
      <c r="D14" s="1825">
        <v>4620</v>
      </c>
      <c r="E14" s="1826"/>
      <c r="F14" s="1826">
        <v>260729</v>
      </c>
      <c r="G14" s="1826"/>
      <c r="H14" s="1826"/>
      <c r="I14" s="1826">
        <v>260729</v>
      </c>
      <c r="J14" s="1826"/>
      <c r="K14" s="1826"/>
      <c r="L14" s="1823">
        <f t="shared" si="0"/>
        <v>260729</v>
      </c>
      <c r="M14" s="1826"/>
    </row>
    <row r="15" spans="2:14" ht="20.100000000000001" customHeight="1" x14ac:dyDescent="0.2">
      <c r="B15" s="1113" t="s">
        <v>2116</v>
      </c>
      <c r="C15" s="1824">
        <v>84.424000000000007</v>
      </c>
      <c r="D15" s="1825">
        <v>4932</v>
      </c>
      <c r="E15" s="1826"/>
      <c r="F15" s="1826">
        <v>31259</v>
      </c>
      <c r="G15" s="1826"/>
      <c r="H15" s="1826"/>
      <c r="I15" s="1826">
        <v>31259</v>
      </c>
      <c r="J15" s="1826"/>
      <c r="K15" s="1826"/>
      <c r="L15" s="1823">
        <f t="shared" si="0"/>
        <v>31259</v>
      </c>
      <c r="M15" s="1826">
        <v>35000</v>
      </c>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2117</v>
      </c>
      <c r="C17" s="1824"/>
      <c r="D17" s="1825"/>
      <c r="E17" s="1826">
        <v>209986</v>
      </c>
      <c r="F17" s="1826">
        <v>621393</v>
      </c>
      <c r="G17" s="1826">
        <v>243612</v>
      </c>
      <c r="H17" s="1826"/>
      <c r="I17" s="1826">
        <v>607732</v>
      </c>
      <c r="J17" s="1826"/>
      <c r="K17" s="1826"/>
      <c r="L17" s="1823">
        <f t="shared" si="0"/>
        <v>851344</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2118</v>
      </c>
      <c r="C19" s="1824"/>
      <c r="D19" s="1825"/>
      <c r="E19" s="1826"/>
      <c r="F19" s="1826"/>
      <c r="G19" s="1826"/>
      <c r="H19" s="1826"/>
      <c r="I19" s="1826"/>
      <c r="J19" s="1826"/>
      <c r="K19" s="1826"/>
      <c r="L19" s="1823">
        <f t="shared" si="0"/>
        <v>0</v>
      </c>
      <c r="M19" s="1826"/>
    </row>
    <row r="20" spans="2:14" ht="20.100000000000001" customHeight="1" x14ac:dyDescent="0.2">
      <c r="B20" s="1113" t="s">
        <v>2119</v>
      </c>
      <c r="C20" s="1824"/>
      <c r="D20" s="1825"/>
      <c r="E20" s="1826"/>
      <c r="F20" s="1826"/>
      <c r="G20" s="1826"/>
      <c r="H20" s="1826"/>
      <c r="I20" s="1826"/>
      <c r="J20" s="1826"/>
      <c r="K20" s="1826"/>
      <c r="L20" s="1823">
        <f t="shared" si="0"/>
        <v>0</v>
      </c>
      <c r="M20" s="1826"/>
    </row>
    <row r="21" spans="2:14" ht="20.100000000000001" customHeight="1" x14ac:dyDescent="0.2">
      <c r="B21" s="1113" t="s">
        <v>2120</v>
      </c>
      <c r="C21" s="1824">
        <v>93.778000000000006</v>
      </c>
      <c r="D21" s="1825">
        <v>4999</v>
      </c>
      <c r="E21" s="1826"/>
      <c r="F21" s="1826">
        <v>8265</v>
      </c>
      <c r="G21" s="1826"/>
      <c r="H21" s="1826"/>
      <c r="I21" s="1826">
        <v>8265</v>
      </c>
      <c r="J21" s="1826"/>
      <c r="K21" s="1826"/>
      <c r="L21" s="1823">
        <f t="shared" si="0"/>
        <v>8265</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2121</v>
      </c>
      <c r="C23" s="1824"/>
      <c r="D23" s="1825"/>
      <c r="E23" s="1826"/>
      <c r="F23" s="1826">
        <v>8265</v>
      </c>
      <c r="G23" s="1826"/>
      <c r="H23" s="1826"/>
      <c r="I23" s="1826">
        <v>8265</v>
      </c>
      <c r="J23" s="1826"/>
      <c r="K23" s="1826"/>
      <c r="L23" s="1823">
        <f t="shared" si="0"/>
        <v>8265</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2122</v>
      </c>
      <c r="C26" s="1824"/>
      <c r="D26" s="1825"/>
      <c r="E26" s="1826">
        <v>420729</v>
      </c>
      <c r="F26" s="1826">
        <v>882184</v>
      </c>
      <c r="G26" s="1826">
        <v>454360</v>
      </c>
      <c r="H26" s="1826"/>
      <c r="I26" s="1826">
        <v>868523</v>
      </c>
      <c r="J26" s="1826"/>
      <c r="K26" s="1826"/>
      <c r="L26" s="1823">
        <f t="shared" si="0"/>
        <v>1322883</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Iroquois West CUSD 10</v>
      </c>
      <c r="B1" s="2580"/>
      <c r="C1" s="2580"/>
      <c r="D1" s="2580"/>
      <c r="E1" s="2580"/>
      <c r="F1" s="2580"/>
    </row>
    <row r="2" spans="1:7" ht="13.5" customHeight="1" x14ac:dyDescent="0.2">
      <c r="A2" s="2568">
        <f>'Single Audit Cover'!E7</f>
        <v>32038010026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2123</v>
      </c>
      <c r="B7" s="2579"/>
      <c r="C7" s="2579"/>
      <c r="D7" s="2579"/>
      <c r="E7" s="2579"/>
      <c r="F7" s="257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2124</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2125</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t="s">
        <v>2126</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2127</v>
      </c>
      <c r="B32" s="2573"/>
      <c r="C32" s="2573"/>
      <c r="D32" s="2573"/>
      <c r="E32" s="2573"/>
      <c r="F32" s="2573"/>
    </row>
    <row r="33" spans="1:6" ht="13.5" customHeight="1" x14ac:dyDescent="0.2">
      <c r="A33" s="306" t="s">
        <v>1417</v>
      </c>
      <c r="B33" s="306"/>
      <c r="C33" s="1064">
        <v>31067</v>
      </c>
      <c r="D33" s="1526"/>
      <c r="E33" s="1062"/>
    </row>
    <row r="34" spans="1:6" ht="13.5" customHeight="1" x14ac:dyDescent="0.2">
      <c r="A34" s="306" t="s">
        <v>1808</v>
      </c>
      <c r="B34" s="306"/>
      <c r="C34" s="1065">
        <v>6638</v>
      </c>
      <c r="D34" s="1526" t="s">
        <v>1572</v>
      </c>
      <c r="E34" s="2574">
        <f>+C33+C34</f>
        <v>37705</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2128</v>
      </c>
      <c r="D38" s="1526"/>
      <c r="E38" s="1062"/>
    </row>
    <row r="39" spans="1:6" ht="14.25" customHeight="1" x14ac:dyDescent="0.2">
      <c r="A39" s="306"/>
      <c r="B39" s="306" t="s">
        <v>1419</v>
      </c>
      <c r="C39" s="1068" t="s">
        <v>2128</v>
      </c>
      <c r="D39" s="1526"/>
      <c r="E39" s="1062"/>
    </row>
    <row r="40" spans="1:6" ht="14.25" customHeight="1" x14ac:dyDescent="0.2">
      <c r="A40" s="306"/>
      <c r="B40" s="306" t="s">
        <v>1420</v>
      </c>
      <c r="C40" s="1068" t="s">
        <v>2128</v>
      </c>
      <c r="D40" s="1526"/>
      <c r="E40" s="1062"/>
    </row>
    <row r="41" spans="1:6" ht="14.25" customHeight="1" x14ac:dyDescent="0.2">
      <c r="A41" s="306"/>
      <c r="B41" s="306" t="s">
        <v>1421</v>
      </c>
      <c r="C41" s="1068" t="s">
        <v>2128</v>
      </c>
      <c r="D41" s="1526"/>
      <c r="E41" s="1062"/>
    </row>
    <row r="42" spans="1:6" ht="14.25" customHeight="1" x14ac:dyDescent="0.2">
      <c r="A42" s="306" t="s">
        <v>1422</v>
      </c>
      <c r="B42" s="306"/>
      <c r="C42" s="1524" t="s">
        <v>2128</v>
      </c>
      <c r="D42" s="1526"/>
      <c r="E42" s="1062"/>
    </row>
    <row r="43" spans="1:6" ht="14.25" customHeight="1" x14ac:dyDescent="0.2">
      <c r="A43" s="306" t="s">
        <v>1423</v>
      </c>
      <c r="B43" s="306"/>
      <c r="C43" s="1069" t="s">
        <v>2128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Iroquois West CUSD 10</v>
      </c>
      <c r="C1" s="2595"/>
      <c r="D1" s="2595"/>
      <c r="E1" s="2595"/>
      <c r="F1" s="2595"/>
      <c r="G1" s="2595"/>
      <c r="H1" s="2595"/>
      <c r="I1" s="2595"/>
      <c r="J1" s="1178"/>
    </row>
    <row r="2" spans="2:10" s="295" customFormat="1" ht="12.75" customHeight="1" x14ac:dyDescent="0.2">
      <c r="B2" s="2596">
        <f>'Single Audit Cover'!E7</f>
        <v>32038010026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t="s">
        <v>2129</v>
      </c>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2124</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2124</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2124</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2124</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2124</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t="s">
        <v>2130</v>
      </c>
      <c r="E29" s="2601"/>
      <c r="F29" s="2601"/>
      <c r="G29" s="2601"/>
      <c r="H29" s="2601"/>
      <c r="I29" s="260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2124</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2" t="s">
        <v>1725</v>
      </c>
      <c r="D37" s="2603"/>
      <c r="E37" s="2603"/>
      <c r="F37" s="2604"/>
      <c r="G37" s="2602" t="s">
        <v>1575</v>
      </c>
      <c r="H37" s="2603"/>
      <c r="I37" s="2604"/>
    </row>
    <row r="38" spans="2:9" ht="16.5" customHeight="1" x14ac:dyDescent="0.2">
      <c r="B38" s="1200" t="s">
        <v>2108</v>
      </c>
      <c r="C38" s="2590" t="s">
        <v>2131</v>
      </c>
      <c r="D38" s="2591"/>
      <c r="E38" s="2591"/>
      <c r="F38" s="2592"/>
      <c r="G38" s="2605">
        <v>252300</v>
      </c>
      <c r="H38" s="2606"/>
      <c r="I38" s="2607"/>
    </row>
    <row r="39" spans="2:9" ht="16.5" customHeight="1" x14ac:dyDescent="0.2">
      <c r="B39" s="1200">
        <v>10.555</v>
      </c>
      <c r="C39" s="2590" t="s">
        <v>2132</v>
      </c>
      <c r="D39" s="2591"/>
      <c r="E39" s="2591"/>
      <c r="F39" s="2592"/>
      <c r="G39" s="2593">
        <v>180308</v>
      </c>
      <c r="H39" s="2593"/>
      <c r="I39" s="2593"/>
    </row>
    <row r="40" spans="2:9" ht="16.5" customHeight="1" x14ac:dyDescent="0.2">
      <c r="B40" s="1200">
        <v>84.027000000000001</v>
      </c>
      <c r="C40" s="2590" t="s">
        <v>2133</v>
      </c>
      <c r="D40" s="2591"/>
      <c r="E40" s="2591"/>
      <c r="F40" s="2592"/>
      <c r="G40" s="2593">
        <v>260726</v>
      </c>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693334</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868523</v>
      </c>
      <c r="E45" s="2588"/>
    </row>
    <row r="46" spans="2:9" ht="5.25" customHeight="1" x14ac:dyDescent="0.2">
      <c r="B46" s="1201"/>
      <c r="D46" s="1202"/>
      <c r="E46" s="1203"/>
    </row>
    <row r="47" spans="2:9" ht="12.75" customHeight="1" x14ac:dyDescent="0.2">
      <c r="B47" s="1076" t="s">
        <v>1577</v>
      </c>
      <c r="C47" s="1076"/>
      <c r="D47" s="1204">
        <f>+G43/D45</f>
        <v>0.79829089154806498</v>
      </c>
      <c r="E47" s="1205"/>
      <c r="F47" s="1206"/>
      <c r="I47" s="1207"/>
    </row>
    <row r="48" spans="2:9" ht="9.9499999999999993" customHeight="1" x14ac:dyDescent="0.2"/>
    <row r="49" spans="1:9" x14ac:dyDescent="0.2">
      <c r="B49" s="1138" t="s">
        <v>1262</v>
      </c>
      <c r="C49" s="1058"/>
      <c r="D49" s="1058"/>
      <c r="E49" s="2589">
        <v>750000</v>
      </c>
      <c r="F49" s="2589"/>
      <c r="G49" s="2589"/>
      <c r="H49" s="300"/>
    </row>
    <row r="51" spans="1:9" ht="13.5" customHeight="1" x14ac:dyDescent="0.2">
      <c r="B51" s="1138" t="s">
        <v>1261</v>
      </c>
      <c r="C51" s="1058"/>
      <c r="E51" s="1194"/>
      <c r="F51" s="1076" t="s">
        <v>879</v>
      </c>
      <c r="G51" s="1194" t="s">
        <v>2134</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Iroquois West CUSD 10</v>
      </c>
      <c r="C1" s="2594"/>
      <c r="D1" s="2594"/>
      <c r="E1" s="2594"/>
      <c r="F1" s="2594"/>
      <c r="G1" s="2594"/>
      <c r="H1" s="2594"/>
      <c r="I1" s="2594"/>
      <c r="J1" s="2594"/>
      <c r="K1" s="2594"/>
      <c r="L1" s="1144"/>
      <c r="M1" s="1144"/>
    </row>
    <row r="2" spans="1:13" ht="12" customHeight="1" x14ac:dyDescent="0.2">
      <c r="B2" s="2596">
        <f>'Single Audit Cover'!E7</f>
        <v>32038010026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2135</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2136</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2137</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2138</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2139</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2140</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t="s">
        <v>2141</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Iroquois West CUSD 10</v>
      </c>
      <c r="C1" s="2617"/>
      <c r="D1" s="2617"/>
      <c r="E1" s="2617"/>
      <c r="F1" s="2617"/>
      <c r="G1" s="2617"/>
      <c r="H1" s="2617"/>
      <c r="I1" s="2617"/>
      <c r="J1" s="2617"/>
      <c r="K1" s="2617"/>
      <c r="L1" s="1221"/>
    </row>
    <row r="2" spans="1:12" ht="12.75" customHeight="1" x14ac:dyDescent="0.2">
      <c r="B2" s="2618">
        <f>'Single Audit Cover'!E7</f>
        <v>32038010026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t="s">
        <v>2126</v>
      </c>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Iroquois West CUSD 10</v>
      </c>
      <c r="C1" s="2594"/>
      <c r="D1" s="2594"/>
      <c r="E1" s="1240"/>
    </row>
    <row r="2" spans="2:5" s="1058" customFormat="1" ht="12.75" customHeight="1" x14ac:dyDescent="0.2">
      <c r="B2" s="2596">
        <f>'Single Audit Cover'!E7</f>
        <v>32038010026</v>
      </c>
      <c r="C2" s="2596"/>
      <c r="D2" s="2596"/>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2126</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94723013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2.75E-2</v>
      </c>
      <c r="E10" s="333" t="s">
        <v>998</v>
      </c>
      <c r="F10" s="332">
        <v>6.2500000000000003E-3</v>
      </c>
      <c r="G10" s="333" t="s">
        <v>998</v>
      </c>
      <c r="H10" s="332">
        <v>2E-3</v>
      </c>
      <c r="I10" s="333" t="s">
        <v>999</v>
      </c>
      <c r="J10" s="1424">
        <f>ROUND(D10+F10+H10,5)</f>
        <v>3.5749999999999997E-2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11083753</v>
      </c>
      <c r="E16" s="1547"/>
      <c r="F16" s="1546">
        <f>SUM('Acct Summary 7-8'!C17,'Acct Summary 7-8'!D17,'Acct Summary 7-8'!F17)</f>
        <v>10946632</v>
      </c>
      <c r="G16" s="1547"/>
      <c r="H16" s="1546">
        <f>SUM(D16-F16)</f>
        <v>137121</v>
      </c>
      <c r="I16" s="1548"/>
      <c r="J16" s="1546">
        <f>SUM('Acct Summary 7-8'!C81,'Acct Summary 7-8'!D81,'Acct Summary 7-8'!F81,'Acct Summary 7-8'!I81)</f>
        <v>10429986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13071775.794000002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1535000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2" sqref="F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Iroquois West CUSD 10</v>
      </c>
      <c r="E7" s="368"/>
      <c r="G7" s="247"/>
      <c r="H7" s="364"/>
      <c r="I7" s="364"/>
      <c r="J7" s="364"/>
      <c r="K7" s="364"/>
      <c r="L7" s="307"/>
      <c r="M7" s="307"/>
      <c r="N7" s="307"/>
      <c r="O7" s="307"/>
      <c r="P7" s="307"/>
    </row>
    <row r="8" spans="1:18" ht="12.75" x14ac:dyDescent="0.2">
      <c r="A8" s="307"/>
      <c r="B8" s="307"/>
      <c r="C8" s="366" t="s">
        <v>1115</v>
      </c>
      <c r="D8" s="369">
        <f>COVER!A13</f>
        <v>32038010026</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10429986</v>
      </c>
      <c r="I12" s="380"/>
      <c r="J12" s="380"/>
      <c r="K12" s="1559">
        <f>TRUNC((H12/H13*100000),5)/100000</f>
        <v>0.94101573709999997</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11083753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10946632</v>
      </c>
      <c r="I17" s="380"/>
      <c r="J17" s="389"/>
      <c r="K17" s="1559">
        <f>TRUNC((H17/H18*100000),5)/100000</f>
        <v>0.9876286487999999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11083753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10429986</v>
      </c>
      <c r="I24" s="394"/>
      <c r="J24" s="394"/>
      <c r="K24" s="1555">
        <f>TRUNC(((H24/H25*100000)/100000),2)</f>
        <v>343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30407.311109999999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2878395.55754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1535000</v>
      </c>
      <c r="I32" s="392"/>
      <c r="J32" s="392"/>
      <c r="K32" s="1555">
        <f>TRUNC(100-((((H32/H33*100))*100)/100),2)</f>
        <v>88.25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13071775.794000002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2337320</v>
      </c>
      <c r="D4" s="1573">
        <v>280765</v>
      </c>
      <c r="E4" s="1573">
        <v>1047</v>
      </c>
      <c r="F4" s="1573">
        <v>27399</v>
      </c>
      <c r="G4" s="1573">
        <v>302349</v>
      </c>
      <c r="H4" s="1573"/>
      <c r="I4" s="1573">
        <v>49075</v>
      </c>
      <c r="J4" s="1574">
        <v>117078</v>
      </c>
      <c r="K4" s="1573"/>
      <c r="L4" s="1573">
        <v>306848</v>
      </c>
      <c r="M4" s="1575"/>
      <c r="N4" s="1576"/>
    </row>
    <row r="5" spans="1:14" x14ac:dyDescent="0.2">
      <c r="A5" s="427" t="s">
        <v>985</v>
      </c>
      <c r="B5" s="429">
        <v>120</v>
      </c>
      <c r="C5" s="1572">
        <v>4809617</v>
      </c>
      <c r="D5" s="1573">
        <v>898251</v>
      </c>
      <c r="E5" s="1573">
        <v>13616</v>
      </c>
      <c r="F5" s="1573">
        <v>147</v>
      </c>
      <c r="G5" s="1573">
        <v>368511</v>
      </c>
      <c r="H5" s="1573"/>
      <c r="I5" s="1573">
        <v>2027412</v>
      </c>
      <c r="J5" s="1574">
        <v>536188</v>
      </c>
      <c r="K5" s="1577">
        <v>95598</v>
      </c>
      <c r="L5" s="1578">
        <v>245625</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7146937</v>
      </c>
      <c r="D13" s="1587">
        <f t="shared" ref="D13:L13" si="0">SUM(D4:D12)</f>
        <v>1179016</v>
      </c>
      <c r="E13" s="1587">
        <f t="shared" si="0"/>
        <v>14663</v>
      </c>
      <c r="F13" s="1587">
        <f t="shared" si="0"/>
        <v>27546</v>
      </c>
      <c r="G13" s="1587">
        <f t="shared" si="0"/>
        <v>670860</v>
      </c>
      <c r="H13" s="1587">
        <f t="shared" si="0"/>
        <v>0</v>
      </c>
      <c r="I13" s="1587">
        <f t="shared" si="0"/>
        <v>2076487</v>
      </c>
      <c r="J13" s="1587">
        <f t="shared" si="0"/>
        <v>653266</v>
      </c>
      <c r="K13" s="1587">
        <f t="shared" si="0"/>
        <v>95598</v>
      </c>
      <c r="L13" s="1587">
        <f t="shared" si="0"/>
        <v>552473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9123679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1162696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2581935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14663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1520337</v>
      </c>
    </row>
    <row r="23" spans="1:14" ht="13.5" customHeight="1" thickBot="1" x14ac:dyDescent="0.25">
      <c r="A23" s="1426" t="s">
        <v>638</v>
      </c>
      <c r="B23" s="1429"/>
      <c r="C23" s="1575"/>
      <c r="D23" s="1575"/>
      <c r="E23" s="1575"/>
      <c r="F23" s="1575"/>
      <c r="G23" s="1575"/>
      <c r="H23" s="1575"/>
      <c r="I23" s="1575"/>
      <c r="J23" s="1575"/>
      <c r="K23" s="1575"/>
      <c r="L23" s="1575"/>
      <c r="M23" s="1594">
        <f>SUM(M15:M22)</f>
        <v>12883310</v>
      </c>
      <c r="N23" s="1594">
        <f>SUM(N21:N22)</f>
        <v>1535000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552473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552473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1535000</v>
      </c>
    </row>
    <row r="37" spans="1:14" ht="13.5" thickBot="1" x14ac:dyDescent="0.25">
      <c r="A37" s="1426" t="s">
        <v>648</v>
      </c>
      <c r="B37" s="1429"/>
      <c r="C37" s="1582"/>
      <c r="D37" s="1582"/>
      <c r="E37" s="1582"/>
      <c r="F37" s="1582"/>
      <c r="G37" s="1582"/>
      <c r="H37" s="1582"/>
      <c r="I37" s="1582"/>
      <c r="J37" s="1582"/>
      <c r="K37" s="1582"/>
      <c r="L37" s="1585"/>
      <c r="M37" s="1575"/>
      <c r="N37" s="1594">
        <f>SUM(N36:N36)</f>
        <v>1535000</v>
      </c>
    </row>
    <row r="38" spans="1:14" s="307" customFormat="1" ht="13.5" customHeight="1" thickTop="1" x14ac:dyDescent="0.2">
      <c r="A38" s="438" t="s">
        <v>417</v>
      </c>
      <c r="B38" s="432">
        <v>714</v>
      </c>
      <c r="C38" s="1573"/>
      <c r="D38" s="1573"/>
      <c r="E38" s="1573"/>
      <c r="F38" s="1573"/>
      <c r="G38" s="1573">
        <v>670860</v>
      </c>
      <c r="H38" s="1573"/>
      <c r="I38" s="1573"/>
      <c r="J38" s="1574"/>
      <c r="K38" s="1573"/>
      <c r="L38" s="1586"/>
      <c r="M38" s="1604"/>
      <c r="N38" s="1604"/>
    </row>
    <row r="39" spans="1:14" s="307" customFormat="1" ht="13.5" customHeight="1" x14ac:dyDescent="0.2">
      <c r="A39" s="438" t="s">
        <v>339</v>
      </c>
      <c r="B39" s="432">
        <v>730</v>
      </c>
      <c r="C39" s="1573">
        <v>7146937</v>
      </c>
      <c r="D39" s="1573">
        <v>1179016</v>
      </c>
      <c r="E39" s="1573">
        <v>14663</v>
      </c>
      <c r="F39" s="1573">
        <v>27546</v>
      </c>
      <c r="G39" s="1573"/>
      <c r="H39" s="1573"/>
      <c r="I39" s="1573">
        <v>2076487</v>
      </c>
      <c r="J39" s="1574">
        <v>653266</v>
      </c>
      <c r="K39" s="1573">
        <v>95598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12883310</v>
      </c>
      <c r="N40" s="1604"/>
    </row>
    <row r="41" spans="1:14" ht="13.5" customHeight="1" thickBot="1" x14ac:dyDescent="0.25">
      <c r="A41" s="1426" t="s">
        <v>650</v>
      </c>
      <c r="B41" s="1405"/>
      <c r="C41" s="1594">
        <f>(SUM(C34,C37,C38,C39))</f>
        <v>7146937</v>
      </c>
      <c r="D41" s="1594">
        <f t="shared" ref="D41:L41" si="2">SUM(D34,D37,D38:D39)</f>
        <v>1179016</v>
      </c>
      <c r="E41" s="1594">
        <f t="shared" si="2"/>
        <v>14663</v>
      </c>
      <c r="F41" s="1594">
        <f t="shared" si="2"/>
        <v>27546</v>
      </c>
      <c r="G41" s="1594">
        <f t="shared" si="2"/>
        <v>670860</v>
      </c>
      <c r="H41" s="1594">
        <f t="shared" si="2"/>
        <v>0</v>
      </c>
      <c r="I41" s="1594">
        <f t="shared" si="2"/>
        <v>2076487</v>
      </c>
      <c r="J41" s="1594">
        <f t="shared" si="2"/>
        <v>653266</v>
      </c>
      <c r="K41" s="1594">
        <f t="shared" si="2"/>
        <v>95598</v>
      </c>
      <c r="L41" s="1594">
        <f t="shared" si="2"/>
        <v>552473</v>
      </c>
      <c r="M41" s="1594">
        <f>SUM(M40)</f>
        <v>12883310</v>
      </c>
      <c r="N41" s="1594">
        <f>SUM(N37)</f>
        <v>1535000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2991754</v>
      </c>
      <c r="D4" s="1606">
        <f>'Revenues 9-14'!D109</f>
        <v>642939</v>
      </c>
      <c r="E4" s="1606">
        <f>'Revenues 9-14'!E109</f>
        <v>144822</v>
      </c>
      <c r="F4" s="1606">
        <f>'Revenues 9-14'!F109</f>
        <v>186571</v>
      </c>
      <c r="G4" s="1606">
        <f>'Revenues 9-14'!G109</f>
        <v>350373</v>
      </c>
      <c r="H4" s="1606">
        <f>'Revenues 9-14'!H109</f>
        <v>0</v>
      </c>
      <c r="I4" s="1606">
        <f>'Revenues 9-14'!I109</f>
        <v>51278</v>
      </c>
      <c r="J4" s="1606">
        <f>'Revenues 9-14'!J109</f>
        <v>538564</v>
      </c>
      <c r="K4" s="1606">
        <f>'Revenues 9-14'!K109</f>
        <v>346134</v>
      </c>
      <c r="L4" s="325"/>
    </row>
    <row r="5" spans="1:13" ht="15.75" customHeight="1" x14ac:dyDescent="0.2">
      <c r="A5" s="1314" t="s">
        <v>1483</v>
      </c>
      <c r="B5" s="1315">
        <v>2000</v>
      </c>
      <c r="C5" s="1607">
        <f>'Revenues 9-14'!C114</f>
        <v>34974</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5994046</v>
      </c>
      <c r="D6" s="1607">
        <f>'Revenues 9-14'!D170</f>
        <v>0</v>
      </c>
      <c r="E6" s="1607">
        <f>'Revenues 9-14'!E170</f>
        <v>0</v>
      </c>
      <c r="F6" s="1607">
        <f>'Revenues 9-14'!F170</f>
        <v>334739</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847452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9868226</v>
      </c>
      <c r="D8" s="1594">
        <f t="shared" ref="D8:K8" si="0">SUM(D4:D7)</f>
        <v>642939</v>
      </c>
      <c r="E8" s="1594">
        <f t="shared" si="0"/>
        <v>144822</v>
      </c>
      <c r="F8" s="1594">
        <f t="shared" si="0"/>
        <v>521310</v>
      </c>
      <c r="G8" s="1594">
        <f t="shared" si="0"/>
        <v>350373</v>
      </c>
      <c r="H8" s="1594">
        <f t="shared" si="0"/>
        <v>0</v>
      </c>
      <c r="I8" s="1594">
        <f t="shared" si="0"/>
        <v>51278</v>
      </c>
      <c r="J8" s="1594">
        <f t="shared" si="0"/>
        <v>538564</v>
      </c>
      <c r="K8" s="1594">
        <f t="shared" si="0"/>
        <v>396134</v>
      </c>
      <c r="L8" s="325"/>
    </row>
    <row r="9" spans="1:13" ht="15.75" thickTop="1" x14ac:dyDescent="0.2">
      <c r="A9" s="449" t="s">
        <v>1634</v>
      </c>
      <c r="B9" s="450">
        <v>3998</v>
      </c>
      <c r="C9" s="1586">
        <v>3182979</v>
      </c>
      <c r="D9" s="1613"/>
      <c r="E9" s="1586"/>
      <c r="F9" s="1586"/>
      <c r="G9" s="1614"/>
      <c r="H9" s="1586"/>
      <c r="I9" s="1609" t="s">
        <v>1159</v>
      </c>
      <c r="J9" s="1583"/>
      <c r="K9" s="1586"/>
      <c r="L9" s="325"/>
    </row>
    <row r="10" spans="1:13" s="452" customFormat="1" ht="13.5" thickBot="1" x14ac:dyDescent="0.25">
      <c r="A10" s="1426" t="s">
        <v>1163</v>
      </c>
      <c r="B10" s="1407"/>
      <c r="C10" s="1594">
        <f>SUM(C8:C9)</f>
        <v>13051205</v>
      </c>
      <c r="D10" s="1594">
        <f t="shared" ref="D10:K10" si="1">SUM(D8:D9)</f>
        <v>642939</v>
      </c>
      <c r="E10" s="1594">
        <f t="shared" si="1"/>
        <v>144822</v>
      </c>
      <c r="F10" s="1594">
        <f t="shared" si="1"/>
        <v>521310</v>
      </c>
      <c r="G10" s="1594">
        <f t="shared" si="1"/>
        <v>350373</v>
      </c>
      <c r="H10" s="1594">
        <f t="shared" si="1"/>
        <v>0</v>
      </c>
      <c r="I10" s="1594">
        <f t="shared" si="1"/>
        <v>51278</v>
      </c>
      <c r="J10" s="1594">
        <f t="shared" si="1"/>
        <v>538564</v>
      </c>
      <c r="K10" s="1594">
        <f t="shared" si="1"/>
        <v>396134</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6111875</v>
      </c>
      <c r="D12" s="1616" t="s">
        <v>1159</v>
      </c>
      <c r="E12" s="1575" t="s">
        <v>1159</v>
      </c>
      <c r="F12" s="1575" t="s">
        <v>1159</v>
      </c>
      <c r="G12" s="1606">
        <f>'Expenditures 15-22'!K229</f>
        <v>101720</v>
      </c>
      <c r="H12" s="1617"/>
      <c r="I12" s="1575" t="s">
        <v>1159</v>
      </c>
      <c r="J12" s="1575" t="s">
        <v>1159</v>
      </c>
      <c r="K12" s="1617" t="s">
        <v>1159</v>
      </c>
      <c r="L12" s="325"/>
    </row>
    <row r="13" spans="1:13" ht="15.75" customHeight="1" x14ac:dyDescent="0.2">
      <c r="A13" s="1314" t="s">
        <v>454</v>
      </c>
      <c r="B13" s="1316">
        <v>2000</v>
      </c>
      <c r="C13" s="1607">
        <f>'Expenditures 15-22'!K74</f>
        <v>1762688</v>
      </c>
      <c r="D13" s="1607">
        <f>'Expenditures 15-22'!K129</f>
        <v>651956</v>
      </c>
      <c r="E13" s="1576" t="s">
        <v>1159</v>
      </c>
      <c r="F13" s="1607">
        <f>'Expenditures 15-22'!K184</f>
        <v>818478</v>
      </c>
      <c r="G13" s="1607">
        <f>'Expenditures 15-22'!K279</f>
        <v>157119</v>
      </c>
      <c r="H13" s="1607">
        <f>'Expenditures 15-22'!K303</f>
        <v>0</v>
      </c>
      <c r="I13" s="1575" t="s">
        <v>1159</v>
      </c>
      <c r="J13" s="1607">
        <f>'Expenditures 15-22'!K330</f>
        <v>463182</v>
      </c>
      <c r="K13" s="1618">
        <f>'Expenditures 15-22'!K352</f>
        <v>507067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1601635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144560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9476198</v>
      </c>
      <c r="D17" s="1594">
        <f t="shared" si="2"/>
        <v>651956</v>
      </c>
      <c r="E17" s="1594">
        <f t="shared" si="2"/>
        <v>144560</v>
      </c>
      <c r="F17" s="1594">
        <f t="shared" si="2"/>
        <v>818478</v>
      </c>
      <c r="G17" s="1594">
        <f t="shared" si="2"/>
        <v>258839</v>
      </c>
      <c r="H17" s="1594">
        <f t="shared" si="2"/>
        <v>0</v>
      </c>
      <c r="I17" s="1575"/>
      <c r="J17" s="1594">
        <f>SUM(J12:J16)</f>
        <v>463182</v>
      </c>
      <c r="K17" s="1594">
        <f>SUM(K12:K16)</f>
        <v>507067</v>
      </c>
      <c r="L17" s="325"/>
    </row>
    <row r="18" spans="1:12" ht="15" customHeight="1" thickTop="1" x14ac:dyDescent="0.2">
      <c r="A18" s="1430" t="s">
        <v>1635</v>
      </c>
      <c r="B18" s="1431">
        <v>4180</v>
      </c>
      <c r="C18" s="1606">
        <f t="shared" ref="C18:H18" si="3">C9</f>
        <v>3182979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12659177</v>
      </c>
      <c r="D19" s="1594">
        <f t="shared" si="4"/>
        <v>651956</v>
      </c>
      <c r="E19" s="1594">
        <f t="shared" si="4"/>
        <v>144560</v>
      </c>
      <c r="F19" s="1594">
        <f t="shared" si="4"/>
        <v>818478</v>
      </c>
      <c r="G19" s="1594">
        <f t="shared" si="4"/>
        <v>258839</v>
      </c>
      <c r="H19" s="1594">
        <f t="shared" si="4"/>
        <v>0</v>
      </c>
      <c r="I19" s="1575"/>
      <c r="J19" s="1594">
        <f>SUM(J17:J18)</f>
        <v>463182</v>
      </c>
      <c r="K19" s="1594">
        <f>SUM(K17:K18)</f>
        <v>507067</v>
      </c>
      <c r="L19" s="325"/>
    </row>
    <row r="20" spans="1:12" ht="16.5" thickTop="1" thickBot="1" x14ac:dyDescent="0.25">
      <c r="A20" s="2232" t="s">
        <v>1636</v>
      </c>
      <c r="B20" s="2233"/>
      <c r="C20" s="1622">
        <f>C8-C17</f>
        <v>392028</v>
      </c>
      <c r="D20" s="1622">
        <f t="shared" ref="D20:K20" si="5">D8-D17</f>
        <v>-9017</v>
      </c>
      <c r="E20" s="1622">
        <f t="shared" si="5"/>
        <v>262</v>
      </c>
      <c r="F20" s="1622">
        <f t="shared" si="5"/>
        <v>-297168</v>
      </c>
      <c r="G20" s="1622">
        <f t="shared" si="5"/>
        <v>91534</v>
      </c>
      <c r="H20" s="1622">
        <f t="shared" si="5"/>
        <v>0</v>
      </c>
      <c r="I20" s="1622">
        <f t="shared" si="5"/>
        <v>51278</v>
      </c>
      <c r="J20" s="1622">
        <f t="shared" si="5"/>
        <v>75382</v>
      </c>
      <c r="K20" s="1622">
        <f t="shared" si="5"/>
        <v>-110933</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v>110864</v>
      </c>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110864</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110864</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110864</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-110864</v>
      </c>
      <c r="J77" s="1624">
        <f t="shared" si="8"/>
        <v>0</v>
      </c>
      <c r="K77" s="1624">
        <f t="shared" si="8"/>
        <v>110864</v>
      </c>
      <c r="L77" s="325"/>
    </row>
    <row r="78" spans="1:12" ht="21.75" customHeight="1" thickTop="1" thickBot="1" x14ac:dyDescent="0.25">
      <c r="A78" s="2228" t="s">
        <v>593</v>
      </c>
      <c r="B78" s="2229"/>
      <c r="C78" s="1629">
        <f t="shared" ref="C78:K78" si="9">C20+C77</f>
        <v>392028</v>
      </c>
      <c r="D78" s="1629">
        <f t="shared" si="9"/>
        <v>-9017</v>
      </c>
      <c r="E78" s="1629">
        <f t="shared" si="9"/>
        <v>262</v>
      </c>
      <c r="F78" s="1629">
        <f t="shared" si="9"/>
        <v>-297168</v>
      </c>
      <c r="G78" s="1629">
        <f t="shared" si="9"/>
        <v>91534</v>
      </c>
      <c r="H78" s="1629">
        <f t="shared" si="9"/>
        <v>0</v>
      </c>
      <c r="I78" s="1629">
        <f t="shared" si="9"/>
        <v>-59586</v>
      </c>
      <c r="J78" s="1629">
        <f t="shared" si="9"/>
        <v>75382</v>
      </c>
      <c r="K78" s="1629">
        <f t="shared" si="9"/>
        <v>-69</v>
      </c>
      <c r="L78" s="457"/>
    </row>
    <row r="79" spans="1:12" ht="13.5" thickTop="1" x14ac:dyDescent="0.2">
      <c r="A79" s="1844" t="str">
        <f>"Fund Balances - July 1, "&amp;'AFR20'!E2-1</f>
        <v>Fund Balances - July 1, 2019</v>
      </c>
      <c r="B79" s="458"/>
      <c r="C79" s="1583">
        <v>7067665</v>
      </c>
      <c r="D79" s="1630">
        <v>1188033</v>
      </c>
      <c r="E79" s="1630">
        <v>14401</v>
      </c>
      <c r="F79" s="1630">
        <v>324714</v>
      </c>
      <c r="G79" s="1630">
        <v>579326</v>
      </c>
      <c r="H79" s="1630"/>
      <c r="I79" s="1630">
        <v>2136073</v>
      </c>
      <c r="J79" s="1630">
        <v>577884</v>
      </c>
      <c r="K79" s="1630">
        <v>95667</v>
      </c>
      <c r="L79" s="325"/>
    </row>
    <row r="80" spans="1:12" x14ac:dyDescent="0.2">
      <c r="A80" s="2234" t="s">
        <v>1769</v>
      </c>
      <c r="B80" s="2235"/>
      <c r="C80" s="1574">
        <v>-312756</v>
      </c>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7146937</v>
      </c>
      <c r="D81" s="1594">
        <f>SUM(D78:D80)</f>
        <v>1179016</v>
      </c>
      <c r="E81" s="1594">
        <f t="shared" ref="E81:K81" si="10">SUM(E78:E80)</f>
        <v>14663</v>
      </c>
      <c r="F81" s="1594">
        <f t="shared" si="10"/>
        <v>27546</v>
      </c>
      <c r="G81" s="1594">
        <f t="shared" si="10"/>
        <v>670860</v>
      </c>
      <c r="H81" s="1594">
        <f t="shared" si="10"/>
        <v>0</v>
      </c>
      <c r="I81" s="1594">
        <f t="shared" si="10"/>
        <v>2076487</v>
      </c>
      <c r="J81" s="1594">
        <f t="shared" si="10"/>
        <v>653266</v>
      </c>
      <c r="K81" s="1594">
        <f t="shared" si="10"/>
        <v>95598</v>
      </c>
      <c r="L81" s="325"/>
    </row>
    <row r="82" spans="1:12" ht="0.75" customHeight="1" thickTop="1" thickBot="1" x14ac:dyDescent="0.25">
      <c r="A82" s="459" t="s">
        <v>340</v>
      </c>
      <c r="B82" s="460"/>
      <c r="C82" s="461">
        <f>(C81-C79)</f>
        <v>79272</v>
      </c>
      <c r="D82" s="461">
        <f t="shared" ref="D82:K82" si="11">(D81-D79)</f>
        <v>-9017</v>
      </c>
      <c r="E82" s="461">
        <f t="shared" si="11"/>
        <v>262</v>
      </c>
      <c r="F82" s="461">
        <f t="shared" si="11"/>
        <v>-297168</v>
      </c>
      <c r="G82" s="461">
        <f t="shared" si="11"/>
        <v>91534</v>
      </c>
      <c r="H82" s="461">
        <f t="shared" si="11"/>
        <v>0</v>
      </c>
      <c r="I82" s="461">
        <f t="shared" si="11"/>
        <v>-59586</v>
      </c>
      <c r="J82" s="461">
        <f t="shared" si="11"/>
        <v>75382</v>
      </c>
      <c r="K82" s="461">
        <f t="shared" si="11"/>
        <v>-69</v>
      </c>
    </row>
    <row r="83" spans="1:12" ht="14.25" hidden="1" thickTop="1" thickBot="1" x14ac:dyDescent="0.25">
      <c r="A83" s="462" t="s">
        <v>341</v>
      </c>
      <c r="B83" s="428"/>
      <c r="C83" s="463">
        <f>C82/C81</f>
        <v>1.1091744617309485E-2</v>
      </c>
      <c r="D83" s="463">
        <f t="shared" ref="D83:K83" si="12">D82/D81</f>
        <v>-7.647902997075527E-3</v>
      </c>
      <c r="E83" s="463">
        <f t="shared" si="12"/>
        <v>1.7868103389483733E-2</v>
      </c>
      <c r="F83" s="463">
        <f t="shared" si="12"/>
        <v>-10.788063602700937</v>
      </c>
      <c r="G83" s="463">
        <f t="shared" si="12"/>
        <v>0.13644277494559223</v>
      </c>
      <c r="H83" s="463" t="e">
        <f t="shared" si="12"/>
        <v>#DIV/0!</v>
      </c>
      <c r="I83" s="463">
        <f t="shared" si="12"/>
        <v>-2.8695580564674857E-2</v>
      </c>
      <c r="J83" s="463">
        <f t="shared" si="12"/>
        <v>0.11539250473773317</v>
      </c>
      <c r="K83" s="463">
        <f t="shared" si="12"/>
        <v>-7.2177242201719699E-4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2496275</v>
      </c>
      <c r="D5" s="1586">
        <v>567337</v>
      </c>
      <c r="E5" s="1573">
        <v>144708</v>
      </c>
      <c r="F5" s="1631">
        <v>181555</v>
      </c>
      <c r="G5" s="1573">
        <v>177697</v>
      </c>
      <c r="H5" s="1573"/>
      <c r="I5" s="1573">
        <v>45389</v>
      </c>
      <c r="J5" s="1574">
        <v>533962</v>
      </c>
      <c r="K5" s="1573">
        <v>45389</v>
      </c>
    </row>
    <row r="6" spans="1:12" ht="15" x14ac:dyDescent="0.2">
      <c r="A6" s="427" t="s">
        <v>1643</v>
      </c>
      <c r="B6" s="429">
        <v>1130</v>
      </c>
      <c r="C6" s="1573"/>
      <c r="D6" s="1573">
        <v>45389</v>
      </c>
      <c r="E6" s="1580"/>
      <c r="F6" s="1580"/>
      <c r="G6" s="1575"/>
      <c r="H6" s="1575"/>
      <c r="I6" s="1575"/>
      <c r="J6" s="1575"/>
      <c r="K6" s="1575"/>
    </row>
    <row r="7" spans="1:12" x14ac:dyDescent="0.2">
      <c r="A7" s="427" t="s">
        <v>110</v>
      </c>
      <c r="B7" s="471">
        <v>1140</v>
      </c>
      <c r="C7" s="1573">
        <v>36313</v>
      </c>
      <c r="D7" s="1573"/>
      <c r="E7" s="1575"/>
      <c r="F7" s="1574"/>
      <c r="G7" s="1574"/>
      <c r="H7" s="1574"/>
      <c r="I7" s="1575"/>
      <c r="J7" s="1575"/>
      <c r="K7" s="1575"/>
    </row>
    <row r="8" spans="1:12" x14ac:dyDescent="0.2">
      <c r="A8" s="427" t="s">
        <v>410</v>
      </c>
      <c r="B8" s="429">
        <v>1150</v>
      </c>
      <c r="C8" s="1580"/>
      <c r="D8" s="1580"/>
      <c r="E8" s="1582"/>
      <c r="F8" s="1582"/>
      <c r="G8" s="1586">
        <v>170652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2532588</v>
      </c>
      <c r="D12" s="1633">
        <f t="shared" si="0"/>
        <v>612726</v>
      </c>
      <c r="E12" s="1633">
        <f t="shared" si="0"/>
        <v>144708</v>
      </c>
      <c r="F12" s="1633">
        <f t="shared" si="0"/>
        <v>181555</v>
      </c>
      <c r="G12" s="1633">
        <f t="shared" si="0"/>
        <v>348349</v>
      </c>
      <c r="H12" s="1633">
        <f t="shared" si="0"/>
        <v>0</v>
      </c>
      <c r="I12" s="1633">
        <f t="shared" si="0"/>
        <v>45389</v>
      </c>
      <c r="J12" s="1633">
        <f t="shared" si="0"/>
        <v>533962</v>
      </c>
      <c r="K12" s="1594">
        <f t="shared" si="0"/>
        <v>45389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v>222867</v>
      </c>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222867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21458</v>
      </c>
      <c r="D65" s="1573">
        <v>3676</v>
      </c>
      <c r="E65" s="1573">
        <v>114</v>
      </c>
      <c r="F65" s="1574">
        <v>638</v>
      </c>
      <c r="G65" s="1573">
        <v>2024</v>
      </c>
      <c r="H65" s="1573"/>
      <c r="I65" s="1573">
        <v>5889</v>
      </c>
      <c r="J65" s="1574">
        <v>4602</v>
      </c>
      <c r="K65" s="1573">
        <v>281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21458</v>
      </c>
      <c r="D67" s="1594">
        <f t="shared" ref="D67:K67" si="2">SUM(D65:D66)</f>
        <v>3676</v>
      </c>
      <c r="E67" s="1594">
        <f t="shared" si="2"/>
        <v>114</v>
      </c>
      <c r="F67" s="1594">
        <f t="shared" si="2"/>
        <v>638</v>
      </c>
      <c r="G67" s="1594">
        <f t="shared" si="2"/>
        <v>2024</v>
      </c>
      <c r="H67" s="1594">
        <f t="shared" si="2"/>
        <v>0</v>
      </c>
      <c r="I67" s="1594">
        <f t="shared" si="2"/>
        <v>5889</v>
      </c>
      <c r="J67" s="1594">
        <f t="shared" si="2"/>
        <v>4602</v>
      </c>
      <c r="K67" s="1594">
        <f t="shared" si="2"/>
        <v>281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85913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4075</v>
      </c>
      <c r="D73" s="1575"/>
      <c r="E73" s="1575"/>
      <c r="F73" s="1575"/>
      <c r="G73" s="1575"/>
      <c r="H73" s="1575"/>
      <c r="I73" s="1575"/>
      <c r="J73" s="1575"/>
      <c r="K73" s="1575"/>
    </row>
    <row r="74" spans="1:11" ht="12.75" customHeight="1" x14ac:dyDescent="0.2">
      <c r="A74" s="427" t="s">
        <v>25</v>
      </c>
      <c r="B74" s="429">
        <v>1690</v>
      </c>
      <c r="C74" s="1632">
        <v>7839</v>
      </c>
      <c r="D74" s="1575"/>
      <c r="E74" s="1575"/>
      <c r="F74" s="1575"/>
      <c r="G74" s="1575"/>
      <c r="H74" s="1575"/>
      <c r="I74" s="1575"/>
      <c r="J74" s="1575"/>
      <c r="K74" s="1575"/>
    </row>
    <row r="75" spans="1:11" ht="12.75" customHeight="1" thickBot="1" x14ac:dyDescent="0.25">
      <c r="A75" s="1406" t="s">
        <v>544</v>
      </c>
      <c r="B75" s="1407"/>
      <c r="C75" s="1594">
        <f>SUM(C69:C74)</f>
        <v>97827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37444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32563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70007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17653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17653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6000</v>
      </c>
      <c r="E95" s="1617"/>
      <c r="F95" s="1617"/>
      <c r="G95" s="1617"/>
      <c r="H95" s="1617"/>
      <c r="I95" s="1617"/>
      <c r="J95" s="1617"/>
      <c r="K95" s="1617"/>
    </row>
    <row r="96" spans="1:11" ht="12.75" customHeight="1" x14ac:dyDescent="0.2">
      <c r="A96" s="427" t="s">
        <v>388</v>
      </c>
      <c r="B96" s="429">
        <v>1920</v>
      </c>
      <c r="C96" s="1632">
        <v>60000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109512</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4585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78124</v>
      </c>
      <c r="D107" s="1573">
        <v>20537</v>
      </c>
      <c r="E107" s="1573"/>
      <c r="F107" s="1573">
        <v>4378</v>
      </c>
      <c r="G107" s="1573"/>
      <c r="H107" s="1573"/>
      <c r="I107" s="1573"/>
      <c r="J107" s="1574"/>
      <c r="K107" s="1573">
        <v>77597</v>
      </c>
    </row>
    <row r="108" spans="1:12" ht="12.75" customHeight="1" thickBot="1" x14ac:dyDescent="0.25">
      <c r="A108" s="1406" t="s">
        <v>484</v>
      </c>
      <c r="B108" s="1408"/>
      <c r="C108" s="1633">
        <f>SUM(C95:C107)</f>
        <v>252221</v>
      </c>
      <c r="D108" s="1633">
        <f t="shared" ref="D108:K108" si="3">SUM(D95:D107)</f>
        <v>26537</v>
      </c>
      <c r="E108" s="1633">
        <f t="shared" si="3"/>
        <v>0</v>
      </c>
      <c r="F108" s="1633">
        <f t="shared" si="3"/>
        <v>4378</v>
      </c>
      <c r="G108" s="1633">
        <f t="shared" si="3"/>
        <v>0</v>
      </c>
      <c r="H108" s="1633">
        <f t="shared" si="3"/>
        <v>0</v>
      </c>
      <c r="I108" s="1633">
        <f t="shared" si="3"/>
        <v>0</v>
      </c>
      <c r="J108" s="1633">
        <f t="shared" si="3"/>
        <v>0</v>
      </c>
      <c r="K108" s="1594">
        <f t="shared" si="3"/>
        <v>77597</v>
      </c>
    </row>
    <row r="109" spans="1:12" ht="14.25" thickTop="1" thickBot="1" x14ac:dyDescent="0.25">
      <c r="A109" s="1409" t="s">
        <v>246</v>
      </c>
      <c r="B109" s="1410" t="s">
        <v>566</v>
      </c>
      <c r="C109" s="1641">
        <f t="shared" ref="C109:K109" si="4">SUM(C12,C18,C40,C63,C67,C75,C82,C93,C108,)</f>
        <v>2991754</v>
      </c>
      <c r="D109" s="1641">
        <f t="shared" si="4"/>
        <v>642939</v>
      </c>
      <c r="E109" s="1641">
        <f t="shared" si="4"/>
        <v>144822</v>
      </c>
      <c r="F109" s="1641">
        <f t="shared" si="4"/>
        <v>186571</v>
      </c>
      <c r="G109" s="1641">
        <f t="shared" si="4"/>
        <v>350373</v>
      </c>
      <c r="H109" s="1641">
        <f t="shared" si="4"/>
        <v>0</v>
      </c>
      <c r="I109" s="1641">
        <f t="shared" si="4"/>
        <v>51278</v>
      </c>
      <c r="J109" s="1641">
        <f t="shared" si="4"/>
        <v>538564</v>
      </c>
      <c r="K109" s="1629">
        <f t="shared" si="4"/>
        <v>346134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34974</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34974</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4284720</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4284720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3309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1334894</v>
      </c>
      <c r="D128" s="1640"/>
      <c r="E128" s="1575"/>
      <c r="F128" s="1573"/>
      <c r="G128" s="1575"/>
      <c r="H128" s="1575"/>
      <c r="I128" s="1575"/>
      <c r="J128" s="1575"/>
      <c r="K128" s="1575"/>
    </row>
    <row r="129" spans="1:11" ht="12.75" customHeight="1" x14ac:dyDescent="0.2">
      <c r="A129" s="427" t="s">
        <v>1430</v>
      </c>
      <c r="B129" s="478">
        <v>3130</v>
      </c>
      <c r="C129" s="1573">
        <v>319460</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1657663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17568</v>
      </c>
      <c r="D134" s="1573"/>
      <c r="E134" s="1640"/>
      <c r="F134" s="1575"/>
      <c r="G134" s="1573"/>
      <c r="H134" s="1575"/>
      <c r="I134" s="1575"/>
      <c r="J134" s="1575"/>
      <c r="K134" s="1575"/>
    </row>
    <row r="135" spans="1:11" ht="12.75" customHeight="1" x14ac:dyDescent="0.2">
      <c r="A135" s="427" t="s">
        <v>664</v>
      </c>
      <c r="B135" s="478">
        <v>3220</v>
      </c>
      <c r="C135" s="1632">
        <v>8366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11690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37624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1199</v>
      </c>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1199</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2596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10244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215993</v>
      </c>
      <c r="G152" s="1574"/>
      <c r="H152" s="1575"/>
      <c r="I152" s="1575"/>
      <c r="J152" s="1575"/>
      <c r="K152" s="1575"/>
    </row>
    <row r="153" spans="1:11" ht="12.75" customHeight="1" x14ac:dyDescent="0.2">
      <c r="A153" s="427" t="s">
        <v>1048</v>
      </c>
      <c r="B153" s="478">
        <v>3510</v>
      </c>
      <c r="C153" s="1632"/>
      <c r="D153" s="1573"/>
      <c r="E153" s="1640"/>
      <c r="F153" s="1573">
        <v>118746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334739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1709326</v>
      </c>
      <c r="D169" s="1658">
        <f t="shared" si="6"/>
        <v>0</v>
      </c>
      <c r="E169" s="1658">
        <f t="shared" si="6"/>
        <v>0</v>
      </c>
      <c r="F169" s="1658">
        <f t="shared" si="6"/>
        <v>334739</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5994046</v>
      </c>
      <c r="D170" s="1641">
        <f t="shared" si="7"/>
        <v>0</v>
      </c>
      <c r="E170" s="1641">
        <f t="shared" si="7"/>
        <v>0</v>
      </c>
      <c r="F170" s="1641">
        <f t="shared" si="7"/>
        <v>334739</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142603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30037</v>
      </c>
      <c r="D193" s="1575"/>
      <c r="E193" s="1640"/>
      <c r="F193" s="1575"/>
      <c r="G193" s="1664"/>
      <c r="H193" s="1575"/>
      <c r="I193" s="1575"/>
      <c r="J193" s="1575"/>
      <c r="K193" s="1575"/>
    </row>
    <row r="194" spans="1:11" ht="12.75" customHeight="1" x14ac:dyDescent="0.2">
      <c r="A194" s="427" t="s">
        <v>1434</v>
      </c>
      <c r="B194" s="429">
        <v>4225</v>
      </c>
      <c r="C194" s="1632">
        <v>42181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214821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299414</v>
      </c>
      <c r="D200" s="1573"/>
      <c r="E200" s="1575"/>
      <c r="F200" s="1573"/>
      <c r="G200" s="1573"/>
      <c r="H200" s="1575"/>
      <c r="I200" s="1575"/>
      <c r="J200" s="1575"/>
      <c r="K200" s="1575"/>
    </row>
    <row r="201" spans="1:11" ht="12.75" customHeight="1" x14ac:dyDescent="0.2">
      <c r="A201" s="427" t="s">
        <v>913</v>
      </c>
      <c r="B201" s="429">
        <v>4305</v>
      </c>
      <c r="C201" s="1632">
        <v>28006</v>
      </c>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327420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1985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260729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262714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31259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8265</v>
      </c>
      <c r="D263" s="1651"/>
      <c r="E263" s="1575"/>
      <c r="F263" s="1651"/>
      <c r="G263" s="1651"/>
      <c r="H263" s="1575"/>
      <c r="I263" s="1575"/>
      <c r="J263" s="1575"/>
      <c r="K263" s="1575"/>
    </row>
    <row r="264" spans="1:11" ht="12.75" customHeight="1" thickTop="1" thickBot="1" x14ac:dyDescent="0.25">
      <c r="A264" s="427" t="s">
        <v>374</v>
      </c>
      <c r="B264" s="429">
        <v>4992</v>
      </c>
      <c r="C264" s="1650">
        <v>2973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847452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847452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9868226</v>
      </c>
      <c r="D268" s="1641">
        <f t="shared" si="12"/>
        <v>642939</v>
      </c>
      <c r="E268" s="1641">
        <f t="shared" si="12"/>
        <v>144822</v>
      </c>
      <c r="F268" s="1641">
        <f t="shared" si="12"/>
        <v>521310</v>
      </c>
      <c r="G268" s="1641">
        <f t="shared" si="12"/>
        <v>350373</v>
      </c>
      <c r="H268" s="1641">
        <f t="shared" si="12"/>
        <v>0</v>
      </c>
      <c r="I268" s="1641">
        <f t="shared" si="12"/>
        <v>51278</v>
      </c>
      <c r="J268" s="1641">
        <f t="shared" si="12"/>
        <v>538564</v>
      </c>
      <c r="K268" s="1629">
        <f t="shared" si="12"/>
        <v>396134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2496648</v>
      </c>
      <c r="D5" s="1573">
        <v>649067</v>
      </c>
      <c r="E5" s="1573">
        <v>29679</v>
      </c>
      <c r="F5" s="1573">
        <v>42097</v>
      </c>
      <c r="G5" s="1573"/>
      <c r="H5" s="1573"/>
      <c r="I5" s="1574"/>
      <c r="J5" s="1574"/>
      <c r="K5" s="1672">
        <f>SUM(C5:J5)</f>
        <v>3217491</v>
      </c>
      <c r="L5" s="1573">
        <v>2477724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71935</v>
      </c>
      <c r="D7" s="1574">
        <v>17107</v>
      </c>
      <c r="E7" s="1574">
        <v>90</v>
      </c>
      <c r="F7" s="1574">
        <v>558</v>
      </c>
      <c r="G7" s="1574"/>
      <c r="H7" s="1574"/>
      <c r="I7" s="1574"/>
      <c r="J7" s="1574"/>
      <c r="K7" s="1672">
        <f t="shared" ref="K7:K32" si="0">SUM(C7:J7)</f>
        <v>89690</v>
      </c>
      <c r="L7" s="1573">
        <v>102063</v>
      </c>
    </row>
    <row r="8" spans="1:14" x14ac:dyDescent="0.2">
      <c r="A8" s="1274" t="s">
        <v>163</v>
      </c>
      <c r="B8" s="503">
        <v>1200</v>
      </c>
      <c r="C8" s="1573"/>
      <c r="D8" s="1573"/>
      <c r="E8" s="1573">
        <v>1654354</v>
      </c>
      <c r="F8" s="1573"/>
      <c r="G8" s="1573"/>
      <c r="H8" s="1573"/>
      <c r="I8" s="1574"/>
      <c r="J8" s="1574"/>
      <c r="K8" s="1672">
        <f t="shared" si="0"/>
        <v>1654354</v>
      </c>
      <c r="L8" s="1573">
        <v>1892107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201362</v>
      </c>
      <c r="D10" s="1573">
        <v>82588</v>
      </c>
      <c r="E10" s="1573">
        <v>11067</v>
      </c>
      <c r="F10" s="1573">
        <v>19958</v>
      </c>
      <c r="G10" s="1573"/>
      <c r="H10" s="1573"/>
      <c r="I10" s="1574"/>
      <c r="J10" s="1574"/>
      <c r="K10" s="1672">
        <f t="shared" si="0"/>
        <v>314975</v>
      </c>
      <c r="L10" s="1573">
        <v>1000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221462</v>
      </c>
      <c r="D13" s="1573">
        <v>44287</v>
      </c>
      <c r="E13" s="1573">
        <v>84172</v>
      </c>
      <c r="F13" s="1573">
        <v>10378</v>
      </c>
      <c r="G13" s="1573"/>
      <c r="H13" s="1573">
        <v>515</v>
      </c>
      <c r="I13" s="1574"/>
      <c r="J13" s="1574"/>
      <c r="K13" s="1672">
        <f t="shared" si="0"/>
        <v>360814</v>
      </c>
      <c r="L13" s="1573">
        <v>333408</v>
      </c>
    </row>
    <row r="14" spans="1:14" x14ac:dyDescent="0.2">
      <c r="A14" s="1274" t="s">
        <v>957</v>
      </c>
      <c r="B14" s="503">
        <v>1500</v>
      </c>
      <c r="C14" s="1573">
        <v>160388</v>
      </c>
      <c r="D14" s="1573">
        <v>10801</v>
      </c>
      <c r="E14" s="1573">
        <v>20861</v>
      </c>
      <c r="F14" s="1573">
        <v>27571</v>
      </c>
      <c r="G14" s="1573">
        <v>801</v>
      </c>
      <c r="H14" s="1573">
        <v>15617</v>
      </c>
      <c r="I14" s="1574"/>
      <c r="J14" s="1574"/>
      <c r="K14" s="1672">
        <f t="shared" si="0"/>
        <v>236039</v>
      </c>
      <c r="L14" s="1573">
        <v>223976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41489</v>
      </c>
      <c r="D17" s="1574">
        <v>12718</v>
      </c>
      <c r="E17" s="1574">
        <v>585</v>
      </c>
      <c r="F17" s="1574">
        <v>885</v>
      </c>
      <c r="G17" s="1574"/>
      <c r="H17" s="1574"/>
      <c r="I17" s="1574"/>
      <c r="J17" s="1574"/>
      <c r="K17" s="1672">
        <f t="shared" si="0"/>
        <v>55677</v>
      </c>
      <c r="L17" s="1573">
        <v>50244</v>
      </c>
    </row>
    <row r="18" spans="1:12" x14ac:dyDescent="0.2">
      <c r="A18" s="1274" t="s">
        <v>1078</v>
      </c>
      <c r="B18" s="503">
        <v>1800</v>
      </c>
      <c r="C18" s="1573">
        <v>149613</v>
      </c>
      <c r="D18" s="1573">
        <v>27390</v>
      </c>
      <c r="E18" s="1573">
        <v>4302</v>
      </c>
      <c r="F18" s="1573">
        <v>1530</v>
      </c>
      <c r="G18" s="1573"/>
      <c r="H18" s="1573"/>
      <c r="I18" s="1574"/>
      <c r="J18" s="1574"/>
      <c r="K18" s="1672">
        <f t="shared" si="0"/>
        <v>182835</v>
      </c>
      <c r="L18" s="1573">
        <v>167266</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3342897</v>
      </c>
      <c r="D33" s="1674">
        <f t="shared" ref="D33:L33" si="1">SUM(D5:D32)</f>
        <v>843958</v>
      </c>
      <c r="E33" s="1674">
        <f t="shared" si="1"/>
        <v>1805110</v>
      </c>
      <c r="F33" s="1674">
        <f t="shared" si="1"/>
        <v>102977</v>
      </c>
      <c r="G33" s="1674">
        <f t="shared" si="1"/>
        <v>801</v>
      </c>
      <c r="H33" s="1674">
        <f t="shared" si="1"/>
        <v>16132</v>
      </c>
      <c r="I33" s="1674">
        <f t="shared" si="1"/>
        <v>0</v>
      </c>
      <c r="J33" s="1674">
        <f t="shared" si="1"/>
        <v>0</v>
      </c>
      <c r="K33" s="1674">
        <f t="shared" si="1"/>
        <v>6111875</v>
      </c>
      <c r="L33" s="1674">
        <f t="shared" si="1"/>
        <v>5247788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94566</v>
      </c>
      <c r="D36" s="1586">
        <v>42392</v>
      </c>
      <c r="E36" s="1586">
        <v>626</v>
      </c>
      <c r="F36" s="1586">
        <v>24</v>
      </c>
      <c r="G36" s="1586"/>
      <c r="H36" s="1586"/>
      <c r="I36" s="1574"/>
      <c r="J36" s="1574"/>
      <c r="K36" s="1672">
        <f t="shared" ref="K36:K41" si="2">SUM(C36:J36)</f>
        <v>137608</v>
      </c>
      <c r="L36" s="1573">
        <v>78974</v>
      </c>
    </row>
    <row r="37" spans="1:14" x14ac:dyDescent="0.2">
      <c r="A37" s="1274" t="s">
        <v>1081</v>
      </c>
      <c r="B37" s="503">
        <v>2120</v>
      </c>
      <c r="C37" s="1573">
        <v>43575</v>
      </c>
      <c r="D37" s="1573">
        <v>15287</v>
      </c>
      <c r="E37" s="1573"/>
      <c r="F37" s="1573"/>
      <c r="G37" s="1573"/>
      <c r="H37" s="1573"/>
      <c r="I37" s="1574"/>
      <c r="J37" s="1574"/>
      <c r="K37" s="1672">
        <f t="shared" si="2"/>
        <v>58862</v>
      </c>
      <c r="L37" s="1573">
        <v>63673</v>
      </c>
    </row>
    <row r="38" spans="1:14" x14ac:dyDescent="0.2">
      <c r="A38" s="1274" t="s">
        <v>196</v>
      </c>
      <c r="B38" s="503">
        <v>2130</v>
      </c>
      <c r="C38" s="1573"/>
      <c r="D38" s="1573"/>
      <c r="E38" s="1573">
        <v>3405</v>
      </c>
      <c r="F38" s="1573">
        <v>47</v>
      </c>
      <c r="G38" s="1573"/>
      <c r="H38" s="1573"/>
      <c r="I38" s="1574"/>
      <c r="J38" s="1574"/>
      <c r="K38" s="1672">
        <f t="shared" si="2"/>
        <v>3452</v>
      </c>
      <c r="L38" s="1573">
        <v>3560</v>
      </c>
    </row>
    <row r="39" spans="1:14" x14ac:dyDescent="0.2">
      <c r="A39" s="1274" t="s">
        <v>197</v>
      </c>
      <c r="B39" s="503">
        <v>2140</v>
      </c>
      <c r="C39" s="1573">
        <v>18333</v>
      </c>
      <c r="D39" s="1573">
        <v>9009</v>
      </c>
      <c r="E39" s="1573"/>
      <c r="F39" s="1573"/>
      <c r="G39" s="1573"/>
      <c r="H39" s="1573"/>
      <c r="I39" s="1574"/>
      <c r="J39" s="1574"/>
      <c r="K39" s="1672">
        <f t="shared" si="2"/>
        <v>27342</v>
      </c>
      <c r="L39" s="1573">
        <v>2377</v>
      </c>
    </row>
    <row r="40" spans="1:14" x14ac:dyDescent="0.2">
      <c r="A40" s="1274" t="s">
        <v>198</v>
      </c>
      <c r="B40" s="503">
        <v>2150</v>
      </c>
      <c r="C40" s="1573">
        <v>45437</v>
      </c>
      <c r="D40" s="1573">
        <v>5538</v>
      </c>
      <c r="E40" s="1573">
        <v>593</v>
      </c>
      <c r="F40" s="1573">
        <v>353</v>
      </c>
      <c r="G40" s="1573"/>
      <c r="H40" s="1573">
        <v>102</v>
      </c>
      <c r="I40" s="1574"/>
      <c r="J40" s="1574"/>
      <c r="K40" s="1672">
        <f t="shared" si="2"/>
        <v>52023</v>
      </c>
      <c r="L40" s="1573">
        <v>60249</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201911</v>
      </c>
      <c r="D42" s="1674">
        <f t="shared" ref="D42:L42" si="3">SUM(D36:D41)</f>
        <v>72226</v>
      </c>
      <c r="E42" s="1674">
        <f t="shared" si="3"/>
        <v>4624</v>
      </c>
      <c r="F42" s="1674">
        <f t="shared" si="3"/>
        <v>424</v>
      </c>
      <c r="G42" s="1674">
        <f t="shared" si="3"/>
        <v>0</v>
      </c>
      <c r="H42" s="1674">
        <f t="shared" si="3"/>
        <v>102</v>
      </c>
      <c r="I42" s="1674">
        <f t="shared" si="3"/>
        <v>0</v>
      </c>
      <c r="J42" s="1674">
        <f t="shared" si="3"/>
        <v>0</v>
      </c>
      <c r="K42" s="1674">
        <f t="shared" si="3"/>
        <v>279287</v>
      </c>
      <c r="L42" s="1674">
        <f t="shared" si="3"/>
        <v>208833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63923</v>
      </c>
      <c r="D44" s="1586">
        <v>1065</v>
      </c>
      <c r="E44" s="1586">
        <v>277</v>
      </c>
      <c r="F44" s="1586"/>
      <c r="G44" s="1586"/>
      <c r="H44" s="1586">
        <v>299</v>
      </c>
      <c r="I44" s="1574"/>
      <c r="J44" s="1574"/>
      <c r="K44" s="1678">
        <f>SUM(C44:J44)</f>
        <v>65564</v>
      </c>
      <c r="L44" s="1586">
        <v>64302</v>
      </c>
    </row>
    <row r="45" spans="1:14" x14ac:dyDescent="0.2">
      <c r="A45" s="1274" t="s">
        <v>810</v>
      </c>
      <c r="B45" s="503">
        <v>2220</v>
      </c>
      <c r="C45" s="1573">
        <v>105621</v>
      </c>
      <c r="D45" s="1573">
        <v>17743</v>
      </c>
      <c r="E45" s="1573">
        <v>28393</v>
      </c>
      <c r="F45" s="1573">
        <v>38751</v>
      </c>
      <c r="G45" s="1573">
        <v>19026</v>
      </c>
      <c r="H45" s="1573">
        <v>1830</v>
      </c>
      <c r="I45" s="1574"/>
      <c r="J45" s="1574"/>
      <c r="K45" s="1678">
        <f>SUM(C45:J45)</f>
        <v>211364</v>
      </c>
      <c r="L45" s="1573">
        <v>190134</v>
      </c>
    </row>
    <row r="46" spans="1:14" x14ac:dyDescent="0.2">
      <c r="A46" s="1274" t="s">
        <v>811</v>
      </c>
      <c r="B46" s="503">
        <v>2230</v>
      </c>
      <c r="C46" s="1573"/>
      <c r="D46" s="1573"/>
      <c r="E46" s="1573">
        <v>15564</v>
      </c>
      <c r="F46" s="1573"/>
      <c r="G46" s="1573"/>
      <c r="H46" s="1573"/>
      <c r="I46" s="1574"/>
      <c r="J46" s="1574"/>
      <c r="K46" s="1678">
        <f>SUM(C46:J46)</f>
        <v>15564</v>
      </c>
      <c r="L46" s="1573">
        <v>15120</v>
      </c>
    </row>
    <row r="47" spans="1:14" ht="12.75" customHeight="1" thickBot="1" x14ac:dyDescent="0.25">
      <c r="A47" s="1380" t="s">
        <v>557</v>
      </c>
      <c r="B47" s="1381" t="s">
        <v>32</v>
      </c>
      <c r="C47" s="1674">
        <f>SUM(C44:C46)</f>
        <v>169544</v>
      </c>
      <c r="D47" s="1674">
        <f t="shared" ref="D47:K47" si="4">SUM(D44:D46)</f>
        <v>18808</v>
      </c>
      <c r="E47" s="1674">
        <f t="shared" si="4"/>
        <v>44234</v>
      </c>
      <c r="F47" s="1674">
        <f t="shared" si="4"/>
        <v>38751</v>
      </c>
      <c r="G47" s="1674">
        <f t="shared" si="4"/>
        <v>19026</v>
      </c>
      <c r="H47" s="1674">
        <f t="shared" si="4"/>
        <v>2129</v>
      </c>
      <c r="I47" s="1674">
        <f t="shared" si="4"/>
        <v>0</v>
      </c>
      <c r="J47" s="1674">
        <f t="shared" si="4"/>
        <v>0</v>
      </c>
      <c r="K47" s="1674">
        <f t="shared" si="4"/>
        <v>292492</v>
      </c>
      <c r="L47" s="1674">
        <f>SUM(L44:L46)</f>
        <v>269556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3440</v>
      </c>
      <c r="D49" s="1586">
        <v>994</v>
      </c>
      <c r="E49" s="1586">
        <v>42408</v>
      </c>
      <c r="F49" s="1586">
        <v>587</v>
      </c>
      <c r="G49" s="1586"/>
      <c r="H49" s="1586">
        <v>67070</v>
      </c>
      <c r="I49" s="1574"/>
      <c r="J49" s="1574"/>
      <c r="K49" s="1678">
        <f>SUM(C49:J49)</f>
        <v>114499</v>
      </c>
      <c r="L49" s="1586">
        <v>147732</v>
      </c>
    </row>
    <row r="50" spans="1:14" x14ac:dyDescent="0.2">
      <c r="A50" s="1274" t="s">
        <v>813</v>
      </c>
      <c r="B50" s="503">
        <v>2320</v>
      </c>
      <c r="C50" s="1573">
        <v>70200</v>
      </c>
      <c r="D50" s="1573"/>
      <c r="E50" s="1573">
        <v>2200</v>
      </c>
      <c r="F50" s="1573">
        <v>585</v>
      </c>
      <c r="G50" s="1573"/>
      <c r="H50" s="1573">
        <v>70</v>
      </c>
      <c r="I50" s="1574"/>
      <c r="J50" s="1574"/>
      <c r="K50" s="1678">
        <f>SUM(C50:J50)</f>
        <v>73055</v>
      </c>
      <c r="L50" s="1573">
        <v>185747</v>
      </c>
    </row>
    <row r="51" spans="1:14" x14ac:dyDescent="0.2">
      <c r="A51" s="1274" t="s">
        <v>42</v>
      </c>
      <c r="B51" s="503">
        <v>2330</v>
      </c>
      <c r="C51" s="1573">
        <v>12499</v>
      </c>
      <c r="D51" s="1573"/>
      <c r="E51" s="1573">
        <v>58</v>
      </c>
      <c r="F51" s="1573"/>
      <c r="G51" s="1573"/>
      <c r="H51" s="1573">
        <v>50</v>
      </c>
      <c r="I51" s="1574"/>
      <c r="J51" s="1574"/>
      <c r="K51" s="1678">
        <f>SUM(C51:J51)</f>
        <v>12607</v>
      </c>
      <c r="L51" s="1573">
        <v>11065</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86139</v>
      </c>
      <c r="D53" s="1674">
        <f t="shared" ref="D53:L53" si="5">SUM(D49:D52)</f>
        <v>994</v>
      </c>
      <c r="E53" s="1674">
        <f t="shared" si="5"/>
        <v>44666</v>
      </c>
      <c r="F53" s="1674">
        <f t="shared" si="5"/>
        <v>1172</v>
      </c>
      <c r="G53" s="1674">
        <f t="shared" si="5"/>
        <v>0</v>
      </c>
      <c r="H53" s="1674">
        <f t="shared" si="5"/>
        <v>67190</v>
      </c>
      <c r="I53" s="1674">
        <f t="shared" si="5"/>
        <v>0</v>
      </c>
      <c r="J53" s="1674">
        <f t="shared" si="5"/>
        <v>0</v>
      </c>
      <c r="K53" s="1674">
        <f t="shared" si="5"/>
        <v>200161</v>
      </c>
      <c r="L53" s="1674">
        <f t="shared" si="5"/>
        <v>344544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436248</v>
      </c>
      <c r="D55" s="1586">
        <v>77235</v>
      </c>
      <c r="E55" s="1586">
        <v>1593</v>
      </c>
      <c r="F55" s="1586">
        <v>18259</v>
      </c>
      <c r="G55" s="1586"/>
      <c r="H55" s="1586">
        <v>1428</v>
      </c>
      <c r="I55" s="1574"/>
      <c r="J55" s="1574"/>
      <c r="K55" s="1678">
        <f>SUM(C55:J55)</f>
        <v>534763</v>
      </c>
      <c r="L55" s="1586">
        <v>532661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436248</v>
      </c>
      <c r="D57" s="1679">
        <f t="shared" ref="D57:K57" si="6">SUM(D55:D56)</f>
        <v>77235</v>
      </c>
      <c r="E57" s="1679">
        <f t="shared" si="6"/>
        <v>1593</v>
      </c>
      <c r="F57" s="1679">
        <f t="shared" si="6"/>
        <v>18259</v>
      </c>
      <c r="G57" s="1679">
        <f t="shared" si="6"/>
        <v>0</v>
      </c>
      <c r="H57" s="1679">
        <f t="shared" si="6"/>
        <v>1428</v>
      </c>
      <c r="I57" s="1679">
        <f t="shared" si="6"/>
        <v>0</v>
      </c>
      <c r="J57" s="1679">
        <f t="shared" si="6"/>
        <v>0</v>
      </c>
      <c r="K57" s="1679">
        <f t="shared" si="6"/>
        <v>534763</v>
      </c>
      <c r="L57" s="1674">
        <f>SUM(L55:L56)</f>
        <v>532661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68578</v>
      </c>
      <c r="D60" s="1573">
        <v>18438</v>
      </c>
      <c r="E60" s="1573">
        <v>29735</v>
      </c>
      <c r="F60" s="1573">
        <v>1628</v>
      </c>
      <c r="G60" s="1573"/>
      <c r="H60" s="1573"/>
      <c r="I60" s="1574"/>
      <c r="J60" s="1574"/>
      <c r="K60" s="1678">
        <f t="shared" si="7"/>
        <v>118379</v>
      </c>
      <c r="L60" s="1573">
        <v>104523</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113460</v>
      </c>
      <c r="D63" s="1573">
        <v>22190</v>
      </c>
      <c r="E63" s="1573">
        <v>10756</v>
      </c>
      <c r="F63" s="1573">
        <v>124674</v>
      </c>
      <c r="G63" s="1573"/>
      <c r="H63" s="1573"/>
      <c r="I63" s="1574"/>
      <c r="J63" s="1574"/>
      <c r="K63" s="1678">
        <f t="shared" si="7"/>
        <v>271080</v>
      </c>
      <c r="L63" s="1573">
        <v>300796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182038</v>
      </c>
      <c r="D65" s="1674">
        <f t="shared" ref="D65:L65" si="8">SUM(D59:D64)</f>
        <v>40628</v>
      </c>
      <c r="E65" s="1674">
        <f t="shared" si="8"/>
        <v>40491</v>
      </c>
      <c r="F65" s="1674">
        <f t="shared" si="8"/>
        <v>126302</v>
      </c>
      <c r="G65" s="1674">
        <f t="shared" si="8"/>
        <v>0</v>
      </c>
      <c r="H65" s="1674">
        <f t="shared" si="8"/>
        <v>0</v>
      </c>
      <c r="I65" s="1674">
        <f t="shared" si="8"/>
        <v>0</v>
      </c>
      <c r="J65" s="1674">
        <f t="shared" si="8"/>
        <v>0</v>
      </c>
      <c r="K65" s="1674">
        <f t="shared" si="8"/>
        <v>389459</v>
      </c>
      <c r="L65" s="1674">
        <f t="shared" si="8"/>
        <v>405319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v>7165</v>
      </c>
      <c r="D68" s="1573">
        <v>748</v>
      </c>
      <c r="E68" s="1573">
        <v>5000</v>
      </c>
      <c r="F68" s="1573">
        <v>53613</v>
      </c>
      <c r="G68" s="1573"/>
      <c r="H68" s="1573"/>
      <c r="I68" s="1574"/>
      <c r="J68" s="1574"/>
      <c r="K68" s="1678">
        <f>SUM(C68:J68)</f>
        <v>66526</v>
      </c>
      <c r="L68" s="1573">
        <v>14961</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7165</v>
      </c>
      <c r="D72" s="1674">
        <f t="shared" ref="D72:K72" si="9">SUM(D67:D71)</f>
        <v>748</v>
      </c>
      <c r="E72" s="1674">
        <f t="shared" si="9"/>
        <v>5000</v>
      </c>
      <c r="F72" s="1674">
        <f t="shared" si="9"/>
        <v>53613</v>
      </c>
      <c r="G72" s="1674">
        <f t="shared" si="9"/>
        <v>0</v>
      </c>
      <c r="H72" s="1674">
        <f t="shared" si="9"/>
        <v>0</v>
      </c>
      <c r="I72" s="1674">
        <f t="shared" si="9"/>
        <v>0</v>
      </c>
      <c r="J72" s="1674">
        <f t="shared" si="9"/>
        <v>0</v>
      </c>
      <c r="K72" s="1674">
        <f t="shared" si="9"/>
        <v>66526</v>
      </c>
      <c r="L72" s="1674">
        <f>SUM(L67:L71)</f>
        <v>14961</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1083045</v>
      </c>
      <c r="D74" s="1681">
        <f t="shared" ref="D74:K74" si="10">SUM(D42,D47,D53,D57,D65,D72,D73)</f>
        <v>210639</v>
      </c>
      <c r="E74" s="1681">
        <f t="shared" si="10"/>
        <v>140608</v>
      </c>
      <c r="F74" s="1681">
        <f t="shared" si="10"/>
        <v>238521</v>
      </c>
      <c r="G74" s="1681">
        <f t="shared" si="10"/>
        <v>19026</v>
      </c>
      <c r="H74" s="1681">
        <f t="shared" si="10"/>
        <v>70849</v>
      </c>
      <c r="I74" s="1681">
        <f t="shared" si="10"/>
        <v>0</v>
      </c>
      <c r="J74" s="1681">
        <f t="shared" si="10"/>
        <v>0</v>
      </c>
      <c r="K74" s="1681">
        <f t="shared" si="10"/>
        <v>1762688</v>
      </c>
      <c r="L74" s="1681">
        <f>SUM(L42,L47,L53,L57,L65,L72,L73)</f>
        <v>1775874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1601635</v>
      </c>
      <c r="F79" s="1673"/>
      <c r="G79" s="1673"/>
      <c r="H79" s="1573"/>
      <c r="I79" s="1582"/>
      <c r="J79" s="1582"/>
      <c r="K79" s="1672">
        <f t="shared" si="11"/>
        <v>1601635</v>
      </c>
      <c r="L79" s="1573">
        <v>1030383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49000</v>
      </c>
    </row>
    <row r="84" spans="1:12" ht="13.5" thickBot="1" x14ac:dyDescent="0.25">
      <c r="A84" s="1380" t="s">
        <v>1468</v>
      </c>
      <c r="B84" s="1385">
        <v>4100</v>
      </c>
      <c r="C84" s="1673"/>
      <c r="D84" s="1673"/>
      <c r="E84" s="1674">
        <f>SUM(E78:E83)</f>
        <v>1601635</v>
      </c>
      <c r="F84" s="1673"/>
      <c r="G84" s="1673"/>
      <c r="H84" s="1674">
        <f>SUM(H78:H83)</f>
        <v>0</v>
      </c>
      <c r="I84" s="1582"/>
      <c r="J84" s="1582"/>
      <c r="K84" s="1674">
        <f>SUM(K78:K83)</f>
        <v>1601635</v>
      </c>
      <c r="L84" s="1674">
        <f>SUM(L78:L83)</f>
        <v>1079383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1601635</v>
      </c>
      <c r="F102" s="1673"/>
      <c r="G102" s="1673"/>
      <c r="H102" s="1681">
        <f>SUM(H84,H92,H100,H101)</f>
        <v>0</v>
      </c>
      <c r="I102" s="1582"/>
      <c r="J102" s="1582"/>
      <c r="K102" s="1681">
        <f>SUM(K84,K92,K100,K101)</f>
        <v>1601635</v>
      </c>
      <c r="L102" s="1681">
        <f>SUM(L84,L92,L100,L101)</f>
        <v>1079383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250000</v>
      </c>
      <c r="M113" s="502"/>
      <c r="N113" s="502"/>
    </row>
    <row r="114" spans="1:14" ht="12.75" customHeight="1" thickTop="1" thickBot="1" x14ac:dyDescent="0.25">
      <c r="A114" s="1380" t="s">
        <v>48</v>
      </c>
      <c r="B114" s="1388"/>
      <c r="C114" s="1674">
        <f>SUM(C33,C74,C75,C102,C112,C113)</f>
        <v>4425942</v>
      </c>
      <c r="D114" s="1674">
        <f t="shared" ref="D114:K114" si="13">SUM(D33,D74,D75,D102,D112,D113)</f>
        <v>1054597</v>
      </c>
      <c r="E114" s="1674">
        <f t="shared" si="13"/>
        <v>3547353</v>
      </c>
      <c r="F114" s="1674">
        <f t="shared" si="13"/>
        <v>341498</v>
      </c>
      <c r="G114" s="1674">
        <f t="shared" si="13"/>
        <v>19827</v>
      </c>
      <c r="H114" s="1674">
        <f>SUM(H33,H74,H75,H102,H112,H113)</f>
        <v>86981</v>
      </c>
      <c r="I114" s="1674">
        <f t="shared" si="13"/>
        <v>0</v>
      </c>
      <c r="J114" s="1674">
        <f t="shared" si="13"/>
        <v>0</v>
      </c>
      <c r="K114" s="1674">
        <f t="shared" si="13"/>
        <v>9476198</v>
      </c>
      <c r="L114" s="1674">
        <f>SUM(L33,L74,L75,L102,L112,L113)</f>
        <v>8353045</v>
      </c>
    </row>
    <row r="115" spans="1:14" ht="13.5" thickTop="1" x14ac:dyDescent="0.2">
      <c r="A115" s="2287" t="s">
        <v>989</v>
      </c>
      <c r="B115" s="2288"/>
      <c r="C115" s="1675"/>
      <c r="D115" s="1675"/>
      <c r="E115" s="1675"/>
      <c r="F115" s="1675"/>
      <c r="G115" s="1675"/>
      <c r="H115" s="1675"/>
      <c r="I115" s="1675"/>
      <c r="J115" s="1675"/>
      <c r="K115" s="1689">
        <f>'Revenues 9-14'!C268-'Expenditures 15-22'!K114</f>
        <v>392028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208315</v>
      </c>
      <c r="D124" s="1573">
        <v>68523</v>
      </c>
      <c r="E124" s="1573">
        <v>189521</v>
      </c>
      <c r="F124" s="1573">
        <v>185597</v>
      </c>
      <c r="G124" s="1573"/>
      <c r="H124" s="1573"/>
      <c r="I124" s="1574"/>
      <c r="J124" s="1574"/>
      <c r="K124" s="1674">
        <f>SUM(C124:J124)</f>
        <v>651956</v>
      </c>
      <c r="L124" s="1573">
        <v>651993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208315</v>
      </c>
      <c r="D127" s="1674">
        <f t="shared" ref="D127:L127" si="14">SUM(D122:D126)</f>
        <v>68523</v>
      </c>
      <c r="E127" s="1674">
        <f t="shared" si="14"/>
        <v>189521</v>
      </c>
      <c r="F127" s="1674">
        <f t="shared" si="14"/>
        <v>185597</v>
      </c>
      <c r="G127" s="1674">
        <f t="shared" si="14"/>
        <v>0</v>
      </c>
      <c r="H127" s="1674">
        <f t="shared" si="14"/>
        <v>0</v>
      </c>
      <c r="I127" s="1674">
        <f t="shared" si="14"/>
        <v>0</v>
      </c>
      <c r="J127" s="1674">
        <f t="shared" si="14"/>
        <v>0</v>
      </c>
      <c r="K127" s="1674">
        <f t="shared" si="14"/>
        <v>651956</v>
      </c>
      <c r="L127" s="1674">
        <f t="shared" si="14"/>
        <v>651993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208315</v>
      </c>
      <c r="D129" s="1681">
        <f t="shared" ref="D129:L129" si="15">SUM(D120,D127,D128)</f>
        <v>68523</v>
      </c>
      <c r="E129" s="1681">
        <f t="shared" si="15"/>
        <v>189521</v>
      </c>
      <c r="F129" s="1681">
        <f t="shared" si="15"/>
        <v>185597</v>
      </c>
      <c r="G129" s="1681">
        <f t="shared" si="15"/>
        <v>0</v>
      </c>
      <c r="H129" s="1681">
        <f t="shared" si="15"/>
        <v>0</v>
      </c>
      <c r="I129" s="1681">
        <f t="shared" si="15"/>
        <v>0</v>
      </c>
      <c r="J129" s="1681">
        <f t="shared" si="15"/>
        <v>0</v>
      </c>
      <c r="K129" s="1681">
        <f t="shared" si="15"/>
        <v>651956</v>
      </c>
      <c r="L129" s="1681">
        <f t="shared" si="15"/>
        <v>651993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208315</v>
      </c>
      <c r="D151" s="1674">
        <f t="shared" ref="D151:K151" si="16">SUM(D129,D130,D139,D149,D150)</f>
        <v>68523</v>
      </c>
      <c r="E151" s="1674">
        <f t="shared" si="16"/>
        <v>189521</v>
      </c>
      <c r="F151" s="1674">
        <f t="shared" si="16"/>
        <v>185597</v>
      </c>
      <c r="G151" s="1674">
        <f t="shared" si="16"/>
        <v>0</v>
      </c>
      <c r="H151" s="1674">
        <f t="shared" si="16"/>
        <v>0</v>
      </c>
      <c r="I151" s="1674">
        <f t="shared" si="16"/>
        <v>0</v>
      </c>
      <c r="J151" s="1674">
        <f t="shared" si="16"/>
        <v>0</v>
      </c>
      <c r="K151" s="1674">
        <f t="shared" si="16"/>
        <v>651956</v>
      </c>
      <c r="L151" s="1674">
        <f>SUM(L129,L130,L139,L149,L150)</f>
        <v>651993</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-9017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52219</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52219</v>
      </c>
    </row>
    <row r="169" spans="1:14" ht="15.75" customHeight="1" thickTop="1" x14ac:dyDescent="0.2">
      <c r="A169" s="543" t="s">
        <v>83</v>
      </c>
      <c r="B169" s="544" t="s">
        <v>38</v>
      </c>
      <c r="C169" s="1673"/>
      <c r="D169" s="1673"/>
      <c r="E169" s="1673"/>
      <c r="F169" s="1673"/>
      <c r="G169" s="1673"/>
      <c r="H169" s="1695">
        <v>48585</v>
      </c>
      <c r="I169" s="1673"/>
      <c r="J169" s="1673"/>
      <c r="K169" s="1672">
        <f>SUM(C169:H169)</f>
        <v>48585</v>
      </c>
      <c r="L169" s="1695">
        <v>92908</v>
      </c>
    </row>
    <row r="170" spans="1:14" ht="33.75" customHeight="1" x14ac:dyDescent="0.2">
      <c r="A170" s="543" t="s">
        <v>1651</v>
      </c>
      <c r="B170" s="545" t="s">
        <v>31</v>
      </c>
      <c r="C170" s="1673"/>
      <c r="D170" s="1673"/>
      <c r="E170" s="1673"/>
      <c r="F170" s="1673"/>
      <c r="G170" s="1673"/>
      <c r="H170" s="1646">
        <v>95000</v>
      </c>
      <c r="I170" s="1673"/>
      <c r="J170" s="1673"/>
      <c r="K170" s="1672">
        <f>SUM(C170:J170)</f>
        <v>95000</v>
      </c>
      <c r="L170" s="1646"/>
    </row>
    <row r="171" spans="1:14" ht="15.75" customHeight="1" x14ac:dyDescent="0.2">
      <c r="A171" s="507" t="s">
        <v>761</v>
      </c>
      <c r="B171" s="546" t="s">
        <v>84</v>
      </c>
      <c r="C171" s="1673"/>
      <c r="D171" s="1673"/>
      <c r="E171" s="1573"/>
      <c r="F171" s="1673"/>
      <c r="G171" s="1673"/>
      <c r="H171" s="1646">
        <v>975</v>
      </c>
      <c r="I171" s="1582"/>
      <c r="J171" s="1673"/>
      <c r="K171" s="1672">
        <f>SUM(C171:J171)</f>
        <v>975</v>
      </c>
      <c r="L171" s="1646"/>
    </row>
    <row r="172" spans="1:14" ht="12.75" customHeight="1" thickBot="1" x14ac:dyDescent="0.25">
      <c r="A172" s="1380" t="s">
        <v>633</v>
      </c>
      <c r="B172" s="1381" t="s">
        <v>489</v>
      </c>
      <c r="C172" s="1673"/>
      <c r="D172" s="1673"/>
      <c r="E172" s="1681">
        <f>SUM(E168,E169,E170,E171)</f>
        <v>0</v>
      </c>
      <c r="F172" s="1673"/>
      <c r="G172" s="1673"/>
      <c r="H172" s="1681">
        <f>SUM(H168,H169,H170,H171)</f>
        <v>144560</v>
      </c>
      <c r="I172" s="1684"/>
      <c r="J172" s="1673"/>
      <c r="K172" s="1681">
        <f>SUM(K168,K169,K170,K171)</f>
        <v>144560</v>
      </c>
      <c r="L172" s="1681">
        <f>SUM(L168,L169,L170,L171)</f>
        <v>145127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144560</v>
      </c>
      <c r="I174" s="1684"/>
      <c r="J174" s="1673"/>
      <c r="K174" s="1681">
        <f>SUM(K160,K172,K173)</f>
        <v>144560</v>
      </c>
      <c r="L174" s="1681">
        <f>SUM(L160,L172,L173)</f>
        <v>145127</v>
      </c>
    </row>
    <row r="175" spans="1:14" ht="13.5" thickTop="1" x14ac:dyDescent="0.2">
      <c r="A175" s="2287" t="s">
        <v>989</v>
      </c>
      <c r="B175" s="2288"/>
      <c r="C175" s="1673"/>
      <c r="D175" s="1673"/>
      <c r="E175" s="1673"/>
      <c r="F175" s="1673"/>
      <c r="G175" s="1673"/>
      <c r="H175" s="1675"/>
      <c r="I175" s="1673"/>
      <c r="J175" s="1673"/>
      <c r="K175" s="1689">
        <f>'Revenues 9-14'!E268-'Expenditures 15-22'!K174</f>
        <v>262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166836</v>
      </c>
      <c r="D182" s="1573">
        <v>15500</v>
      </c>
      <c r="E182" s="1573">
        <v>597343</v>
      </c>
      <c r="F182" s="1573">
        <v>38799</v>
      </c>
      <c r="G182" s="1573"/>
      <c r="H182" s="1573"/>
      <c r="I182" s="1574"/>
      <c r="J182" s="1574"/>
      <c r="K182" s="1672">
        <f>SUM(C182:J182)</f>
        <v>818478</v>
      </c>
      <c r="L182" s="1573">
        <v>610127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166836</v>
      </c>
      <c r="D184" s="1681">
        <f t="shared" ref="D184:J184" si="17">SUM(D180,D182,D183)</f>
        <v>15500</v>
      </c>
      <c r="E184" s="1681">
        <f t="shared" si="17"/>
        <v>597343</v>
      </c>
      <c r="F184" s="1681">
        <f t="shared" si="17"/>
        <v>38799</v>
      </c>
      <c r="G184" s="1681">
        <f t="shared" si="17"/>
        <v>0</v>
      </c>
      <c r="H184" s="1681">
        <f t="shared" si="17"/>
        <v>0</v>
      </c>
      <c r="I184" s="1681">
        <f t="shared" si="17"/>
        <v>0</v>
      </c>
      <c r="J184" s="1681">
        <f t="shared" si="17"/>
        <v>0</v>
      </c>
      <c r="K184" s="1681">
        <f>SUM(K180,K182,K183)</f>
        <v>818478</v>
      </c>
      <c r="L184" s="1681">
        <f>SUM(L180, L182:L183)</f>
        <v>610127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166836</v>
      </c>
      <c r="D210" s="1674">
        <f>SUM(D184,D185)</f>
        <v>15500</v>
      </c>
      <c r="E210" s="1674">
        <f>SUM(E184,E185,E196)</f>
        <v>597343</v>
      </c>
      <c r="F210" s="1674">
        <f>SUM(F184,F185)</f>
        <v>38799</v>
      </c>
      <c r="G210" s="1674">
        <f>SUM(G184,G185)</f>
        <v>0</v>
      </c>
      <c r="H210" s="1674">
        <f>SUM(H184,H185,H196,H208,H209)</f>
        <v>0</v>
      </c>
      <c r="I210" s="1674">
        <f>SUM(I184,I185)</f>
        <v>0</v>
      </c>
      <c r="J210" s="1674">
        <f>SUM(J184,J185)</f>
        <v>0</v>
      </c>
      <c r="K210" s="1672">
        <f>SUM(K184,K185,K196,K208,K209)</f>
        <v>818478</v>
      </c>
      <c r="L210" s="1674">
        <f>SUM(L184,L185,L196,L208,L209)</f>
        <v>610127</v>
      </c>
    </row>
    <row r="211" spans="1:14" ht="13.5" thickTop="1" x14ac:dyDescent="0.2">
      <c r="A211" s="2287" t="s">
        <v>989</v>
      </c>
      <c r="B211" s="2288"/>
      <c r="C211" s="1675"/>
      <c r="D211" s="1675"/>
      <c r="E211" s="1675"/>
      <c r="F211" s="1675"/>
      <c r="G211" s="1675"/>
      <c r="H211" s="1675"/>
      <c r="I211" s="1673"/>
      <c r="J211" s="1673"/>
      <c r="K211" s="1689">
        <f>'Revenues 9-14'!F268-'Expenditures 15-22'!K210</f>
        <v>-297168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41965</v>
      </c>
      <c r="E215" s="1673"/>
      <c r="F215" s="1673"/>
      <c r="G215" s="1673"/>
      <c r="H215" s="1673"/>
      <c r="I215" s="1673"/>
      <c r="J215" s="1673"/>
      <c r="K215" s="1672">
        <f>D215</f>
        <v>41965</v>
      </c>
      <c r="L215" s="1573">
        <v>45560</v>
      </c>
    </row>
    <row r="216" spans="1:14" x14ac:dyDescent="0.2">
      <c r="A216" s="1274" t="s">
        <v>162</v>
      </c>
      <c r="B216" s="503" t="s">
        <v>961</v>
      </c>
      <c r="C216" s="1673"/>
      <c r="D216" s="1574">
        <v>1508</v>
      </c>
      <c r="E216" s="1673"/>
      <c r="F216" s="1673"/>
      <c r="G216" s="1673"/>
      <c r="H216" s="1673"/>
      <c r="I216" s="1673"/>
      <c r="J216" s="1673"/>
      <c r="K216" s="1672">
        <f t="shared" ref="K216:K228" si="19">D216</f>
        <v>1508</v>
      </c>
      <c r="L216" s="1573">
        <v>4850</v>
      </c>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34388</v>
      </c>
      <c r="E219" s="1673"/>
      <c r="F219" s="1673"/>
      <c r="G219" s="1673"/>
      <c r="H219" s="1673"/>
      <c r="I219" s="1673"/>
      <c r="J219" s="1673"/>
      <c r="K219" s="1672">
        <f t="shared" si="19"/>
        <v>34388</v>
      </c>
      <c r="L219" s="1573">
        <v>27646</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3210</v>
      </c>
      <c r="E222" s="1673"/>
      <c r="F222" s="1673"/>
      <c r="G222" s="1673"/>
      <c r="H222" s="1673"/>
      <c r="I222" s="1673"/>
      <c r="J222" s="1673"/>
      <c r="K222" s="1672">
        <f t="shared" si="19"/>
        <v>3210</v>
      </c>
      <c r="L222" s="1573">
        <v>3128</v>
      </c>
    </row>
    <row r="223" spans="1:14" x14ac:dyDescent="0.2">
      <c r="A223" s="1274" t="s">
        <v>957</v>
      </c>
      <c r="B223" s="503">
        <v>1500</v>
      </c>
      <c r="C223" s="1673"/>
      <c r="D223" s="1573">
        <v>7490</v>
      </c>
      <c r="E223" s="1673"/>
      <c r="F223" s="1673"/>
      <c r="G223" s="1673"/>
      <c r="H223" s="1673"/>
      <c r="I223" s="1673"/>
      <c r="J223" s="1673"/>
      <c r="K223" s="1672">
        <f t="shared" si="19"/>
        <v>7490</v>
      </c>
      <c r="L223" s="1573">
        <v>6406</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615</v>
      </c>
      <c r="E226" s="1673"/>
      <c r="F226" s="1673"/>
      <c r="G226" s="1673"/>
      <c r="H226" s="1673"/>
      <c r="I226" s="1673"/>
      <c r="J226" s="1673"/>
      <c r="K226" s="1672">
        <f t="shared" si="19"/>
        <v>615</v>
      </c>
      <c r="L226" s="1573">
        <v>638</v>
      </c>
    </row>
    <row r="227" spans="1:12" x14ac:dyDescent="0.2">
      <c r="A227" s="1274" t="s">
        <v>1078</v>
      </c>
      <c r="B227" s="503">
        <v>1800</v>
      </c>
      <c r="C227" s="1673"/>
      <c r="D227" s="1573">
        <v>12544</v>
      </c>
      <c r="E227" s="1673"/>
      <c r="F227" s="1673"/>
      <c r="G227" s="1673"/>
      <c r="H227" s="1673"/>
      <c r="I227" s="1673"/>
      <c r="J227" s="1673"/>
      <c r="K227" s="1672">
        <f t="shared" si="19"/>
        <v>12544</v>
      </c>
      <c r="L227" s="1573">
        <v>12377</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101720</v>
      </c>
      <c r="E229" s="1673"/>
      <c r="F229" s="1673"/>
      <c r="G229" s="1673"/>
      <c r="H229" s="1673"/>
      <c r="I229" s="1673"/>
      <c r="J229" s="1673"/>
      <c r="K229" s="1674">
        <f>SUM(K215:K228)</f>
        <v>101720</v>
      </c>
      <c r="L229" s="1674">
        <f>SUM(L215:L228)</f>
        <v>100605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1646</v>
      </c>
      <c r="E232" s="1673"/>
      <c r="F232" s="1673"/>
      <c r="G232" s="1673"/>
      <c r="H232" s="1673"/>
      <c r="I232" s="1673"/>
      <c r="J232" s="1673"/>
      <c r="K232" s="1672">
        <f t="shared" ref="K232:K237" si="20">D232</f>
        <v>1646</v>
      </c>
      <c r="L232" s="1573">
        <v>894</v>
      </c>
    </row>
    <row r="233" spans="1:12" x14ac:dyDescent="0.2">
      <c r="A233" s="1274" t="s">
        <v>1081</v>
      </c>
      <c r="B233" s="503">
        <v>2120</v>
      </c>
      <c r="C233" s="1673"/>
      <c r="D233" s="1573">
        <v>702</v>
      </c>
      <c r="E233" s="1673"/>
      <c r="F233" s="1673"/>
      <c r="G233" s="1673"/>
      <c r="H233" s="1673"/>
      <c r="I233" s="1673"/>
      <c r="J233" s="1673"/>
      <c r="K233" s="1672">
        <f t="shared" si="20"/>
        <v>702</v>
      </c>
      <c r="L233" s="1573">
        <v>682</v>
      </c>
    </row>
    <row r="234" spans="1:12" x14ac:dyDescent="0.2">
      <c r="A234" s="1274" t="s">
        <v>196</v>
      </c>
      <c r="B234" s="503">
        <v>2130</v>
      </c>
      <c r="C234" s="1673"/>
      <c r="D234" s="1573"/>
      <c r="E234" s="1673"/>
      <c r="F234" s="1673"/>
      <c r="G234" s="1673"/>
      <c r="H234" s="1673"/>
      <c r="I234" s="1673"/>
      <c r="J234" s="1673"/>
      <c r="K234" s="1672">
        <f t="shared" si="20"/>
        <v>0</v>
      </c>
      <c r="L234" s="1573">
        <v>128</v>
      </c>
    </row>
    <row r="235" spans="1:12" x14ac:dyDescent="0.2">
      <c r="A235" s="1274" t="s">
        <v>197</v>
      </c>
      <c r="B235" s="503">
        <v>2140</v>
      </c>
      <c r="C235" s="1673"/>
      <c r="D235" s="1573">
        <v>2179</v>
      </c>
      <c r="E235" s="1673"/>
      <c r="F235" s="1673"/>
      <c r="G235" s="1673"/>
      <c r="H235" s="1673"/>
      <c r="I235" s="1673"/>
      <c r="J235" s="1673"/>
      <c r="K235" s="1672">
        <f t="shared" si="20"/>
        <v>2179</v>
      </c>
      <c r="L235" s="1573"/>
    </row>
    <row r="236" spans="1:12" x14ac:dyDescent="0.2">
      <c r="A236" s="1274" t="s">
        <v>198</v>
      </c>
      <c r="B236" s="503">
        <v>2150</v>
      </c>
      <c r="C236" s="1673"/>
      <c r="D236" s="1573"/>
      <c r="E236" s="1673"/>
      <c r="F236" s="1673"/>
      <c r="G236" s="1673"/>
      <c r="H236" s="1673"/>
      <c r="I236" s="1673"/>
      <c r="J236" s="1673"/>
      <c r="K236" s="1672">
        <f t="shared" si="20"/>
        <v>0</v>
      </c>
      <c r="L236" s="1573">
        <v>562</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4527</v>
      </c>
      <c r="E238" s="1673"/>
      <c r="F238" s="1673"/>
      <c r="G238" s="1673"/>
      <c r="H238" s="1673"/>
      <c r="I238" s="1673"/>
      <c r="J238" s="1673"/>
      <c r="K238" s="1674">
        <f>SUM(K232:K237)</f>
        <v>4527</v>
      </c>
      <c r="L238" s="1674">
        <f>SUM(L232:L237)</f>
        <v>2266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1030</v>
      </c>
      <c r="E240" s="1673"/>
      <c r="F240" s="1673"/>
      <c r="G240" s="1673"/>
      <c r="H240" s="1673"/>
      <c r="I240" s="1673"/>
      <c r="J240" s="1673"/>
      <c r="K240" s="1678">
        <f>D240</f>
        <v>1030</v>
      </c>
      <c r="L240" s="1586">
        <v>1000</v>
      </c>
    </row>
    <row r="241" spans="1:12" x14ac:dyDescent="0.2">
      <c r="A241" s="1274" t="s">
        <v>810</v>
      </c>
      <c r="B241" s="503">
        <v>2220</v>
      </c>
      <c r="C241" s="1673"/>
      <c r="D241" s="1573">
        <v>18631</v>
      </c>
      <c r="E241" s="1673"/>
      <c r="F241" s="1673"/>
      <c r="G241" s="1673"/>
      <c r="H241" s="1673"/>
      <c r="I241" s="1673"/>
      <c r="J241" s="1673"/>
      <c r="K241" s="1678">
        <f>D241</f>
        <v>18631</v>
      </c>
      <c r="L241" s="1573">
        <v>18359</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19661</v>
      </c>
      <c r="E243" s="1673"/>
      <c r="F243" s="1673"/>
      <c r="G243" s="1673"/>
      <c r="H243" s="1673"/>
      <c r="I243" s="1673"/>
      <c r="J243" s="1673"/>
      <c r="K243" s="1674">
        <f>SUM(K240:K242)</f>
        <v>19661</v>
      </c>
      <c r="L243" s="1674">
        <f>SUM(L240:L242)</f>
        <v>19359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339</v>
      </c>
      <c r="E245" s="1673"/>
      <c r="F245" s="1673"/>
      <c r="G245" s="1673"/>
      <c r="H245" s="1673"/>
      <c r="I245" s="1673"/>
      <c r="J245" s="1673"/>
      <c r="K245" s="1678">
        <f>D245</f>
        <v>339</v>
      </c>
      <c r="L245" s="1586">
        <v>302</v>
      </c>
    </row>
    <row r="246" spans="1:12" x14ac:dyDescent="0.2">
      <c r="A246" s="1274" t="s">
        <v>813</v>
      </c>
      <c r="B246" s="503">
        <v>2320</v>
      </c>
      <c r="C246" s="1673"/>
      <c r="D246" s="1573">
        <v>1131</v>
      </c>
      <c r="E246" s="1673"/>
      <c r="F246" s="1673"/>
      <c r="G246" s="1673"/>
      <c r="H246" s="1673"/>
      <c r="I246" s="1673"/>
      <c r="J246" s="1673"/>
      <c r="K246" s="1678">
        <f t="shared" ref="K246:K256" si="21">D246</f>
        <v>1131</v>
      </c>
      <c r="L246" s="1573">
        <v>292</v>
      </c>
    </row>
    <row r="247" spans="1:12" x14ac:dyDescent="0.2">
      <c r="A247" s="1274" t="s">
        <v>814</v>
      </c>
      <c r="B247" s="503">
        <v>2330</v>
      </c>
      <c r="C247" s="1673"/>
      <c r="D247" s="1573">
        <v>362</v>
      </c>
      <c r="E247" s="1673"/>
      <c r="F247" s="1673"/>
      <c r="G247" s="1673"/>
      <c r="H247" s="1673"/>
      <c r="I247" s="1673"/>
      <c r="J247" s="1673"/>
      <c r="K247" s="1678">
        <f t="shared" si="21"/>
        <v>362</v>
      </c>
      <c r="L247" s="1573">
        <v>30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1832</v>
      </c>
      <c r="E257" s="1673"/>
      <c r="F257" s="1673"/>
      <c r="G257" s="1673"/>
      <c r="H257" s="1673"/>
      <c r="I257" s="1673"/>
      <c r="J257" s="1673"/>
      <c r="K257" s="1674">
        <f>SUM(K245:K256)</f>
        <v>1832</v>
      </c>
      <c r="L257" s="1674">
        <f>SUM(L245:L256)</f>
        <v>624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27597</v>
      </c>
      <c r="E259" s="1673"/>
      <c r="F259" s="1673"/>
      <c r="G259" s="1673"/>
      <c r="H259" s="1673"/>
      <c r="I259" s="1673"/>
      <c r="J259" s="1673"/>
      <c r="K259" s="1678">
        <f>D259</f>
        <v>27597</v>
      </c>
      <c r="L259" s="1586">
        <v>9035</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27597</v>
      </c>
      <c r="E261" s="1673"/>
      <c r="F261" s="1673"/>
      <c r="G261" s="1673"/>
      <c r="H261" s="1673"/>
      <c r="I261" s="1673"/>
      <c r="J261" s="1673"/>
      <c r="K261" s="1674">
        <f>SUM(K259:K260)</f>
        <v>27597</v>
      </c>
      <c r="L261" s="1674">
        <f>SUM(L259:L260)</f>
        <v>9035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12302</v>
      </c>
      <c r="E264" s="1673"/>
      <c r="F264" s="1673"/>
      <c r="G264" s="1673"/>
      <c r="H264" s="1673"/>
      <c r="I264" s="1673"/>
      <c r="J264" s="1673"/>
      <c r="K264" s="1678">
        <f t="shared" ref="K264:K269" si="22">D264</f>
        <v>12302</v>
      </c>
      <c r="L264" s="1573">
        <v>12380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45330</v>
      </c>
      <c r="E266" s="1673"/>
      <c r="F266" s="1673"/>
      <c r="G266" s="1673"/>
      <c r="H266" s="1673"/>
      <c r="I266" s="1673"/>
      <c r="J266" s="1673"/>
      <c r="K266" s="1678">
        <f t="shared" si="22"/>
        <v>45330</v>
      </c>
      <c r="L266" s="1573">
        <v>43235</v>
      </c>
    </row>
    <row r="267" spans="1:14" x14ac:dyDescent="0.2">
      <c r="A267" s="1274" t="s">
        <v>947</v>
      </c>
      <c r="B267" s="503">
        <v>2550</v>
      </c>
      <c r="C267" s="1673"/>
      <c r="D267" s="1573">
        <v>25711</v>
      </c>
      <c r="E267" s="1673"/>
      <c r="F267" s="1673"/>
      <c r="G267" s="1673"/>
      <c r="H267" s="1673"/>
      <c r="I267" s="1673"/>
      <c r="J267" s="1673"/>
      <c r="K267" s="1678">
        <f t="shared" si="22"/>
        <v>25711</v>
      </c>
      <c r="L267" s="1573">
        <v>26291</v>
      </c>
    </row>
    <row r="268" spans="1:14" x14ac:dyDescent="0.2">
      <c r="A268" s="1274" t="s">
        <v>100</v>
      </c>
      <c r="B268" s="503">
        <v>2560</v>
      </c>
      <c r="C268" s="1673"/>
      <c r="D268" s="1573">
        <v>20159</v>
      </c>
      <c r="E268" s="1673"/>
      <c r="F268" s="1673"/>
      <c r="G268" s="1673"/>
      <c r="H268" s="1673"/>
      <c r="I268" s="1673"/>
      <c r="J268" s="1673"/>
      <c r="K268" s="1678">
        <f t="shared" si="22"/>
        <v>20159</v>
      </c>
      <c r="L268" s="1573">
        <v>20478</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103502</v>
      </c>
      <c r="E270" s="1673"/>
      <c r="F270" s="1673"/>
      <c r="G270" s="1673"/>
      <c r="H270" s="1673"/>
      <c r="I270" s="1673"/>
      <c r="J270" s="1673"/>
      <c r="K270" s="1674">
        <f>SUM(K263:K269)</f>
        <v>103502</v>
      </c>
      <c r="L270" s="1674">
        <f>SUM(L263:L269)</f>
        <v>102384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157119</v>
      </c>
      <c r="E279" s="1673"/>
      <c r="F279" s="1673"/>
      <c r="G279" s="1673"/>
      <c r="H279" s="1673"/>
      <c r="I279" s="1673"/>
      <c r="J279" s="1673"/>
      <c r="K279" s="1681">
        <f>SUM(K238,K243,K257,K261,K270,K277,K278)</f>
        <v>157119</v>
      </c>
      <c r="L279" s="1681">
        <f>SUM(L238,L243,L257,L261,L270,L277,L278)</f>
        <v>133668</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258839</v>
      </c>
      <c r="E295" s="1673"/>
      <c r="F295" s="1673"/>
      <c r="G295" s="1673"/>
      <c r="H295" s="1674">
        <f>H293</f>
        <v>0</v>
      </c>
      <c r="I295" s="1673"/>
      <c r="J295" s="1673"/>
      <c r="K295" s="1674">
        <f>SUM(K229,K279,K280,K285,K293,K294)</f>
        <v>258839</v>
      </c>
      <c r="L295" s="1674">
        <f>SUM(L229,L279,L280,L285,L293,L294)</f>
        <v>234273</v>
      </c>
    </row>
    <row r="296" spans="1:14" ht="13.5" thickTop="1" x14ac:dyDescent="0.2">
      <c r="A296" s="2287" t="s">
        <v>989</v>
      </c>
      <c r="B296" s="2288"/>
      <c r="C296" s="1673"/>
      <c r="D296" s="1675"/>
      <c r="E296" s="1673"/>
      <c r="F296" s="1673"/>
      <c r="G296" s="1673"/>
      <c r="H296" s="1707"/>
      <c r="I296" s="1673"/>
      <c r="J296" s="1673"/>
      <c r="K296" s="1689">
        <f>'Revenues 9-14'!G268-'Expenditures 15-22'!K295</f>
        <v>91534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243191</v>
      </c>
      <c r="D325" s="1574"/>
      <c r="E325" s="1574">
        <v>197605</v>
      </c>
      <c r="F325" s="1574">
        <v>22386</v>
      </c>
      <c r="G325" s="1574"/>
      <c r="H325" s="1574"/>
      <c r="I325" s="1574"/>
      <c r="J325" s="1574"/>
      <c r="K325" s="1672">
        <f t="shared" si="24"/>
        <v>463182</v>
      </c>
      <c r="L325" s="1574">
        <v>548172</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243191</v>
      </c>
      <c r="D330" s="1674">
        <f t="shared" ref="D330:J330" si="25">SUM(D319:D329)</f>
        <v>0</v>
      </c>
      <c r="E330" s="1674">
        <f t="shared" si="25"/>
        <v>197605</v>
      </c>
      <c r="F330" s="1674">
        <f t="shared" si="25"/>
        <v>22386</v>
      </c>
      <c r="G330" s="1674">
        <f t="shared" si="25"/>
        <v>0</v>
      </c>
      <c r="H330" s="1674">
        <f t="shared" si="25"/>
        <v>0</v>
      </c>
      <c r="I330" s="1674">
        <f t="shared" si="25"/>
        <v>0</v>
      </c>
      <c r="J330" s="1674">
        <f t="shared" si="25"/>
        <v>0</v>
      </c>
      <c r="K330" s="1674">
        <f>SUM(K319:K329)</f>
        <v>463182</v>
      </c>
      <c r="L330" s="1674">
        <f>SUM(L319:L329)</f>
        <v>548172</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243191</v>
      </c>
      <c r="D342" s="1674">
        <f>SUM(D330)</f>
        <v>0</v>
      </c>
      <c r="E342" s="1674">
        <f>SUM(E330)</f>
        <v>197605</v>
      </c>
      <c r="F342" s="1674">
        <f>SUM(F330)</f>
        <v>22386</v>
      </c>
      <c r="G342" s="1674">
        <f>SUM(G330)</f>
        <v>0</v>
      </c>
      <c r="H342" s="1674">
        <f>SUM(H330,H334,H340)</f>
        <v>0</v>
      </c>
      <c r="I342" s="1674">
        <f>SUM(I330)</f>
        <v>0</v>
      </c>
      <c r="J342" s="1674">
        <f>SUM(J330)</f>
        <v>0</v>
      </c>
      <c r="K342" s="1674">
        <f>SUM(K330,K334,K340)</f>
        <v>463182</v>
      </c>
      <c r="L342" s="1681">
        <f>SUM(L330,L334,L340,L341)</f>
        <v>548172</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75382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498685</v>
      </c>
      <c r="F348" s="1573"/>
      <c r="G348" s="1573"/>
      <c r="H348" s="1573"/>
      <c r="I348" s="1574"/>
      <c r="J348" s="1574"/>
      <c r="K348" s="1672">
        <f>SUM(C348:J348)</f>
        <v>498685</v>
      </c>
      <c r="L348" s="1573">
        <v>45627</v>
      </c>
    </row>
    <row r="349" spans="1:14" x14ac:dyDescent="0.2">
      <c r="A349" s="1274" t="s">
        <v>195</v>
      </c>
      <c r="B349" s="503">
        <v>2540</v>
      </c>
      <c r="C349" s="1573"/>
      <c r="D349" s="1573"/>
      <c r="E349" s="1573">
        <v>8382</v>
      </c>
      <c r="F349" s="1573"/>
      <c r="G349" s="1573"/>
      <c r="H349" s="1573"/>
      <c r="I349" s="1574"/>
      <c r="J349" s="1574"/>
      <c r="K349" s="1672">
        <f>SUM(C349:J349)</f>
        <v>8382</v>
      </c>
      <c r="L349" s="1573"/>
    </row>
    <row r="350" spans="1:14" ht="12.75" customHeight="1" thickBot="1" x14ac:dyDescent="0.25">
      <c r="A350" s="1380" t="s">
        <v>714</v>
      </c>
      <c r="B350" s="1381" t="s">
        <v>35</v>
      </c>
      <c r="C350" s="1674">
        <f>SUM(C348:C349)</f>
        <v>0</v>
      </c>
      <c r="D350" s="1674">
        <f t="shared" ref="D350:L350" si="26">SUM(D348:D349)</f>
        <v>0</v>
      </c>
      <c r="E350" s="1674">
        <f t="shared" si="26"/>
        <v>507067</v>
      </c>
      <c r="F350" s="1674">
        <f t="shared" si="26"/>
        <v>0</v>
      </c>
      <c r="G350" s="1674">
        <f t="shared" si="26"/>
        <v>0</v>
      </c>
      <c r="H350" s="1674">
        <f t="shared" si="26"/>
        <v>0</v>
      </c>
      <c r="I350" s="1674">
        <f t="shared" si="26"/>
        <v>0</v>
      </c>
      <c r="J350" s="1674">
        <f t="shared" si="26"/>
        <v>0</v>
      </c>
      <c r="K350" s="1674">
        <f t="shared" si="26"/>
        <v>507067</v>
      </c>
      <c r="L350" s="1674">
        <f t="shared" si="26"/>
        <v>45627</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507067</v>
      </c>
      <c r="F352" s="1674">
        <f t="shared" si="27"/>
        <v>0</v>
      </c>
      <c r="G352" s="1674">
        <f t="shared" si="27"/>
        <v>0</v>
      </c>
      <c r="H352" s="1674">
        <f t="shared" si="27"/>
        <v>0</v>
      </c>
      <c r="I352" s="1674">
        <f t="shared" si="27"/>
        <v>0</v>
      </c>
      <c r="J352" s="1674">
        <f t="shared" si="27"/>
        <v>0</v>
      </c>
      <c r="K352" s="1674">
        <f t="shared" si="27"/>
        <v>507067</v>
      </c>
      <c r="L352" s="1674">
        <f t="shared" si="27"/>
        <v>45627</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507067</v>
      </c>
      <c r="F367" s="1674">
        <f t="shared" si="28"/>
        <v>0</v>
      </c>
      <c r="G367" s="1674">
        <f t="shared" si="28"/>
        <v>0</v>
      </c>
      <c r="H367" s="1674">
        <f t="shared" si="28"/>
        <v>0</v>
      </c>
      <c r="I367" s="1674">
        <f t="shared" si="28"/>
        <v>0</v>
      </c>
      <c r="J367" s="1674">
        <f t="shared" si="28"/>
        <v>0</v>
      </c>
      <c r="K367" s="1674">
        <f t="shared" si="28"/>
        <v>507067</v>
      </c>
      <c r="L367" s="1674">
        <f t="shared" si="28"/>
        <v>45627</v>
      </c>
    </row>
    <row r="368" spans="1:14" ht="13.5" thickTop="1" x14ac:dyDescent="0.2">
      <c r="A368" s="2287" t="s">
        <v>989</v>
      </c>
      <c r="B368" s="2288"/>
      <c r="C368" s="1694"/>
      <c r="D368" s="1694"/>
      <c r="E368" s="1677"/>
      <c r="F368" s="1677"/>
      <c r="G368" s="1677"/>
      <c r="H368" s="1677"/>
      <c r="I368" s="1677"/>
      <c r="J368" s="1676"/>
      <c r="K368" s="1672">
        <f>'Revenues 9-14'!K268-'Expenditures 15-22'!K367</f>
        <v>-110933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purl.org/dc/terms/"/>
    <ds:schemaRef ds:uri="http://www.w3.org/XML/1998/namespace"/>
    <ds:schemaRef ds:uri="http://schemas.microsoft.com/sharepoint/v3"/>
    <ds:schemaRef ds:uri="6ce3111e-7420-4802-b50a-75d4e9a0b980"/>
    <ds:schemaRef ds:uri="http://purl.org/dc/elements/1.1/"/>
    <ds:schemaRef ds:uri="http://purl.org/dc/dcmitype/"/>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2020-11-12T16:02:30Z</cp:lastPrinted>
  <dcterms:created xsi:type="dcterms:W3CDTF">2003-10-29T19:06:34Z</dcterms:created>
  <dcterms:modified xsi:type="dcterms:W3CDTF">2020-11-17T22:52:01Z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