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85BBBD5-10DB-43C9-B2B2-4C596D5BD07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Sheet1" sheetId="185"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4" i="127"/>
  <c r="B7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C352" i="29" l="1"/>
  <c r="J210" i="29"/>
  <c r="B7072" i="106" s="1"/>
  <c r="D7072" i="106" s="1"/>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L16" i="11"/>
  <c r="B2061" i="106" s="1"/>
  <c r="D2061" i="106" s="1"/>
  <c r="N23" i="3"/>
  <c r="B284" i="106" s="1"/>
  <c r="D284" i="106" s="1"/>
  <c r="D44" i="36"/>
  <c r="F41" i="108"/>
  <c r="G43" i="108" s="1"/>
  <c r="B1381" i="106"/>
  <c r="D1381" i="106" s="1"/>
  <c r="K342" i="29"/>
  <c r="F13" i="34" s="1"/>
  <c r="B7220" i="106"/>
  <c r="D7220" i="106" s="1"/>
  <c r="F75" i="34"/>
  <c r="B7886" i="106" s="1"/>
  <c r="D7886" i="106" s="1"/>
  <c r="L114" i="29"/>
  <c r="E367" i="29"/>
  <c r="B3636" i="106" s="1"/>
  <c r="D3636" i="106" s="1"/>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B7224" i="106"/>
  <c r="D7224"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J19" i="4"/>
  <c r="B6229" i="106" s="1"/>
  <c r="D6229" i="106" s="1"/>
  <c r="J10" i="4"/>
  <c r="B6225" i="106" s="1"/>
  <c r="D6225" i="106" s="1"/>
  <c r="K17" i="4"/>
  <c r="B3575" i="106" s="1"/>
  <c r="D357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<sst xmlns="http://schemas.openxmlformats.org/spreadsheetml/2006/main" count="5149" uniqueCount="2085">
  <si>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</si>
  <si>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</si>
  <si>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</si>
  <si>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</si>
  <si>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</si>
  <si>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</si>
  <si>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</si>
  <si>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</si>
  <si>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</si>
  <si>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</si>
  <si>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</si>
  <si>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</si>
  <si>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</si>
  <si>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</si>
  <si>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</si>
  <si>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</si>
  <si>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</si>
  <si>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</si>
  <si>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</si>
  <si>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</si>
  <si>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</si>
  <si>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</si>
  <si>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</si>
  <si>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</si>
  <si>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</si>
  <si>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</si>
  <si>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</si>
  <si>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</si>
  <si>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</si>
  <si>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</si>
  <si>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</si>
  <si>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</si>
  <si>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</si>
  <si>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</si>
  <si>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</si>
  <si>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</si>
  <si>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</si>
  <si>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</si>
  <si>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</si>
  <si>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</si>
  <si>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</si>
  <si>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</si>
  <si>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</si>
  <si>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</si>
  <si>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</si>
  <si>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</si>
  <si>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</si>
  <si>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</si>
  <si>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</si>
  <si>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</si>
  <si>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</si>
  <si>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</si>
  <si>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</si>
  <si>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</si>
  <si>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</si>
  <si>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</si>
  <si>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</si>
  <si>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</si>
  <si>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</si>
  <si>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</si>
  <si>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</si>
  <si>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</si>
  <si>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</si>
  <si>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</si>
  <si>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</si>
  <si>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</si>
  <si>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</si>
  <si>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</si>
  <si>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</si>
  <si>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</si>
  <si>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</si>
  <si>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</si>
  <si>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</si>
  <si>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</si>
  <si>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</si>
  <si>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</si>
  <si>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</si>
  <si>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</si>
  <si>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</si>
  <si>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</si>
  <si>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</si>
  <si>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</si>
  <si>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</si>
  <si>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</si>
  <si>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</si>
  <si>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</si>
  <si>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</si>
  <si>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</si>
  <si>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</si>
  <si>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</si>
  <si>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</si>
  <si>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</si>
  <si>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</si>
  <si>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</si>
  <si>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</si>
  <si>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</si>
  <si>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</si>
  <si>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</si>
  <si>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</si>
  <si>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</si>
  <si>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</si>
  <si>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</si>
  <si>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</si>
  <si>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</si>
  <si>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</si>
  <si>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</si>
  <si>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</si>
  <si>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</si>
  <si>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</si>
  <si>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</si>
  <si>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</si>
  <si>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</si>
  <si>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</si>
  <si>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</si>
  <si>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</si>
  <si>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</si>
  <si>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</si>
  <si>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</si>
  <si>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</si>
  <si>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</si>
  <si>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</si>
  <si>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</si>
  <si>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</si>
  <si>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</si>
  <si>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</si>
  <si>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</si>
  <si>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</si>
  <si>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</si>
  <si>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</si>
  <si>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</si>
  <si>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</si>
  <si>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</si>
  <si>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</si>
  <si>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</si>
  <si>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</si>
  <si>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</si>
  <si>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</si>
  <si>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</si>
  <si>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</si>
  <si>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</si>
  <si>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</si>
  <si>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</si>
  <si>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</si>
  <si>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</si>
  <si>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</si>
  <si>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</si>
  <si>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</si>
  <si>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</si>
  <si>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</si>
  <si>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</si>
  <si>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</si>
  <si>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</si>
  <si>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</si>
  <si>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</si>
  <si>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</si>
  <si>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</si>
  <si>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</si>
  <si>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</si>
  <si>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</si>
  <si>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</si>
  <si>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</si>
  <si>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</si>
  <si>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</si>
  <si>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</si>
  <si>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</si>
  <si>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</si>
  <si>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</si>
  <si>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</si>
  <si>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</si>
  <si>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</si>
  <si>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</si>
  <si>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</si>
  <si>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</si>
  <si>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</si>
  <si>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</si>
  <si>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</si>
  <si>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</si>
  <si>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</si>
  <si>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</si>
  <si>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</si>
  <si>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</si>
  <si>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</si>
  <si>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</si>
  <si>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</si>
  <si>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</si>
  <si>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</si>
  <si>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</si>
  <si>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</si>
  <si>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</si>
  <si>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</si>
  <si>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</si>
  <si>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</si>
  <si>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</si>
  <si>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</si>
  <si>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</si>
  <si>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</si>
  <si>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</si>
  <si>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</si>
  <si>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</si>
  <si>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</si>
  <si>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</si>
  <si>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</si>
  <si>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</si>
  <si>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</si>
  <si>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</si>
  <si>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</si>
  <si>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</si>
  <si>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</si>
  <si>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</si>
  <si>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</si>
  <si>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</si>
  <si>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</si>
  <si>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</si>
  <si>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</si>
  <si>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</si>
  <si>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</si>
  <si>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</si>
  <si>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</si>
  <si>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</si>
  <si>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</si>
  <si>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</si>
  <si>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</si>
  <si>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</si>
  <si>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</si>
  <si>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</si>
  <si>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</si>
  <si>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</si>
  <si>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</si>
  <si>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</si>
  <si>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</si>
  <si>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</si>
  <si>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</si>
  <si>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</si>
  <si>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</si>
  <si>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</si>
  <si>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</si>
  <si>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</si>
  <si>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</si>
  <si>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</si>
  <si>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</si>
  <si>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</si>
  <si>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</si>
  <si>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</si>
  <si>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</si>
  <si>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</si>
  <si>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</si>
  <si>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</si>
  <si>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</si>
  <si>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</si>
  <si>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</si>
  <si>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</si>
  <si>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</si>
  <si>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</si>
  <si>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</si>
  <si>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</si>
  <si>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</si>
  <si>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</si>
  <si>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</si>
  <si>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</si>
  <si>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</si>
  <si>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</si>
  <si>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</si>
  <si>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</si>
  <si>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</si>
  <si>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</si>
  <si>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</si>
  <si>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</si>
  <si>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</si>
  <si>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</si>
  <si>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</si>
  <si>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</si>
  <si>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</si>
  <si>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</si>
  <si>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</si>
  <si>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</si>
  <si>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</si>
  <si>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</si>
  <si>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</si>
  <si>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</si>
  <si>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</si>
  <si>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</si>
  <si>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</si>
  <si>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</si>
  <si>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</si>
  <si>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</si>
  <si>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</si>
  <si>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</si>
  <si>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</si>
  <si>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</si>
  <si>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</si>
  <si>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</si>
  <si>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</si>
  <si>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</si>
  <si>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</si>
  <si>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</si>
  <si>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</si>
  <si>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</si>
  <si>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</si>
  <si>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</si>
  <si>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</si>
  <si>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</si>
  <si>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</si>
  <si>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</si>
  <si>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</si>
  <si>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</si>
  <si>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</si>
  <si>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</si>
  <si>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</si>
  <si>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</si>
  <si>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</si>
  <si>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</si>
  <si>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</si>
  <si>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</si>
  <si>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</si>
  <si>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</si>
  <si>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</si>
  <si>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</si>
  <si>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</si>
  <si>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</si>
  <si>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</si>
  <si>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</si>
  <si>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</si>
  <si>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</si>
  <si>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</si>
  <si>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</si>
  <si>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</si>
  <si>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</si>
  <si>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</si>
  <si>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</si>
  <si>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</si>
  <si>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</si>
  <si>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</si>
  <si>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</si>
  <si>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</si>
  <si>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</si>
  <si>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</si>
  <si>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</si>
  <si>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</si>
  <si>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</si>
  <si>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</si>
  <si>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</si>
  <si>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</si>
  <si>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</si>
  <si>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</si>
  <si>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</si>
  <si>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</si>
  <si>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</si>
  <si>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</si>
  <si>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</si>
  <si>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</si>
  <si>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</si>
  <si>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</si>
  <si>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</si>
  <si>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</si>
  <si>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</si>
  <si>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</si>
  <si>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</si>
  <si>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</si>
  <si>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</si>
  <si>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</si>
  <si>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</si>
  <si>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</si>
  <si>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</si>
  <si>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</si>
  <si>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</si>
  <si>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</si>
  <si>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</si>
  <si>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</si>
  <si>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</si>
  <si>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</si>
  <si>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</si>
  <si>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</si>
  <si>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</si>
  <si>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</si>
  <si>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</si>
  <si>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</si>
  <si>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</si>
  <si>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</si>
  <si>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</si>
  <si>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</si>
  <si>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</si>
  <si>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</si>
  <si>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</si>
  <si>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</si>
  <si>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</si>
  <si>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</si>
  <si>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</si>
  <si>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</si>
  <si>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</si>
  <si>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</si>
  <si>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</si>
  <si>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</si>
  <si>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</si>
  <si>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</si>
  <si>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</si>
  <si>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</si>
  <si>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</si>
  <si>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</si>
  <si>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</si>
  <si>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</si>
  <si>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</si>
  <si>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</si>
  <si>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</si>
  <si>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</si>
  <si>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</si>
  <si>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</si>
  <si>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</si>
  <si>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</si>
  <si>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</si>
  <si>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</si>
  <si>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</si>
  <si>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</si>
  <si>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</si>
  <si>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</si>
  <si>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</si>
  <si>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</si>
  <si>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</si>
  <si>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</si>
  <si>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</si>
  <si>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</si>
  <si>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</si>
  <si>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</si>
  <si>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</si>
  <si>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</si>
  <si>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</si>
  <si>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</si>
  <si>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</si>
  <si>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</si>
  <si>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</si>
  <si>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</si>
  <si>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</si>
  <si>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</si>
  <si>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</si>
  <si>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</si>
  <si>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</si>
  <si>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</si>
  <si>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</si>
  <si>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</si>
  <si>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</si>
  <si>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</si>
  <si>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</si>
  <si>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</si>
  <si>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</si>
  <si>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</si>
  <si>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</si>
  <si>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</si>
  <si>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</si>
  <si>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</si>
  <si>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</si>
  <si>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</si>
  <si>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</si>
  <si>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</si>
  <si>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</si>
  <si>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</si>
  <si>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</si>
  <si>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</si>
  <si>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</si>
  <si>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</si>
  <si>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</si>
  <si>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</si>
  <si>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</si>
  <si>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</si>
  <si>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</si>
  <si>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</si>
  <si>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</si>
  <si>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</si>
  <si>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</si>
  <si>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</si>
  <si>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</si>
  <si>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</si>
  <si>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</si>
  <si>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</si>
  <si>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</si>
  <si>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</si>
  <si>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</si>
  <si>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</si>
  <si>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</si>
  <si>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</si>
  <si>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</si>
  <si>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</si>
  <si>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</si>
  <si>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</si>
  <si>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</si>
  <si>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</si>
  <si>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</si>
  <si>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</si>
  <si>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</si>
  <si>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</si>
  <si>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</si>
  <si>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</si>
  <si>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</si>
  <si>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</si>
  <si>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</si>
  <si>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</si>
  <si>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</si>
  <si>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</si>
  <si>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</si>
  <si>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</si>
  <si>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</si>
  <si>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</si>
  <si>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</si>
  <si>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</si>
  <si>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</si>
  <si>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</si>
  <si>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</si>
  <si>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</si>
  <si>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</si>
  <si>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</si>
  <si>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</si>
  <si>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</si>
  <si>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</si>
  <si>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</si>
  <si>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</si>
  <si>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</si>
  <si>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</si>
  <si>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</si>
  <si>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</si>
  <si>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</si>
  <si>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</si>
  <si>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</si>
  <si>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</si>
  <si>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</si>
  <si>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</si>
  <si>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</si>
  <si>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</si>
  <si>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</si>
  <si>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</si>
  <si>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</si>
  <si>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</si>
  <si>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</si>
  <si>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</si>
  <si>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</si>
  <si>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</si>
  <si>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</si>
  <si>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</si>
  <si>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</si>
  <si>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</si>
  <si>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</si>
  <si>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</si>
  <si>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</si>
  <si>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</si>
  <si>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</si>
  <si>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</si>
  <si>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</si>
  <si>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</si>
  <si>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</si>
  <si>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</si>
  <si>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</si>
  <si>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</si>
  <si>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</si>
  <si>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</si>
  <si>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</si>
  <si>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</si>
  <si>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</si>
  <si>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</si>
  <si>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</si>
  <si>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</si>
  <si>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</si>
  <si>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</si>
  <si>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</si>
  <si>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</si>
  <si>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</si>
  <si>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</si>
  <si>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</si>
  <si>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</si>
  <si>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</si>
  <si>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</si>
  <si>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</si>
  <si>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</si>
  <si>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</si>
  <si>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</si>
  <si>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</si>
  <si>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</si>
  <si>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</si>
  <si>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</si>
  <si>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</si>
  <si>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</si>
  <si>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</si>
  <si>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</si>
  <si>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</si>
  <si>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</si>
  <si>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</si>
  <si>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</si>
  <si>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</si>
  <si>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</si>
  <si>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</si>
  <si>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</si>
  <si>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</si>
  <si>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</si>
  <si>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</si>
  <si>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</si>
  <si>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</si>
  <si>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</si>
  <si>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</si>
  <si>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</si>
  <si>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</si>
  <si>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</si>
  <si>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</si>
  <si>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</si>
  <si>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</si>
  <si>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</si>
  <si>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</si>
  <si>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</si>
  <si>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</si>
  <si>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</si>
  <si>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</si>
  <si>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</si>
  <si>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</si>
  <si>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</si>
  <si>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</si>
  <si>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</si>
  <si>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</si>
  <si>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</si>
  <si>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</si>
  <si>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</si>
  <si>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</si>
  <si>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</si>
  <si>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</si>
  <si>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</si>
  <si>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</si>
  <si>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</si>
  <si>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</si>
  <si>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</si>
  <si>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</si>
  <si>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</si>
  <si>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</si>
  <si>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</si>
  <si>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</si>
  <si>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</si>
  <si>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</si>
  <si>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</si>
  <si>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</si>
  <si>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</si>
  <si>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</si>
  <si>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</si>
  <si>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</si>
  <si>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</si>
  <si>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</si>
  <si>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</si>
  <si>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</si>
  <si>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</si>
  <si>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</si>
  <si>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</si>
  <si>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</si>
  <si>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</si>
  <si>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</si>
  <si>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</si>
  <si>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</si>
  <si>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</si>
  <si>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</si>
  <si>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</si>
  <si>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</si>
  <si>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</si>
  <si>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</si>
  <si>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</si>
  <si>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</si>
  <si>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</si>
  <si>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</si>
  <si>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</si>
  <si>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</si>
  <si>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</si>
  <si>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</si>
  <si>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</si>
  <si>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</si>
  <si>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</si>
  <si>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</si>
  <si>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</si>
  <si>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</si>
  <si>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</si>
  <si>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</si>
  <si>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</si>
  <si>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</si>
  <si>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</si>
  <si>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</si>
  <si>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</si>
  <si>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</si>
  <si>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</si>
  <si>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</si>
  <si>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</si>
  <si>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</si>
  <si>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</si>
  <si>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</si>
  <si>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</si>
  <si>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</si>
  <si>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</si>
  <si>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</si>
  <si>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</si>
  <si>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</si>
  <si>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</si>
  <si>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</si>
  <si>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</si>
  <si>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</si>
  <si>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</si>
  <si>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</si>
  <si>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</si>
  <si>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</si>
  <si>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</si>
  <si>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</si>
  <si>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</si>
  <si>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</si>
  <si>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</si>
  <si>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</si>
  <si>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</si>
  <si>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</si>
  <si>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</si>
  <si>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</si>
  <si>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</si>
  <si>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</si>
  <si>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</si>
  <si>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</si>
  <si>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</si>
  <si>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</si>
  <si>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</si>
  <si>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</si>
  <si>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</si>
  <si>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</si>
  <si>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</si>
  <si>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</si>
  <si>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</si>
  <si>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</si>
  <si>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</si>
  <si>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</si>
  <si>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</si>
  <si>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</si>
  <si>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</si>
  <si>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</si>
  <si>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</si>
  <si>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</si>
  <si>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</si>
  <si>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</si>
  <si>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</si>
  <si>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</si>
  <si>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</si>
  <si>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</si>
  <si>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</si>
  <si>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</si>
  <si>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</si>
  <si>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</si>
  <si>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</si>
  <si>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</si>
  <si>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</si>
  <si>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</si>
  <si>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</si>
  <si>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</si>
  <si>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</si>
  <si>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</si>
  <si>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</si>
  <si>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</si>
  <si>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</si>
  <si>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</si>
  <si>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</si>
  <si>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</si>
  <si>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</si>
  <si>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</si>
  <si>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</si>
  <si>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</si>
  <si>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</si>
  <si>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</si>
  <si>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</si>
  <si>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</si>
  <si>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</si>
  <si>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</si>
  <si>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</si>
  <si>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</si>
  <si>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</si>
  <si>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</si>
  <si>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</si>
  <si>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</si>
  <si>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</si>
  <si>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</si>
  <si>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</si>
  <si>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</si>
  <si>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</si>
  <si>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</si>
  <si>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</si>
  <si>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</si>
  <si>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</si>
  <si>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</si>
  <si>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</si>
  <si>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</si>
  <si>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</si>
  <si>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</si>
  <si>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</si>
  <si>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</si>
  <si>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</si>
  <si>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</si>
  <si>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</si>
  <si>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</si>
  <si>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</si>
  <si>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</si>
  <si>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</si>
  <si>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</si>
  <si>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</si>
  <si>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</si>
  <si>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</si>
  <si>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</si>
  <si>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</si>
  <si>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</si>
  <si>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</si>
  <si>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</si>
  <si>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</si>
  <si>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</si>
  <si>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</si>
  <si>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</si>
  <si>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</si>
  <si>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</si>
  <si>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</si>
  <si>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</si>
  <si>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</si>
  <si>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</si>
  <si>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</si>
  <si>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</si>
  <si>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</si>
  <si>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</si>
  <si>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</si>
  <si>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</si>
  <si>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</si>
  <si>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</si>
  <si>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</si>
  <si>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</si>
  <si>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</si>
  <si>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</si>
  <si>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</si>
  <si>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</si>
  <si>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</si>
  <si>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</si>
  <si>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</si>
  <si>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</si>
  <si>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</si>
  <si>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</si>
  <si>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</si>
  <si>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</si>
  <si>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</si>
  <si>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</si>
  <si>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</si>
  <si>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</si>
  <si>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</si>
  <si>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</si>
  <si>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</si>
  <si>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</si>
  <si>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</si>
  <si>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</si>
  <si>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</si>
  <si>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</si>
  <si>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</si>
  <si>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</si>
  <si>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</si>
  <si>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</si>
  <si>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</si>
  <si>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</si>
  <si>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</si>
  <si>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</si>
  <si>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</si>
  <si>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</si>
  <si>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</si>
  <si>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</si>
  <si>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</si>
  <si>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</si>
  <si>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</si>
  <si>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</si>
  <si>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</si>
  <si>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</si>
  <si>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</si>
  <si>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</si>
  <si>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</si>
  <si>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</si>
  <si>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</si>
  <si>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</si>
  <si>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</si>
  <si>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</si>
  <si>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</si>
  <si>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</si>
  <si>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</si>
  <si>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</si>
  <si>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</si>
  <si>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</si>
  <si>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</si>
  <si>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</si>
  <si>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</si>
  <si>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</si>
  <si>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</si>
  <si>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</si>
  <si>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</si>
  <si>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</si>
  <si>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</si>
  <si>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</si>
  <si>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</si>
  <si>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</si>
  <si>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</si>
  <si>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</si>
  <si>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</si>
  <si>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</si>
  <si>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</si>
  <si>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</si>
  <si>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</si>
  <si>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</si>
  <si>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</si>
  <si>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</si>
  <si>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</si>
  <si>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</si>
  <si>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</si>
  <si>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</si>
  <si>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</si>
  <si>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</si>
  <si>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</si>
  <si>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</si>
  <si>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</si>
  <si>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</si>
  <si>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</si>
  <si>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</si>
  <si>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</si>
  <si>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</si>
  <si>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</si>
  <si>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</si>
  <si>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</si>
  <si>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</si>
  <si>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</si>
  <si>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</si>
  <si>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</si>
  <si>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</si>
  <si>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</si>
  <si>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</si>
  <si>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</si>
  <si>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</si>
  <si>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</si>
  <si>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</si>
  <si>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</si>
  <si>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</si>
  <si>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</si>
  <si>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</si>
  <si>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</si>
  <si>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</si>
  <si>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</si>
  <si>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</si>
  <si>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</si>
  <si>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</si>
  <si>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</si>
  <si>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</si>
  <si>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</si>
  <si>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</si>
  <si>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</si>
  <si>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</si>
  <si>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</si>
  <si>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</si>
  <si>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</si>
  <si>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</si>
  <si>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</si>
  <si>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</si>
  <si>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</si>
  <si>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</si>
  <si>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</si>
  <si>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</si>
  <si>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</si>
  <si>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</si>
  <si>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</si>
  <si>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</si>
  <si>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</si>
  <si>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</si>
  <si>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</si>
  <si>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</si>
  <si>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</si>
  <si>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</si>
  <si>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</si>
  <si>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</si>
  <si>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</si>
  <si>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</si>
  <si>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</si>
  <si>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</si>
  <si>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</si>
  <si>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</si>
  <si>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</si>
  <si>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</si>
  <si>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</si>
  <si>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</si>
  <si>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</si>
  <si>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</si>
  <si>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</si>
  <si>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</si>
  <si>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</si>
  <si>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</si>
  <si>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</si>
  <si>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</si>
  <si>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</si>
  <si>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</si>
  <si>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</si>
  <si>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</si>
  <si>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</si>
  <si>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</si>
  <si>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</si>
  <si>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</si>
  <si>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</si>
  <si>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</si>
  <si>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</si>
  <si>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</si>
  <si>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</si>
  <si>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</si>
  <si>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</si>
  <si>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</si>
  <si>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</si>
  <si>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</si>
  <si>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</si>
  <si>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</si>
  <si>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</si>
  <si>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</si>
  <si>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</si>
  <si>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</si>
  <si>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</si>
  <si>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</si>
  <si>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</si>
  <si>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</si>
  <si>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</si>
  <si>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</si>
  <si>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</si>
  <si>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</si>
  <si>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</si>
  <si>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</si>
  <si>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</si>
  <si>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</si>
  <si>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</si>
  <si>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</si>
  <si>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</si>
  <si>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</si>
  <si>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</si>
  <si>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</si>
  <si>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</si>
  <si>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</si>
  <si>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</si>
  <si>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</si>
  <si>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</si>
  <si>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</si>
  <si>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</si>
  <si>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</si>
  <si>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</si>
  <si>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</si>
  <si>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</si>
  <si>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</si>
  <si>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</si>
  <si>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</si>
  <si>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</si>
  <si>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</si>
  <si>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</si>
  <si>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</si>
  <si>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</si>
  <si>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</si>
  <si>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</si>
  <si>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</si>
  <si>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</si>
  <si>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</si>
  <si>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</si>
  <si>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</si>
  <si>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</si>
  <si>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</si>
  <si>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</si>
  <si>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</si>
  <si>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</si>
  <si>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</si>
  <si>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</si>
  <si>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</si>
  <si>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</si>
  <si>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</si>
  <si>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</si>
  <si>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</si>
  <si>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</si>
  <si>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</si>
  <si>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</si>
  <si>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</si>
  <si>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</si>
  <si>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</si>
  <si>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</si>
  <si>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</si>
  <si>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</si>
  <si>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</si>
  <si>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</si>
  <si>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</si>
  <si>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</si>
  <si>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</si>
  <si>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</si>
  <si>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</si>
  <si>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</si>
  <si>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</si>
  <si>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</si>
  <si>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</si>
  <si>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</si>
  <si>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</si>
  <si>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</si>
  <si>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</si>
  <si>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</si>
  <si>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</si>
  <si>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</si>
  <si>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</si>
  <si>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</si>
  <si>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</si>
  <si>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</si>
  <si>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</si>
  <si>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</si>
  <si>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</si>
  <si>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</si>
  <si>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</si>
  <si>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</si>
  <si>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</si>
  <si>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</si>
  <si>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</si>
  <si>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</si>
  <si>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</si>
  <si>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</si>
  <si>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</si>
  <si>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</si>
  <si>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</si>
  <si>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</si>
  <si>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</si>
  <si>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</si>
  <si>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</si>
  <si>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</si>
  <si>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</si>
  <si>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</si>
  <si>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</si>
  <si>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</si>
  <si>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</si>
  <si>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</si>
  <si>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</si>
  <si>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</si>
  <si>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</si>
  <si>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</si>
  <si>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</si>
  <si>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</si>
  <si>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</si>
  <si>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</si>
  <si>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</si>
  <si>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</si>
  <si>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</si>
  <si>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</si>
  <si>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</si>
  <si>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</si>
  <si>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</si>
  <si>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</si>
  <si>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</si>
  <si>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</si>
  <si>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</si>
  <si>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</si>
  <si>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</si>
  <si>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</si>
  <si>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</si>
  <si>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</si>
  <si>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</si>
  <si>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</si>
  <si>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</si>
  <si>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</si>
  <si>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</si>
  <si>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</si>
  <si>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</si>
  <si>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</si>
  <si>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</si>
  <si>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</si>
  <si>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</si>
  <si>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</si>
  <si>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</si>
  <si>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</si>
  <si>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</si>
  <si>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</si>
  <si>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</si>
  <si>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</si>
  <si>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</si>
  <si>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</si>
  <si>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</si>
  <si>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</si>
  <si>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</si>
  <si>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</si>
  <si>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</si>
  <si>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</si>
  <si>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</si>
  <si>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</si>
  <si>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</si>
  <si>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</si>
  <si>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</si>
  <si>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</si>
  <si>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</si>
  <si>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</si>
  <si>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</si>
  <si>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</si>
  <si>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</si>
  <si>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</si>
  <si>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</si>
  <si>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</si>
  <si>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</si>
  <si>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</si>
  <si>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</si>
  <si>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</si>
  <si>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</si>
  <si>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</si>
  <si>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</si>
  <si>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</si>
  <si>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</si>
  <si>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</si>
  <si>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</si>
  <si>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</si>
  <si>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</si>
  <si>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</si>
  <si>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</si>
  <si>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</si>
  <si>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</si>
  <si>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</si>
  <si>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</si>
  <si>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</si>
  <si>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</si>
  <si>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</si>
  <si>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</si>
  <si>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</si>
  <si>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</si>
  <si>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</si>
  <si>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</si>
  <si>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</si>
  <si>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</si>
  <si>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</si>
  <si>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</si>
  <si>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</si>
  <si>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</si>
  <si>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</si>
  <si>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</si>
  <si>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</si>
  <si>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</si>
  <si>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</si>
  <si>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</si>
  <si>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</si>
  <si>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</si>
  <si>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</si>
  <si>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</si>
  <si>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</si>
  <si>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</si>
  <si>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</si>
  <si>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</si>
  <si>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</si>
  <si>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</si>
  <si>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</si>
  <si>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</si>
  <si>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</si>
  <si>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</si>
  <si>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</si>
  <si>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</si>
  <si>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</si>
  <si>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</si>
  <si>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</si>
  <si>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</si>
  <si>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</si>
  <si>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</si>
  <si>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</si>
  <si>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</si>
  <si>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</si>
  <si>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</si>
  <si>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</si>
  <si>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</si>
  <si>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</si>
  <si>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</si>
  <si>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</si>
  <si>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</si>
  <si>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</si>
  <si>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</si>
  <si>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</si>
  <si>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</si>
  <si>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</si>
  <si>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</si>
  <si>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</si>
  <si>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</si>
  <si>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</si>
  <si>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</si>
  <si>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</si>
  <si>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</si>
  <si>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</si>
  <si>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</si>
  <si>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</si>
  <si>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</si>
  <si>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</si>
  <si>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</si>
  <si>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</si>
  <si>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</si>
  <si>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</si>
  <si>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</si>
  <si>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</si>
  <si>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</si>
  <si>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</si>
  <si>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</si>
  <si>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</si>
  <si>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</si>
  <si>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</si>
  <si>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</si>
  <si>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</si>
  <si>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</si>
  <si>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</si>
  <si>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</si>
  <si>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</si>
  <si>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</si>
  <si>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</si>
  <si>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</si>
  <si>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</si>
  <si>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</si>
  <si>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</si>
  <si>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</si>
  <si>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</si>
  <si>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</si>
  <si>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</si>
  <si>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</si>
  <si>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</si>
  <si>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</si>
  <si>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</si>
  <si>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</si>
  <si>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</si>
  <si>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</si>
  <si>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</si>
  <si>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</si>
  <si>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</si>
  <si>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</si>
  <si>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</si>
  <si>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</si>
  <si>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</si>
  <si>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</si>
  <si>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</si>
  <si>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</si>
  <si>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</si>
  <si>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</si>
  <si>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</si>
  <si>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</si>
  <si>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</si>
  <si>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</si>
  <si>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</si>
  <si>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</si>
  <si>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</si>
  <si>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</si>
  <si>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</si>
  <si>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</si>
  <si>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</si>
  <si>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</si>
  <si>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</si>
  <si>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</si>
  <si>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</si>
  <si>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</si>
  <si>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</si>
  <si>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</si>
  <si>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</si>
  <si>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</si>
  <si>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</si>
  <si>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</si>
  <si>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</si>
  <si>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</si>
  <si>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</si>
  <si>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</si>
  <si>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</si>
  <si>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</si>
  <si>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</si>
  <si>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</si>
  <si>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</si>
  <si>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</si>
  <si>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</si>
  <si>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</si>
  <si>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</si>
  <si>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</si>
  <si>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</si>
  <si>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</si>
  <si>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</si>
  <si>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</si>
  <si>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</si>
  <si>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</si>
  <si>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</si>
  <si>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</si>
  <si>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</si>
  <si>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</si>
  <si>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</si>
  <si>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</si>
  <si>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</si>
  <si>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</si>
  <si>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</si>
  <si>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</si>
  <si>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</si>
  <si>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</si>
  <si>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</si>
  <si>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</si>
  <si>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</si>
  <si>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</si>
  <si>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</si>
  <si>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</si>
  <si>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</si>
  <si>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</si>
  <si>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</si>
  <si>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</si>
  <si>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</si>
  <si>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</si>
  <si>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</si>
  <si>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</si>
  <si>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</si>
  <si>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</si>
  <si>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</si>
  <si>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</si>
  <si>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</si>
  <si>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</si>
  <si>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</si>
  <si>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</si>
  <si>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</si>
  <si>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</si>
  <si>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</si>
  <si>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</si>
  <si>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</si>
  <si>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</si>
  <si>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</si>
  <si>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</si>
  <si>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</si>
  <si>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</si>
  <si>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</si>
  <si>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</si>
  <si>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</si>
  <si>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</si>
  <si>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</si>
  <si>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</si>
  <si>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</si>
  <si>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</si>
  <si>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</si>
  <si>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</si>
  <si>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</si>
  <si>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</si>
  <si>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</si>
  <si>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</si>
  <si>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</si>
  <si>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</si>
  <si>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</si>
  <si>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</si>
  <si>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</si>
  <si>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</si>
  <si>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</si>
  <si>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</si>
  <si>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</si>
  <si>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</si>
  <si>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</si>
  <si>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</si>
  <si>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</si>
  <si>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</si>
  <si>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</si>
  <si>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</si>
  <si>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</si>
  <si>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</si>
  <si>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</si>
  <si>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</si>
  <si>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</si>
  <si>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</si>
  <si>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</si>
  <si>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</si>
  <si>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</si>
  <si>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</si>
  <si>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</si>
  <si>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</si>
  <si>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</si>
  <si>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</si>
  <si>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</si>
  <si>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</si>
  <si>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</si>
  <si>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</si>
  <si>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</si>
  <si>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</si>
  <si>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</si>
  <si>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</si>
  <si>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</si>
  <si>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</si>
  <si>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</si>
  <si>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</si>
  <si>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</si>
  <si>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</si>
  <si>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</si>
  <si>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</si>
  <si>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</si>
  <si>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</si>
  <si>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</si>
  <si>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</si>
  <si>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</si>
  <si>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</si>
  <si>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</si>
  <si>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</si>
  <si>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</si>
  <si>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</si>
  <si>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</si>
  <si>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</si>
  <si>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</si>
  <si>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</si>
  <si>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</si>
  <si>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</si>
  <si>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</si>
  <si>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</si>
  <si>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</si>
  <si>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</si>
  <si>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</si>
  <si>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</si>
  <si>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</si>
  <si>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</si>
  <si>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</si>
  <si>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</si>
  <si>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</si>
  <si>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</si>
  <si>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</si>
  <si>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</si>
  <si>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</si>
  <si>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</si>
  <si>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</si>
  <si>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</si>
  <si>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</si>
  <si>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</si>
  <si>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</si>
  <si>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</si>
  <si>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</si>
  <si>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</si>
  <si>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</si>
  <si>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</si>
  <si>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</si>
  <si>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</si>
  <si>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</si>
  <si>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</si>
  <si>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</si>
  <si>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</si>
  <si>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</si>
  <si>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</si>
  <si>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</si>
  <si>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</si>
  <si>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</si>
  <si>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</si>
  <si>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</si>
  <si>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</si>
  <si>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</si>
  <si>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</si>
  <si>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</si>
  <si>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</si>
  <si>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</si>
  <si>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</si>
  <si>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</si>
  <si>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</si>
  <si>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</si>
  <si>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</si>
  <si>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</si>
  <si>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</si>
  <si>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</si>
  <si>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</si>
  <si>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</si>
  <si>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</si>
  <si>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</si>
  <si>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</si>
  <si>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</si>
  <si>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</si>
  <si>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</si>
  <si>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</si>
  <si>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</si>
  <si>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</si>
  <si>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</si>
  <si>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</si>
  <si>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</si>
  <si>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</si>
  <si>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</si>
  <si>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</si>
  <si>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</si>
  <si>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</si>
  <si>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</si>
  <si>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</si>
  <si>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</si>
  <si>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</si>
  <si>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</si>
  <si>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</si>
  <si>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</si>
  <si>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</si>
  <si>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</si>
  <si>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</si>
  <si>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</si>
  <si>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</si>
  <si>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</si>
  <si>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</si>
  <si>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</si>
  <si>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</si>
  <si>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</si>
  <si>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</si>
  <si>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</si>
  <si>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</si>
  <si>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</si>
  <si>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</si>
  <si>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</si>
  <si>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</si>
  <si>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</si>
  <si>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</si>
  <si>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</si>
  <si>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</si>
  <si>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</si>
  <si>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</si>
  <si>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</si>
  <si>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</si>
  <si>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</si>
  <si>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</si>
  <si>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</si>
  <si>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</si>
  <si>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</si>
  <si>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</si>
  <si>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</si>
  <si>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</si>
  <si>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</si>
  <si>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</si>
  <si>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</si>
  <si>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</si>
  <si>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</si>
  <si>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</si>
  <si>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</si>
  <si>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</si>
  <si>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</si>
  <si>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</si>
  <si>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</si>
  <si>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</si>
  <si>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</si>
  <si>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</si>
  <si>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</si>
  <si>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</si>
  <si>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</si>
  <si>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</si>
  <si>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</si>
  <si>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</si>
  <si>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</si>
  <si>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</si>
  <si>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</si>
  <si>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</si>
  <si>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</si>
  <si>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</si>
  <si>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</si>
  <si>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</si>
  <si>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</si>
  <si>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</si>
  <si>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</si>
  <si>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</si>
  <si>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</si>
  <si>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</si>
  <si>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</si>
  <si>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</si>
  <si>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</si>
  <si>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</si>
  <si>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</si>
  <si>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</si>
  <si>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</si>
  <si>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</si>
  <si>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</si>
  <si>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</si>
  <si>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</si>
  <si>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</si>
  <si>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</si>
  <si>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</si>
  <si>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</si>
  <si>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</si>
  <si>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</si>
  <si>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</si>
  <si>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</si>
  <si>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</si>
  <si>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</si>
  <si>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</si>
  <si>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</si>
  <si>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</si>
  <si>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</si>
  <si>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</si>
  <si>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</si>
  <si>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</si>
  <si>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</si>
  <si>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</si>
  <si>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</si>
  <si>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</si>
  <si>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</si>
  <si>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</si>
  <si>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</si>
  <si>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</si>
  <si>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</si>
  <si>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</si>
  <si>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</si>
  <si>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</si>
  <si>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</si>
  <si>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</si>
  <si>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</si>
  <si>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</si>
  <si>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</si>
  <si>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</si>
  <si>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</si>
  <si>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</si>
  <si>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</si>
  <si>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</si>
  <si>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</si>
  <si>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</si>
  <si>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</si>
  <si>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</si>
  <si>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</si>
  <si>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</si>
  <si>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</si>
  <si>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</si>
  <si>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</si>
  <si>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</si>
  <si>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</si>
  <si>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</si>
  <si>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</si>
  <si>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</si>
  <si>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</si>
  <si>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</si>
  <si>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</si>
  <si>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</si>
  <si>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</si>
  <si>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</si>
  <si>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</si>
  <si>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</si>
  <si>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</si>
  <si>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</si>
  <si>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</si>
  <si>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</si>
  <si>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</si>
  <si>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</si>
  <si>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</si>
  <si>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</si>
  <si>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</si>
  <si>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</si>
  <si>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</si>
  <si>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</si>
  <si>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</si>
  <si>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</si>
  <si>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</si>
  <si>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</si>
  <si>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</si>
  <si>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</si>
  <si>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</si>
  <si>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</si>
  <si>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</si>
  <si>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</si>
  <si>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</si>
  <si>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</si>
  <si>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</si>
  <si>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</si>
  <si>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</si>
  <si>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</si>
  <si>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</si>
  <si>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</si>
  <si>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</si>
  <si>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</si>
  <si>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</si>
  <si>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</si>
  <si>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</si>
  <si>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</si>
  <si>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</si>
  <si>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</si>
  <si>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</si>
  <si>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</si>
  <si>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</si>
  <si>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</si>
  <si>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</si>
  <si>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</si>
  <si>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</si>
  <si>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</si>
  <si>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</si>
  <si>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</si>
  <si>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</si>
  <si>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</si>
  <si>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</si>
  <si>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</si>
  <si>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</si>
  <si>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</si>
  <si>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</si>
  <si>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</si>
  <si>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</si>
  <si>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</si>
  <si>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</si>
  <si>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</si>
  <si>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</si>
  <si>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</si>
  <si>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</si>
  <si>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</si>
  <si>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</si>
  <si>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</si>
  <si>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</si>
  <si>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</si>
  <si>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</si>
  <si>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</si>
  <si>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</si>
  <si>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</si>
  <si>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</si>
  <si>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</si>
  <si>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</si>
  <si>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</si>
  <si>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</si>
  <si>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</si>
  <si>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</si>
  <si>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</si>
  <si>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</si>
  <si>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</si>
  <si>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</si>
  <si>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</si>
  <si>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</si>
  <si>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</si>
  <si>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</si>
  <si>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</si>
  <si>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</si>
  <si>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</si>
  <si>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</si>
  <si>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</si>
  <si>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</si>
  <si>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</si>
  <si>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</si>
  <si>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</si>
  <si>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</si>
  <si>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</si>
  <si>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</si>
  <si>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</si>
  <si>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</si>
  <si>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</si>
  <si>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</si>
  <si>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</si>
  <si>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</si>
  <si>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</si>
  <si>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</si>
  <si>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</si>
  <si>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</si>
  <si>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</si>
  <si>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</si>
  <si>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</si>
  <si>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</si>
  <si>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</si>
  <si>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</si>
  <si>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</si>
  <si>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</si>
  <si>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</si>
  <si>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</si>
  <si>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</si>
  <si>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</si>
  <si>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</si>
  <si>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</si>
  <si>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</si>
  <si>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</si>
  <si>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</si>
  <si>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</si>
  <si>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</si>
  <si>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</si>
  <si>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</si>
  <si>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</si>
  <si>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</si>
  <si>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</si>
  <si>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</si>
  <si>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</si>
  <si>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</si>
  <si>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</si>
  <si>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</si>
  <si>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</si>
  <si>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</si>
  <si>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</si>
  <si>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</si>
  <si>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</si>
  <si>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</si>
  <si>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</si>
  <si>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</si>
  <si>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</si>
  <si>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</si>
  <si>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</si>
  <si>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</si>
  <si>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</si>
  <si>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</si>
  <si>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</si>
  <si>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</si>
  <si>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</si>
  <si>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</si>
  <si>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</si>
  <si>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</si>
  <si>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</si>
  <si>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</si>
  <si>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</si>
  <si>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</si>
  <si>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</si>
  <si>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</si>
  <si>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</si>
  <si>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</si>
  <si>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</si>
  <si>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</si>
  <si>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</si>
  <si>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</si>
  <si>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</si>
  <si>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</si>
  <si>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</si>
  <si>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</si>
  <si>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</si>
  <si>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</si>
  <si>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</si>
  <si>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</si>
  <si>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</si>
  <si>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</si>
  <si>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</si>
  <si>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</si>
  <si>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</si>
  <si>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</si>
  <si>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</si>
  <si>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</si>
  <si>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</si>
  <si>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</si>
  <si>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</si>
  <si>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</si>
  <si>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</si>
  <si>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</si>
  <si>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</si>
  <si>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</si>
  <si>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</si>
  <si>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</si>
  <si>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</si>
  <si>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</si>
  <si>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</si>
  <si>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</si>
  <si>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</si>
  <si>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</si>
  <si>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</si>
  <si>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</si>
  <si>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</si>
  <si>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</si>
  <si>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</si>
  <si>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</si>
  <si>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</si>
  <si>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</si>
  <si>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</si>
  <si>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</si>
  <si>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</si>
  <si>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</si>
  <si>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</si>
  <si>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</si>
  <si>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</si>
  <si>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</si>
  <si>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</si>
  <si>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</si>
  <si>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</si>
  <si>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</si>
  <si>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</si>
  <si>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</si>
  <si>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</si>
  <si>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</si>
  <si>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</si>
  <si>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</si>
  <si>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</si>
  <si>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</si>
  <si>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</si>
  <si>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</si>
  <si>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</si>
  <si>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</si>
  <si>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</si>
  <si>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</si>
  <si>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</si>
  <si>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</si>
  <si>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</si>
  <si>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</si>
  <si>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</si>
  <si>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</si>
  <si>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</si>
  <si>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</si>
  <si>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</si>
  <si>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</si>
  <si>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</si>
  <si>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</si>
  <si>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</si>
  <si>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</si>
  <si>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</si>
  <si>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</si>
  <si>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</si>
  <si>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</si>
  <si>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</si>
  <si>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</si>
  <si>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</si>
  <si>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</si>
  <si>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</si>
  <si>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</si>
  <si>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</si>
  <si>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</si>
  <si>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</si>
  <si>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</si>
  <si>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</si>
  <si>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</si>
  <si>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</si>
  <si>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</si>
  <si>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</si>
  <si>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</si>
  <si>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</si>
  <si>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</si>
  <si>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</si>
  <si>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</si>
  <si>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</si>
  <si>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</si>
  <si>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</si>
  <si>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</si>
  <si>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</si>
  <si>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</si>
  <si>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</si>
  <si>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</si>
  <si>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</si>
  <si>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</si>
  <si>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</si>
  <si>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</si>
  <si>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</si>
  <si>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</si>
  <si>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</si>
  <si>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</si>
  <si>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</si>
  <si>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</si>
  <si>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</si>
  <si>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</si>
  <si>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</si>
  <si>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</si>
  <si>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</si>
  <si>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</si>
  <si>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</si>
  <si>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</si>
  <si>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</si>
  <si>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</si>
  <si>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</si>
  <si>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</si>
  <si>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</si>
  <si>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</si>
  <si>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</si>
  <si>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</si>
  <si>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</si>
  <si>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</si>
  <si>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</si>
  <si>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</si>
  <si>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</si>
  <si>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</si>
  <si>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</si>
  <si>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</si>
  <si>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</si>
  <si>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</si>
  <si>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</si>
  <si>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</si>
  <si>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</si>
  <si>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</si>
  <si>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</si>
  <si>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</si>
  <si>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</si>
  <si>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</si>
  <si>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</si>
  <si>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</si>
  <si>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</si>
  <si>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</si>
  <si>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</si>
  <si>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</si>
  <si>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</si>
  <si>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</si>
  <si>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</si>
  <si>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</si>
  <si>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</si>
  <si>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</si>
  <si>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</si>
  <si>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</si>
  <si>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</si>
  <si>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</si>
  <si>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</si>
  <si>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</si>
  <si>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</si>
  <si>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</si>
  <si>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</si>
  <si>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</si>
  <si>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</si>
  <si>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</si>
  <si>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</si>
  <si>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</si>
  <si>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</si>
  <si>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</si>
  <si>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</si>
  <si>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</si>
  <si>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</si>
  <si>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</si>
  <si>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</si>
  <si>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</si>
  <si>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</si>
  <si>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</si>
  <si>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</si>
  <si>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IROQUOIS</t>
  </si>
  <si>
    <t>600 NORTH ST, PO BOX 186</t>
  </si>
  <si>
    <t>DONOVAN</t>
  </si>
  <si>
    <t>Toby Coates</t>
  </si>
  <si>
    <t>coatest@donovanschools.org</t>
  </si>
  <si>
    <t>815-486-7398</t>
  </si>
  <si>
    <t>815-426-7030</t>
  </si>
  <si>
    <t>2017 Health Life Safety Bond</t>
  </si>
  <si>
    <t>2020 Working Cash Bond</t>
  </si>
  <si>
    <t>No applicable contracts paid in the current year</t>
  </si>
  <si>
    <t>Iroquois Special Education Association</t>
  </si>
  <si>
    <t>Page 2 - Auditor's Questionnaire</t>
  </si>
  <si>
    <t>Part C - Other Issues</t>
  </si>
  <si>
    <t xml:space="preserve"> - Not posting payroll entries</t>
  </si>
  <si>
    <t>Page 11 - Acct 1999 - Other Local Revenues</t>
  </si>
  <si>
    <t>Col 10 - Educational</t>
  </si>
  <si>
    <t>Refunds &amp; Reimbursements - $55,357</t>
  </si>
  <si>
    <t>Page 12 - Acct 3999 - Other Restricted Revenue from State Sources</t>
  </si>
  <si>
    <t>State Library Grant - $1,500</t>
  </si>
  <si>
    <t>Page 18 - Acct 5400 - Debt Services Other</t>
  </si>
  <si>
    <t>Bond Fees - $304</t>
  </si>
  <si>
    <t>AUDITCHECK Tab - #13 - Contracts Paid Error</t>
  </si>
  <si>
    <t>cash not balances to ledger</t>
  </si>
  <si>
    <t xml:space="preserve"> Donovan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</si>
</sst>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2003</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2051</v>
      </c>
      <c r="C5" s="26" t="s">
        <v>904</v>
      </c>
      <c r="D5" s="81"/>
      <c r="E5" s="81"/>
      <c r="H5" s="38"/>
      <c r="I5" s="2127" t="s">
        <v>675</v>
      </c>
      <c r="J5" s="2072"/>
      <c r="K5" s="2072"/>
      <c r="L5" s="2072"/>
      <c r="M5" s="2072"/>
      <c r="N5" s="2072"/>
      <c r="O5" s="2072"/>
      <c r="P5" s="2072"/>
      <c r="Q5" s="2072"/>
      <c r="R5" s="2072"/>
      <c r="S5" s="2072"/>
      <c r="AF5" s="1827"/>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32038003026</v>
      </c>
      <c r="B13" s="2089"/>
      <c r="C13" s="2089"/>
      <c r="D13" s="2089"/>
      <c r="E13" s="2089"/>
      <c r="F13" s="2089"/>
      <c r="G13" s="2089"/>
      <c r="H13" s="2090"/>
      <c r="I13" s="31"/>
      <c r="J13" s="30"/>
      <c r="K13" s="28"/>
      <c r="L13" s="30"/>
      <c r="M13" s="30"/>
      <c r="N13" s="30"/>
      <c r="O13" s="30"/>
      <c r="P13" s="30"/>
      <c r="Q13" s="30"/>
      <c r="R13" s="30"/>
      <c r="S13" s="30"/>
      <c r="T13" s="2093" t="s">
        <v>2052</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2061</v>
      </c>
      <c r="B15" s="2091"/>
      <c r="C15" s="2091"/>
      <c r="D15" s="2091"/>
      <c r="E15" s="2091"/>
      <c r="F15" s="2091"/>
      <c r="G15" s="2091"/>
      <c r="H15" s="2092"/>
      <c r="T15" s="2054" t="s">
        <v>2053</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2084</v>
      </c>
      <c r="B17" s="2116"/>
      <c r="C17" s="2116"/>
      <c r="D17" s="2116"/>
      <c r="E17" s="2116"/>
      <c r="F17" s="2116"/>
      <c r="G17" s="2116"/>
      <c r="H17" s="2117"/>
      <c r="T17" s="2103" t="s">
        <v>2054</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2062</v>
      </c>
      <c r="B19" s="2087"/>
      <c r="C19" s="2087"/>
      <c r="D19" s="2087"/>
      <c r="E19" s="2087"/>
      <c r="F19" s="2087"/>
      <c r="G19" s="2087"/>
      <c r="H19" s="2085"/>
      <c r="I19" s="30"/>
      <c r="J19" s="96"/>
      <c r="K19" s="40"/>
      <c r="L19" s="38"/>
      <c r="M19" s="109" t="s">
        <v>312</v>
      </c>
      <c r="P19" s="27"/>
      <c r="Q19" s="27"/>
      <c r="R19" s="27"/>
      <c r="S19" s="31"/>
      <c r="T19" s="2086" t="s">
        <v>2055</v>
      </c>
      <c r="U19" s="2084"/>
      <c r="V19" s="2084"/>
      <c r="W19" s="2085"/>
      <c r="X19" s="2101" t="s">
        <v>2056</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2063</v>
      </c>
      <c r="B21" s="2084"/>
      <c r="C21" s="2084"/>
      <c r="D21" s="2084"/>
      <c r="E21" s="2084"/>
      <c r="F21" s="2084"/>
      <c r="G21" s="2084"/>
      <c r="H21" s="2085"/>
      <c r="I21" s="2109" t="s">
        <v>673</v>
      </c>
      <c r="J21" s="2072"/>
      <c r="K21" s="2072"/>
      <c r="L21" s="2072"/>
      <c r="M21" s="2072"/>
      <c r="N21" s="2072"/>
      <c r="O21" s="2072"/>
      <c r="P21" s="2072"/>
      <c r="Q21" s="2072"/>
      <c r="R21" s="2072"/>
      <c r="S21" s="2073"/>
      <c r="T21" s="2051" t="s">
        <v>2057</v>
      </c>
      <c r="U21" s="2052"/>
      <c r="V21" s="2052"/>
      <c r="W21" s="2052"/>
      <c r="X21" s="2065" t="s">
        <v>2058</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v>65.018319000000005</v>
      </c>
      <c r="U23" s="2047"/>
      <c r="V23" s="2047"/>
      <c r="W23" s="2047"/>
      <c r="X23" s="2062">
        <v>44469</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60931</v>
      </c>
      <c r="B25" s="2084"/>
      <c r="C25" s="2084"/>
      <c r="D25" s="2084"/>
      <c r="E25" s="2084"/>
      <c r="F25" s="2084"/>
      <c r="G25" s="2084"/>
      <c r="H25" s="2085"/>
      <c r="I25" s="110"/>
      <c r="J25" s="2150"/>
      <c r="K25" s="2150"/>
      <c r="L25" s="2150"/>
      <c r="M25" s="2150"/>
      <c r="N25" s="2150"/>
      <c r="O25" s="2150"/>
      <c r="P25" s="2150"/>
      <c r="Q25" s="2150"/>
      <c r="R25" s="2150"/>
      <c r="S25" s="2151"/>
      <c r="T25" s="2043" t="s">
        <v>2059</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2064</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2065</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2066</v>
      </c>
      <c r="B42" s="2133"/>
      <c r="C42" s="2134"/>
      <c r="D42" s="2147" t="s">
        <v>2067</v>
      </c>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B104"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2060</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44894409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3.8175000000000001E-2</v>
      </c>
      <c r="E10" s="333" t="s">
        <v>998</v>
      </c>
      <c r="F10" s="332">
        <v>4.9579999999999997E-3</v>
      </c>
      <c r="G10" s="333" t="s">
        <v>998</v>
      </c>
      <c r="H10" s="332">
        <v>1.983E-3</v>
      </c>
      <c r="I10" s="333" t="s">
        <v>999</v>
      </c>
      <c r="J10" s="1424">
        <f>ROUND(D10+F10+H10,5)</f>
        <v>4.512E-2</v>
      </c>
      <c r="K10" s="217"/>
      <c r="L10" s="332">
        <v>4.9600000000000002E-4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4007878</v>
      </c>
      <c r="E16" s="1547"/>
      <c r="F16" s="1546">
        <f>SUM('Acct Summary 7-8'!C17,'Acct Summary 7-8'!D17,'Acct Summary 7-8'!F17)</f>
        <v>3503775</v>
      </c>
      <c r="G16" s="1547"/>
      <c r="H16" s="1546">
        <f>SUM(D16-F16)</f>
        <v>504103</v>
      </c>
      <c r="I16" s="1548"/>
      <c r="J16" s="1546">
        <f>SUM('Acct Summary 7-8'!C81,'Acct Summary 7-8'!D81,'Acct Summary 7-8'!F81,'Acct Summary 7-8'!I81)</f>
        <v>6282877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6195428.4420000007</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Donovan CUSD 3</v>
      </c>
      <c r="E7" s="368"/>
      <c r="G7" s="247"/>
      <c r="H7" s="364"/>
      <c r="I7" s="364"/>
      <c r="J7" s="364"/>
      <c r="K7" s="364"/>
      <c r="L7" s="307"/>
      <c r="M7" s="307"/>
      <c r="N7" s="307"/>
      <c r="O7" s="307"/>
      <c r="P7" s="307"/>
    </row>
    <row r="8" spans="1:18" ht="12.75" x14ac:dyDescent="0.2">
      <c r="A8" s="307"/>
      <c r="B8" s="307"/>
      <c r="C8" s="366" t="s">
        <v>1115</v>
      </c>
      <c r="D8" s="369">
        <f>COVER!A13</f>
        <v>32038003026</v>
      </c>
      <c r="E8" s="370"/>
      <c r="G8" s="307"/>
      <c r="H8" s="307"/>
      <c r="I8" s="307"/>
      <c r="J8" s="307"/>
      <c r="K8" s="307"/>
      <c r="L8" s="307"/>
      <c r="M8" s="307"/>
      <c r="N8" s="307"/>
      <c r="O8" s="307"/>
      <c r="P8" s="307"/>
    </row>
    <row r="9" spans="1:18" ht="12.75" x14ac:dyDescent="0.2">
      <c r="A9" s="307"/>
      <c r="B9" s="307"/>
      <c r="C9" s="366" t="s">
        <v>708</v>
      </c>
      <c r="D9" s="371" t="str">
        <f>COVER!A15</f>
        <v>IROQUOIS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6282877</v>
      </c>
      <c r="I12" s="380"/>
      <c r="J12" s="380"/>
      <c r="K12" s="1559">
        <f>TRUNC((H12/H13*100000),5)/100000</f>
        <v>1.5676317991000002</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4007878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3503775</v>
      </c>
      <c r="I17" s="380"/>
      <c r="J17" s="389"/>
      <c r="K17" s="1559">
        <f>TRUNC((H17/H18*100000),5)/100000</f>
        <v>0.87422196979999989</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4007878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6282877</v>
      </c>
      <c r="I24" s="394"/>
      <c r="J24" s="394"/>
      <c r="K24" s="1555">
        <f>TRUNC(((H24/H25*100000)/100000),2)</f>
        <v>645.54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9732.7083299999995</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1721790.3739700001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625000</v>
      </c>
      <c r="I32" s="392"/>
      <c r="J32" s="392"/>
      <c r="K32" s="1555">
        <f>TRUNC(100-((((H32/H33*100))*100)/100),2)</f>
        <v>89.91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6195428.4420000007</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592613</v>
      </c>
      <c r="D4" s="1573">
        <v>1529167</v>
      </c>
      <c r="E4" s="1573">
        <v>8155</v>
      </c>
      <c r="F4" s="1573">
        <v>717664</v>
      </c>
      <c r="G4" s="1573">
        <v>172834</v>
      </c>
      <c r="H4" s="1573"/>
      <c r="I4" s="1573">
        <v>514</v>
      </c>
      <c r="J4" s="1574">
        <v>298513</v>
      </c>
      <c r="K4" s="1573">
        <v>213847</v>
      </c>
      <c r="L4" s="1573">
        <v>82499</v>
      </c>
      <c r="M4" s="1575"/>
      <c r="N4" s="1576"/>
    </row>
    <row r="5" spans="1:14" x14ac:dyDescent="0.2">
      <c r="A5" s="427" t="s">
        <v>985</v>
      </c>
      <c r="B5" s="429">
        <v>120</v>
      </c>
      <c r="C5" s="1572">
        <v>2639853</v>
      </c>
      <c r="D5" s="1573"/>
      <c r="E5" s="1573"/>
      <c r="F5" s="1573"/>
      <c r="G5" s="1573"/>
      <c r="H5" s="1573"/>
      <c r="I5" s="1573">
        <v>803066</v>
      </c>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3232466</v>
      </c>
      <c r="D13" s="1587">
        <f t="shared" ref="D13:L13" si="0">SUM(D4:D12)</f>
        <v>1529167</v>
      </c>
      <c r="E13" s="1587">
        <f t="shared" si="0"/>
        <v>8155</v>
      </c>
      <c r="F13" s="1587">
        <f t="shared" si="0"/>
        <v>717664</v>
      </c>
      <c r="G13" s="1587">
        <f t="shared" si="0"/>
        <v>172834</v>
      </c>
      <c r="H13" s="1587">
        <f t="shared" si="0"/>
        <v>0</v>
      </c>
      <c r="I13" s="1587">
        <f t="shared" si="0"/>
        <v>803580</v>
      </c>
      <c r="J13" s="1587">
        <f t="shared" si="0"/>
        <v>298513</v>
      </c>
      <c r="K13" s="1587">
        <f t="shared" si="0"/>
        <v>213847</v>
      </c>
      <c r="L13" s="1587">
        <f t="shared" si="0"/>
        <v>82499</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5362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3068594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2075104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2497467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8155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616845</v>
      </c>
    </row>
    <row r="23" spans="1:14" ht="13.5" customHeight="1" thickBot="1" x14ac:dyDescent="0.25">
      <c r="A23" s="1426" t="s">
        <v>638</v>
      </c>
      <c r="B23" s="1429"/>
      <c r="C23" s="1575"/>
      <c r="D23" s="1575"/>
      <c r="E23" s="1575"/>
      <c r="F23" s="1575"/>
      <c r="G23" s="1575"/>
      <c r="H23" s="1575"/>
      <c r="I23" s="1575"/>
      <c r="J23" s="1575"/>
      <c r="K23" s="1575"/>
      <c r="L23" s="1575"/>
      <c r="M23" s="1594">
        <f>SUM(M15:M22)</f>
        <v>7646527</v>
      </c>
      <c r="N23" s="1594">
        <f>SUM(N21:N22)</f>
        <v>625000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82499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82499</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625000</v>
      </c>
    </row>
    <row r="37" spans="1:14" ht="13.5" thickBot="1" x14ac:dyDescent="0.25">
      <c r="A37" s="1426" t="s">
        <v>648</v>
      </c>
      <c r="B37" s="1429"/>
      <c r="C37" s="1582"/>
      <c r="D37" s="1582"/>
      <c r="E37" s="1582"/>
      <c r="F37" s="1582"/>
      <c r="G37" s="1582"/>
      <c r="H37" s="1582"/>
      <c r="I37" s="1582"/>
      <c r="J37" s="1582"/>
      <c r="K37" s="1582"/>
      <c r="L37" s="1585"/>
      <c r="M37" s="1575"/>
      <c r="N37" s="1594">
        <f>SUM(N36:N36)</f>
        <v>625000</v>
      </c>
    </row>
    <row r="38" spans="1:14" s="307" customFormat="1" ht="13.5" customHeight="1" thickTop="1" x14ac:dyDescent="0.2">
      <c r="A38" s="438" t="s">
        <v>417</v>
      </c>
      <c r="B38" s="432">
        <v>714</v>
      </c>
      <c r="C38" s="1573"/>
      <c r="D38" s="1573"/>
      <c r="E38" s="1573"/>
      <c r="F38" s="1573"/>
      <c r="G38" s="1573">
        <v>172834</v>
      </c>
      <c r="H38" s="1573"/>
      <c r="I38" s="1573"/>
      <c r="J38" s="1574"/>
      <c r="K38" s="1573"/>
      <c r="L38" s="1586"/>
      <c r="M38" s="1604"/>
      <c r="N38" s="1604"/>
    </row>
    <row r="39" spans="1:14" s="307" customFormat="1" ht="13.5" customHeight="1" x14ac:dyDescent="0.2">
      <c r="A39" s="438" t="s">
        <v>339</v>
      </c>
      <c r="B39" s="432">
        <v>730</v>
      </c>
      <c r="C39" s="1573">
        <v>3232466</v>
      </c>
      <c r="D39" s="1573">
        <v>1529167</v>
      </c>
      <c r="E39" s="1573">
        <v>8155</v>
      </c>
      <c r="F39" s="1573">
        <v>717664</v>
      </c>
      <c r="G39" s="1573"/>
      <c r="H39" s="1573"/>
      <c r="I39" s="1573">
        <v>803580</v>
      </c>
      <c r="J39" s="1574">
        <v>298513</v>
      </c>
      <c r="K39" s="1573">
        <v>213847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7646527</v>
      </c>
      <c r="N40" s="1604"/>
    </row>
    <row r="41" spans="1:14" ht="13.5" customHeight="1" thickBot="1" x14ac:dyDescent="0.25">
      <c r="A41" s="1426" t="s">
        <v>650</v>
      </c>
      <c r="B41" s="1405"/>
      <c r="C41" s="1594">
        <f>(SUM(C34,C37,C38,C39))</f>
        <v>3232466</v>
      </c>
      <c r="D41" s="1594">
        <f t="shared" ref="D41:L41" si="2">SUM(D34,D37,D38:D39)</f>
        <v>1529167</v>
      </c>
      <c r="E41" s="1594">
        <f t="shared" si="2"/>
        <v>8155</v>
      </c>
      <c r="F41" s="1594">
        <f t="shared" si="2"/>
        <v>717664</v>
      </c>
      <c r="G41" s="1594">
        <f t="shared" si="2"/>
        <v>172834</v>
      </c>
      <c r="H41" s="1594">
        <f t="shared" si="2"/>
        <v>0</v>
      </c>
      <c r="I41" s="1594">
        <f t="shared" si="2"/>
        <v>803580</v>
      </c>
      <c r="J41" s="1594">
        <f t="shared" si="2"/>
        <v>298513</v>
      </c>
      <c r="K41" s="1594">
        <f t="shared" si="2"/>
        <v>213847</v>
      </c>
      <c r="L41" s="1594">
        <f t="shared" si="2"/>
        <v>82499</v>
      </c>
      <c r="M41" s="1594">
        <f>SUM(M40)</f>
        <v>7646527</v>
      </c>
      <c r="N41" s="1594">
        <f>SUM(N37)</f>
        <v>625000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1764531</v>
      </c>
      <c r="D4" s="1606">
        <f>'Revenues 9-14'!D109</f>
        <v>295820</v>
      </c>
      <c r="E4" s="1606">
        <f>'Revenues 9-14'!E109</f>
        <v>84260</v>
      </c>
      <c r="F4" s="1606">
        <f>'Revenues 9-14'!F109</f>
        <v>86381</v>
      </c>
      <c r="G4" s="1606">
        <f>'Revenues 9-14'!G109</f>
        <v>131468</v>
      </c>
      <c r="H4" s="1606">
        <f>'Revenues 9-14'!H109</f>
        <v>0</v>
      </c>
      <c r="I4" s="1606">
        <f>'Revenues 9-14'!I109</f>
        <v>31299</v>
      </c>
      <c r="J4" s="1606">
        <f>'Revenues 9-14'!J109</f>
        <v>196323</v>
      </c>
      <c r="K4" s="1606">
        <f>'Revenues 9-14'!K109</f>
        <v>654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1220927</v>
      </c>
      <c r="D6" s="1607">
        <f>'Revenues 9-14'!D170</f>
        <v>50000</v>
      </c>
      <c r="E6" s="1607">
        <f>'Revenues 9-14'!E170</f>
        <v>0</v>
      </c>
      <c r="F6" s="1607">
        <f>'Revenues 9-14'!F170</f>
        <v>158429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400491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3385949</v>
      </c>
      <c r="D8" s="1594">
        <f t="shared" ref="D8:K8" si="0">SUM(D4:D7)</f>
        <v>345820</v>
      </c>
      <c r="E8" s="1594">
        <f t="shared" si="0"/>
        <v>84260</v>
      </c>
      <c r="F8" s="1594">
        <f t="shared" si="0"/>
        <v>244810</v>
      </c>
      <c r="G8" s="1594">
        <f t="shared" si="0"/>
        <v>131468</v>
      </c>
      <c r="H8" s="1594">
        <f t="shared" si="0"/>
        <v>0</v>
      </c>
      <c r="I8" s="1594">
        <f t="shared" si="0"/>
        <v>31299</v>
      </c>
      <c r="J8" s="1594">
        <f t="shared" si="0"/>
        <v>196323</v>
      </c>
      <c r="K8" s="1594">
        <f t="shared" si="0"/>
        <v>654</v>
      </c>
      <c r="L8" s="325"/>
    </row>
    <row r="9" spans="1:13" ht="15.75" thickTop="1" x14ac:dyDescent="0.2">
      <c r="A9" s="449" t="s">
        <v>1634</v>
      </c>
      <c r="B9" s="450">
        <v>3998</v>
      </c>
      <c r="C9" s="1586">
        <v>1235856</v>
      </c>
      <c r="D9" s="1613"/>
      <c r="E9" s="1586"/>
      <c r="F9" s="1586"/>
      <c r="G9" s="1614"/>
      <c r="H9" s="1586"/>
      <c r="I9" s="1609" t="s">
        <v>1159</v>
      </c>
      <c r="J9" s="1583"/>
      <c r="K9" s="1586"/>
      <c r="L9" s="325"/>
    </row>
    <row r="10" spans="1:13" s="452" customFormat="1" ht="13.5" thickBot="1" x14ac:dyDescent="0.25">
      <c r="A10" s="1426" t="s">
        <v>1163</v>
      </c>
      <c r="B10" s="1407"/>
      <c r="C10" s="1594">
        <f>SUM(C8:C9)</f>
        <v>4621805</v>
      </c>
      <c r="D10" s="1594">
        <f t="shared" ref="D10:K10" si="1">SUM(D8:D9)</f>
        <v>345820</v>
      </c>
      <c r="E10" s="1594">
        <f t="shared" si="1"/>
        <v>84260</v>
      </c>
      <c r="F10" s="1594">
        <f t="shared" si="1"/>
        <v>244810</v>
      </c>
      <c r="G10" s="1594">
        <f t="shared" si="1"/>
        <v>131468</v>
      </c>
      <c r="H10" s="1594">
        <f t="shared" si="1"/>
        <v>0</v>
      </c>
      <c r="I10" s="1594">
        <f t="shared" si="1"/>
        <v>31299</v>
      </c>
      <c r="J10" s="1594">
        <f t="shared" si="1"/>
        <v>196323</v>
      </c>
      <c r="K10" s="1594">
        <f t="shared" si="1"/>
        <v>654</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1472945</v>
      </c>
      <c r="D12" s="1616" t="s">
        <v>1159</v>
      </c>
      <c r="E12" s="1575" t="s">
        <v>1159</v>
      </c>
      <c r="F12" s="1575" t="s">
        <v>1159</v>
      </c>
      <c r="G12" s="1606">
        <f>'Expenditures 15-22'!K229</f>
        <v>23912</v>
      </c>
      <c r="H12" s="1617"/>
      <c r="I12" s="1575" t="s">
        <v>1159</v>
      </c>
      <c r="J12" s="1575" t="s">
        <v>1159</v>
      </c>
      <c r="K12" s="1617" t="s">
        <v>1159</v>
      </c>
      <c r="L12" s="325"/>
    </row>
    <row r="13" spans="1:13" ht="15.75" customHeight="1" x14ac:dyDescent="0.2">
      <c r="A13" s="1314" t="s">
        <v>454</v>
      </c>
      <c r="B13" s="1316">
        <v>2000</v>
      </c>
      <c r="C13" s="1607">
        <f>'Expenditures 15-22'!K74</f>
        <v>1110705</v>
      </c>
      <c r="D13" s="1607">
        <f>'Expenditures 15-22'!K129</f>
        <v>243065</v>
      </c>
      <c r="E13" s="1576" t="s">
        <v>1159</v>
      </c>
      <c r="F13" s="1607">
        <f>'Expenditures 15-22'!K184</f>
        <v>204209</v>
      </c>
      <c r="G13" s="1607">
        <f>'Expenditures 15-22'!K279</f>
        <v>102140</v>
      </c>
      <c r="H13" s="1607">
        <f>'Expenditures 15-22'!K303</f>
        <v>0</v>
      </c>
      <c r="I13" s="1575" t="s">
        <v>1159</v>
      </c>
      <c r="J13" s="1607">
        <f>'Expenditures 15-22'!K330</f>
        <v>196402</v>
      </c>
      <c r="K13" s="1618">
        <f>'Expenditures 15-22'!K352</f>
        <v>57328</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430812</v>
      </c>
      <c r="D15" s="1607">
        <f>'Expenditures 15-22'!K139</f>
        <v>0</v>
      </c>
      <c r="E15" s="1607">
        <f>'Expenditures 15-22'!K160</f>
        <v>0</v>
      </c>
      <c r="F15" s="1607">
        <f>'Expenditures 15-22'!K196</f>
        <v>42039</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84251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3014462</v>
      </c>
      <c r="D17" s="1594">
        <f t="shared" si="2"/>
        <v>243065</v>
      </c>
      <c r="E17" s="1594">
        <f t="shared" si="2"/>
        <v>84251</v>
      </c>
      <c r="F17" s="1594">
        <f t="shared" si="2"/>
        <v>246248</v>
      </c>
      <c r="G17" s="1594">
        <f t="shared" si="2"/>
        <v>126052</v>
      </c>
      <c r="H17" s="1594">
        <f t="shared" si="2"/>
        <v>0</v>
      </c>
      <c r="I17" s="1575"/>
      <c r="J17" s="1594">
        <f>SUM(J12:J16)</f>
        <v>196402</v>
      </c>
      <c r="K17" s="1594">
        <f>SUM(K12:K16)</f>
        <v>57328</v>
      </c>
      <c r="L17" s="325"/>
    </row>
    <row r="18" spans="1:12" ht="15" customHeight="1" thickTop="1" x14ac:dyDescent="0.2">
      <c r="A18" s="1430" t="s">
        <v>1635</v>
      </c>
      <c r="B18" s="1431">
        <v>4180</v>
      </c>
      <c r="C18" s="1606">
        <f t="shared" ref="C18:H18" si="3">C9</f>
        <v>1235856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4250318</v>
      </c>
      <c r="D19" s="1594">
        <f t="shared" si="4"/>
        <v>243065</v>
      </c>
      <c r="E19" s="1594">
        <f t="shared" si="4"/>
        <v>84251</v>
      </c>
      <c r="F19" s="1594">
        <f t="shared" si="4"/>
        <v>246248</v>
      </c>
      <c r="G19" s="1594">
        <f t="shared" si="4"/>
        <v>126052</v>
      </c>
      <c r="H19" s="1594">
        <f t="shared" si="4"/>
        <v>0</v>
      </c>
      <c r="I19" s="1575"/>
      <c r="J19" s="1594">
        <f>SUM(J17:J18)</f>
        <v>196402</v>
      </c>
      <c r="K19" s="1594">
        <f>SUM(K17:K18)</f>
        <v>57328</v>
      </c>
      <c r="L19" s="325"/>
    </row>
    <row r="20" spans="1:12" ht="16.5" thickTop="1" thickBot="1" x14ac:dyDescent="0.25">
      <c r="A20" s="2233" t="s">
        <v>1636</v>
      </c>
      <c r="B20" s="2234"/>
      <c r="C20" s="1622">
        <f>C8-C17</f>
        <v>371487</v>
      </c>
      <c r="D20" s="1622">
        <f t="shared" ref="D20:K20" si="5">D8-D17</f>
        <v>102755</v>
      </c>
      <c r="E20" s="1622">
        <f t="shared" si="5"/>
        <v>9</v>
      </c>
      <c r="F20" s="1622">
        <f t="shared" si="5"/>
        <v>-1438</v>
      </c>
      <c r="G20" s="1622">
        <f t="shared" si="5"/>
        <v>5416</v>
      </c>
      <c r="H20" s="1622">
        <f t="shared" si="5"/>
        <v>0</v>
      </c>
      <c r="I20" s="1622">
        <f t="shared" si="5"/>
        <v>31299</v>
      </c>
      <c r="J20" s="1622">
        <f t="shared" si="5"/>
        <v>-79</v>
      </c>
      <c r="K20" s="1622">
        <f t="shared" si="5"/>
        <v>-56674</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700000</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625000</v>
      </c>
      <c r="J33" s="1574"/>
      <c r="K33" s="1574"/>
      <c r="L33" s="453"/>
    </row>
    <row r="34" spans="1:12" s="433" customFormat="1" x14ac:dyDescent="0.2">
      <c r="A34" s="1260" t="s">
        <v>994</v>
      </c>
      <c r="B34" s="454">
        <v>7220</v>
      </c>
      <c r="C34" s="1574"/>
      <c r="D34" s="1574"/>
      <c r="E34" s="1574"/>
      <c r="F34" s="1574"/>
      <c r="G34" s="1582"/>
      <c r="H34" s="1583"/>
      <c r="I34" s="1583">
        <v>5603</v>
      </c>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700000</v>
      </c>
      <c r="D44" s="1624">
        <f t="shared" ref="D44:K44" si="6">SUM(D24:D43)</f>
        <v>0</v>
      </c>
      <c r="E44" s="1624">
        <f t="shared" si="6"/>
        <v>0</v>
      </c>
      <c r="F44" s="1624">
        <f t="shared" si="6"/>
        <v>0</v>
      </c>
      <c r="G44" s="1624">
        <f t="shared" si="6"/>
        <v>0</v>
      </c>
      <c r="H44" s="1624">
        <f t="shared" si="6"/>
        <v>0</v>
      </c>
      <c r="I44" s="1624">
        <f t="shared" si="6"/>
        <v>630603</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700000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700000</v>
      </c>
      <c r="J76" s="1624">
        <f t="shared" si="7"/>
        <v>0</v>
      </c>
      <c r="K76" s="1624">
        <f t="shared" si="7"/>
        <v>0</v>
      </c>
      <c r="L76" s="453"/>
    </row>
    <row r="77" spans="1:12" ht="14.25" thickTop="1" thickBot="1" x14ac:dyDescent="0.25">
      <c r="A77" s="2225" t="s">
        <v>1167</v>
      </c>
      <c r="B77" s="2226"/>
      <c r="C77" s="1624">
        <f t="shared" ref="C77:K77" si="8">C44-C76</f>
        <v>700000</v>
      </c>
      <c r="D77" s="1624">
        <f t="shared" si="8"/>
        <v>0</v>
      </c>
      <c r="E77" s="1624">
        <f t="shared" si="8"/>
        <v>0</v>
      </c>
      <c r="F77" s="1624">
        <f t="shared" si="8"/>
        <v>0</v>
      </c>
      <c r="G77" s="1624">
        <f t="shared" si="8"/>
        <v>0</v>
      </c>
      <c r="H77" s="1624">
        <f t="shared" si="8"/>
        <v>0</v>
      </c>
      <c r="I77" s="1624">
        <f t="shared" si="8"/>
        <v>-69397</v>
      </c>
      <c r="J77" s="1624">
        <f t="shared" si="8"/>
        <v>0</v>
      </c>
      <c r="K77" s="1624">
        <f t="shared" si="8"/>
        <v>0</v>
      </c>
      <c r="L77" s="325"/>
    </row>
    <row r="78" spans="1:12" ht="21.75" customHeight="1" thickTop="1" thickBot="1" x14ac:dyDescent="0.25">
      <c r="A78" s="2229" t="s">
        <v>593</v>
      </c>
      <c r="B78" s="2230"/>
      <c r="C78" s="1629">
        <f t="shared" ref="C78:K78" si="9">C20+C77</f>
        <v>1071487</v>
      </c>
      <c r="D78" s="1629">
        <f t="shared" si="9"/>
        <v>102755</v>
      </c>
      <c r="E78" s="1629">
        <f t="shared" si="9"/>
        <v>9</v>
      </c>
      <c r="F78" s="1629">
        <f t="shared" si="9"/>
        <v>-1438</v>
      </c>
      <c r="G78" s="1629">
        <f t="shared" si="9"/>
        <v>5416</v>
      </c>
      <c r="H78" s="1629">
        <f t="shared" si="9"/>
        <v>0</v>
      </c>
      <c r="I78" s="1629">
        <f t="shared" si="9"/>
        <v>-38098</v>
      </c>
      <c r="J78" s="1629">
        <f t="shared" si="9"/>
        <v>-79</v>
      </c>
      <c r="K78" s="1629">
        <f t="shared" si="9"/>
        <v>-56674</v>
      </c>
      <c r="L78" s="457"/>
    </row>
    <row r="79" spans="1:12" ht="13.5" thickTop="1" x14ac:dyDescent="0.2">
      <c r="A79" s="1844" t="str">
        <f>"Fund Balances - July 1, "&amp;'AFR20'!E2-1</f>
        <v>Fund Balances - July 1, 2019</v>
      </c>
      <c r="B79" s="458"/>
      <c r="C79" s="1583">
        <v>2160979</v>
      </c>
      <c r="D79" s="1630">
        <v>1426412</v>
      </c>
      <c r="E79" s="1630">
        <v>8146</v>
      </c>
      <c r="F79" s="1630">
        <v>719102</v>
      </c>
      <c r="G79" s="1630">
        <v>167418</v>
      </c>
      <c r="H79" s="1630"/>
      <c r="I79" s="1630">
        <v>841678</v>
      </c>
      <c r="J79" s="1630">
        <v>298592</v>
      </c>
      <c r="K79" s="1630">
        <v>270521</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3232466</v>
      </c>
      <c r="D81" s="1594">
        <f>SUM(D78:D80)</f>
        <v>1529167</v>
      </c>
      <c r="E81" s="1594">
        <f t="shared" ref="E81:K81" si="10">SUM(E78:E80)</f>
        <v>8155</v>
      </c>
      <c r="F81" s="1594">
        <f t="shared" si="10"/>
        <v>717664</v>
      </c>
      <c r="G81" s="1594">
        <f t="shared" si="10"/>
        <v>172834</v>
      </c>
      <c r="H81" s="1594">
        <f t="shared" si="10"/>
        <v>0</v>
      </c>
      <c r="I81" s="1594">
        <f t="shared" si="10"/>
        <v>803580</v>
      </c>
      <c r="J81" s="1594">
        <f t="shared" si="10"/>
        <v>298513</v>
      </c>
      <c r="K81" s="1594">
        <f t="shared" si="10"/>
        <v>213847</v>
      </c>
      <c r="L81" s="325"/>
    </row>
    <row r="82" spans="1:12" ht="0.75" customHeight="1" thickTop="1" thickBot="1" x14ac:dyDescent="0.25">
      <c r="A82" s="459" t="s">
        <v>340</v>
      </c>
      <c r="B82" s="460"/>
      <c r="C82" s="461">
        <f>(C81-C79)</f>
        <v>1071487</v>
      </c>
      <c r="D82" s="461">
        <f t="shared" ref="D82:K82" si="11">(D81-D79)</f>
        <v>102755</v>
      </c>
      <c r="E82" s="461">
        <f t="shared" si="11"/>
        <v>9</v>
      </c>
      <c r="F82" s="461">
        <f t="shared" si="11"/>
        <v>-1438</v>
      </c>
      <c r="G82" s="461">
        <f t="shared" si="11"/>
        <v>5416</v>
      </c>
      <c r="H82" s="461">
        <f t="shared" si="11"/>
        <v>0</v>
      </c>
      <c r="I82" s="461">
        <f t="shared" si="11"/>
        <v>-38098</v>
      </c>
      <c r="J82" s="461">
        <f t="shared" si="11"/>
        <v>-79</v>
      </c>
      <c r="K82" s="461">
        <f t="shared" si="11"/>
        <v>-56674</v>
      </c>
    </row>
    <row r="83" spans="1:12" ht="14.25" hidden="1" thickTop="1" thickBot="1" x14ac:dyDescent="0.25">
      <c r="A83" s="462" t="s">
        <v>341</v>
      </c>
      <c r="B83" s="428"/>
      <c r="C83" s="463">
        <f>C82/C81</f>
        <v>0.33147664971572788</v>
      </c>
      <c r="D83" s="463">
        <f t="shared" ref="D83:K83" si="12">D82/D81</f>
        <v>6.7196715597446194E-2</v>
      </c>
      <c r="E83" s="463">
        <f t="shared" si="12"/>
        <v>1.1036174126302881E-3</v>
      </c>
      <c r="F83" s="463">
        <f t="shared" si="12"/>
        <v>-2.0037231907968074E-3</v>
      </c>
      <c r="G83" s="463">
        <f t="shared" si="12"/>
        <v>3.13364268604557E-2</v>
      </c>
      <c r="H83" s="463" t="e">
        <f t="shared" si="12"/>
        <v>#DIV/0!</v>
      </c>
      <c r="I83" s="463">
        <f t="shared" si="12"/>
        <v>-4.7410338734164614E-2</v>
      </c>
      <c r="J83" s="463">
        <f t="shared" si="12"/>
        <v>-2.6464509083356505E-4</v>
      </c>
      <c r="K83" s="463">
        <f t="shared" si="12"/>
        <v>-0.26502125351302569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1612377</v>
      </c>
      <c r="D5" s="1586">
        <v>207359</v>
      </c>
      <c r="E5" s="1573">
        <v>84227</v>
      </c>
      <c r="F5" s="1631">
        <v>84236</v>
      </c>
      <c r="G5" s="1573">
        <v>63513</v>
      </c>
      <c r="H5" s="1573"/>
      <c r="I5" s="1573">
        <v>21059</v>
      </c>
      <c r="J5" s="1574">
        <v>195264</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16846</v>
      </c>
      <c r="D7" s="1573"/>
      <c r="E7" s="1575"/>
      <c r="F7" s="1574"/>
      <c r="G7" s="1574"/>
      <c r="H7" s="1574"/>
      <c r="I7" s="1575"/>
      <c r="J7" s="1575"/>
      <c r="K7" s="1575"/>
    </row>
    <row r="8" spans="1:12" x14ac:dyDescent="0.2">
      <c r="A8" s="427" t="s">
        <v>410</v>
      </c>
      <c r="B8" s="429">
        <v>1150</v>
      </c>
      <c r="C8" s="1580"/>
      <c r="D8" s="1580"/>
      <c r="E8" s="1582"/>
      <c r="F8" s="1582"/>
      <c r="G8" s="1586">
        <v>63363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1629223</v>
      </c>
      <c r="D12" s="1633">
        <f t="shared" si="0"/>
        <v>207359</v>
      </c>
      <c r="E12" s="1633">
        <f t="shared" si="0"/>
        <v>84227</v>
      </c>
      <c r="F12" s="1633">
        <f t="shared" si="0"/>
        <v>84236</v>
      </c>
      <c r="G12" s="1633">
        <f t="shared" si="0"/>
        <v>126876</v>
      </c>
      <c r="H12" s="1633">
        <f t="shared" si="0"/>
        <v>0</v>
      </c>
      <c r="I12" s="1633">
        <f t="shared" si="0"/>
        <v>21059</v>
      </c>
      <c r="J12" s="1633">
        <f t="shared" si="0"/>
        <v>195264</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v>84178</v>
      </c>
      <c r="E16" s="1573"/>
      <c r="F16" s="1573"/>
      <c r="G16" s="1573">
        <v>4000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84178</v>
      </c>
      <c r="E18" s="1635">
        <f t="shared" si="1"/>
        <v>0</v>
      </c>
      <c r="F18" s="1635">
        <f t="shared" si="1"/>
        <v>0</v>
      </c>
      <c r="G18" s="1635">
        <f t="shared" si="1"/>
        <v>4000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22415</v>
      </c>
      <c r="D65" s="1573">
        <v>4283</v>
      </c>
      <c r="E65" s="1573">
        <v>33</v>
      </c>
      <c r="F65" s="1574">
        <v>1929</v>
      </c>
      <c r="G65" s="1573">
        <v>592</v>
      </c>
      <c r="H65" s="1573"/>
      <c r="I65" s="1573">
        <v>10240</v>
      </c>
      <c r="J65" s="1574">
        <v>1059</v>
      </c>
      <c r="K65" s="1573">
        <v>654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22415</v>
      </c>
      <c r="D67" s="1594">
        <f t="shared" ref="D67:K67" si="2">SUM(D65:D66)</f>
        <v>4283</v>
      </c>
      <c r="E67" s="1594">
        <f t="shared" si="2"/>
        <v>33</v>
      </c>
      <c r="F67" s="1594">
        <f t="shared" si="2"/>
        <v>1929</v>
      </c>
      <c r="G67" s="1594">
        <f t="shared" si="2"/>
        <v>592</v>
      </c>
      <c r="H67" s="1594">
        <f t="shared" si="2"/>
        <v>0</v>
      </c>
      <c r="I67" s="1594">
        <f t="shared" si="2"/>
        <v>10240</v>
      </c>
      <c r="J67" s="1594">
        <f t="shared" si="2"/>
        <v>1059</v>
      </c>
      <c r="K67" s="1594">
        <f t="shared" si="2"/>
        <v>654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22416</v>
      </c>
      <c r="D69" s="1575"/>
      <c r="E69" s="1575"/>
      <c r="F69" s="1575"/>
      <c r="G69" s="1575"/>
      <c r="H69" s="1575"/>
      <c r="I69" s="1575"/>
      <c r="J69" s="1575"/>
      <c r="K69" s="1575"/>
    </row>
    <row r="70" spans="1:11" ht="12.75" customHeight="1" x14ac:dyDescent="0.2">
      <c r="A70" s="427" t="s">
        <v>990</v>
      </c>
      <c r="B70" s="429">
        <v>1612</v>
      </c>
      <c r="C70" s="1632">
        <v>1206</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946</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24568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12329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13495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25824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6169</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6169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v>216</v>
      </c>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975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55357</v>
      </c>
      <c r="D107" s="1573"/>
      <c r="E107" s="1573"/>
      <c r="F107" s="1573"/>
      <c r="G107" s="1573"/>
      <c r="H107" s="1573"/>
      <c r="I107" s="1573"/>
      <c r="J107" s="1574"/>
      <c r="K107" s="1573"/>
    </row>
    <row r="108" spans="1:12" ht="12.75" customHeight="1" thickBot="1" x14ac:dyDescent="0.25">
      <c r="A108" s="1406" t="s">
        <v>484</v>
      </c>
      <c r="B108" s="1408"/>
      <c r="C108" s="1633">
        <f>SUM(C95:C107)</f>
        <v>56332</v>
      </c>
      <c r="D108" s="1633">
        <f t="shared" ref="D108:K108" si="3">SUM(D95:D107)</f>
        <v>0</v>
      </c>
      <c r="E108" s="1633">
        <f t="shared" si="3"/>
        <v>0</v>
      </c>
      <c r="F108" s="1633">
        <f t="shared" si="3"/>
        <v>216</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1764531</v>
      </c>
      <c r="D109" s="1641">
        <f t="shared" si="4"/>
        <v>295820</v>
      </c>
      <c r="E109" s="1641">
        <f t="shared" si="4"/>
        <v>84260</v>
      </c>
      <c r="F109" s="1641">
        <f t="shared" si="4"/>
        <v>86381</v>
      </c>
      <c r="G109" s="1641">
        <f t="shared" si="4"/>
        <v>131468</v>
      </c>
      <c r="H109" s="1641">
        <f t="shared" si="4"/>
        <v>0</v>
      </c>
      <c r="I109" s="1641">
        <f t="shared" si="4"/>
        <v>31299</v>
      </c>
      <c r="J109" s="1641">
        <f t="shared" si="4"/>
        <v>196323</v>
      </c>
      <c r="K109" s="1629">
        <f t="shared" si="4"/>
        <v>654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1185966</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1185966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8407</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22218</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30625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1141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1695</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126033</v>
      </c>
      <c r="G152" s="1574"/>
      <c r="H152" s="1575"/>
      <c r="I152" s="1575"/>
      <c r="J152" s="1575"/>
      <c r="K152" s="1575"/>
    </row>
    <row r="153" spans="1:11" ht="12.75" customHeight="1" x14ac:dyDescent="0.2">
      <c r="A153" s="427" t="s">
        <v>1048</v>
      </c>
      <c r="B153" s="478">
        <v>3510</v>
      </c>
      <c r="C153" s="1632"/>
      <c r="D153" s="1573"/>
      <c r="E153" s="1640"/>
      <c r="F153" s="1573">
        <v>32396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158429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1500</v>
      </c>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34961</v>
      </c>
      <c r="D169" s="1658">
        <f t="shared" si="6"/>
        <v>50000</v>
      </c>
      <c r="E169" s="1658">
        <f t="shared" si="6"/>
        <v>0</v>
      </c>
      <c r="F169" s="1658">
        <f t="shared" si="6"/>
        <v>158429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1220927</v>
      </c>
      <c r="D170" s="1641">
        <f t="shared" si="7"/>
        <v>50000</v>
      </c>
      <c r="E170" s="1641">
        <f t="shared" si="7"/>
        <v>0</v>
      </c>
      <c r="F170" s="1641">
        <f t="shared" si="7"/>
        <v>158429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80342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v>77814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158156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83524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83524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19838</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19838</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3432</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98102</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101534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3146</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3146</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17801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16492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400491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400491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3385949</v>
      </c>
      <c r="D268" s="1641">
        <f t="shared" si="12"/>
        <v>345820</v>
      </c>
      <c r="E268" s="1641">
        <f t="shared" si="12"/>
        <v>84260</v>
      </c>
      <c r="F268" s="1641">
        <f t="shared" si="12"/>
        <v>244810</v>
      </c>
      <c r="G268" s="1641">
        <f t="shared" si="12"/>
        <v>131468</v>
      </c>
      <c r="H268" s="1641">
        <f t="shared" si="12"/>
        <v>0</v>
      </c>
      <c r="I268" s="1641">
        <f t="shared" si="12"/>
        <v>31299</v>
      </c>
      <c r="J268" s="1641">
        <f t="shared" si="12"/>
        <v>196323</v>
      </c>
      <c r="K268" s="1629">
        <f t="shared" si="12"/>
        <v>654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937843</v>
      </c>
      <c r="D5" s="1573">
        <v>190143</v>
      </c>
      <c r="E5" s="1573">
        <v>36022</v>
      </c>
      <c r="F5" s="1573">
        <v>46807</v>
      </c>
      <c r="G5" s="1573"/>
      <c r="H5" s="1573"/>
      <c r="I5" s="1574"/>
      <c r="J5" s="1574"/>
      <c r="K5" s="1672">
        <f>SUM(C5:J5)</f>
        <v>1210815</v>
      </c>
      <c r="L5" s="1573">
        <v>1259000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5437</v>
      </c>
      <c r="D7" s="1574">
        <v>1707</v>
      </c>
      <c r="E7" s="1574"/>
      <c r="F7" s="1574">
        <v>145</v>
      </c>
      <c r="G7" s="1574"/>
      <c r="H7" s="1574"/>
      <c r="I7" s="1574"/>
      <c r="J7" s="1574"/>
      <c r="K7" s="1672">
        <f t="shared" ref="K7:K32" si="0">SUM(C7:J7)</f>
        <v>7289</v>
      </c>
      <c r="L7" s="1573">
        <v>9150</v>
      </c>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58510</v>
      </c>
      <c r="D10" s="1573">
        <v>17415</v>
      </c>
      <c r="E10" s="1573"/>
      <c r="F10" s="1573">
        <v>25357</v>
      </c>
      <c r="G10" s="1573"/>
      <c r="H10" s="1573"/>
      <c r="I10" s="1574"/>
      <c r="J10" s="1574"/>
      <c r="K10" s="1672">
        <f t="shared" si="0"/>
        <v>101282</v>
      </c>
      <c r="L10" s="1573">
        <v>77550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20367</v>
      </c>
      <c r="D13" s="1573">
        <v>1973</v>
      </c>
      <c r="E13" s="1573"/>
      <c r="F13" s="1573">
        <v>7150</v>
      </c>
      <c r="G13" s="1573"/>
      <c r="H13" s="1573">
        <v>53</v>
      </c>
      <c r="I13" s="1574"/>
      <c r="J13" s="1574"/>
      <c r="K13" s="1672">
        <f t="shared" si="0"/>
        <v>29543</v>
      </c>
      <c r="L13" s="1573">
        <v>26451</v>
      </c>
    </row>
    <row r="14" spans="1:14" x14ac:dyDescent="0.2">
      <c r="A14" s="1274" t="s">
        <v>957</v>
      </c>
      <c r="B14" s="503">
        <v>1500</v>
      </c>
      <c r="C14" s="1573">
        <v>44089</v>
      </c>
      <c r="D14" s="1573">
        <v>1732</v>
      </c>
      <c r="E14" s="1573">
        <v>21253</v>
      </c>
      <c r="F14" s="1573">
        <v>37826</v>
      </c>
      <c r="G14" s="1573"/>
      <c r="H14" s="1573">
        <v>4707</v>
      </c>
      <c r="I14" s="1574"/>
      <c r="J14" s="1574"/>
      <c r="K14" s="1672">
        <f t="shared" si="0"/>
        <v>109607</v>
      </c>
      <c r="L14" s="1573">
        <v>128100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v>725</v>
      </c>
      <c r="G16" s="1573"/>
      <c r="H16" s="1573"/>
      <c r="I16" s="1574"/>
      <c r="J16" s="1574"/>
      <c r="K16" s="1672">
        <f t="shared" si="0"/>
        <v>725</v>
      </c>
      <c r="L16" s="1573">
        <v>1500</v>
      </c>
    </row>
    <row r="17" spans="1:12" x14ac:dyDescent="0.2">
      <c r="A17" s="1274" t="s">
        <v>719</v>
      </c>
      <c r="B17" s="503" t="s">
        <v>161</v>
      </c>
      <c r="C17" s="1574">
        <v>7913</v>
      </c>
      <c r="D17" s="1574">
        <v>1414</v>
      </c>
      <c r="E17" s="1574">
        <v>4357</v>
      </c>
      <c r="F17" s="1574"/>
      <c r="G17" s="1574"/>
      <c r="H17" s="1574"/>
      <c r="I17" s="1574"/>
      <c r="J17" s="1574"/>
      <c r="K17" s="1672">
        <f t="shared" si="0"/>
        <v>13684</v>
      </c>
      <c r="L17" s="1573">
        <v>13875</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1074159</v>
      </c>
      <c r="D33" s="1674">
        <f t="shared" ref="D33:L33" si="1">SUM(D5:D32)</f>
        <v>214384</v>
      </c>
      <c r="E33" s="1674">
        <f t="shared" si="1"/>
        <v>61632</v>
      </c>
      <c r="F33" s="1674">
        <f t="shared" si="1"/>
        <v>118010</v>
      </c>
      <c r="G33" s="1674">
        <f t="shared" si="1"/>
        <v>0</v>
      </c>
      <c r="H33" s="1674">
        <f t="shared" si="1"/>
        <v>4760</v>
      </c>
      <c r="I33" s="1674">
        <f t="shared" si="1"/>
        <v>0</v>
      </c>
      <c r="J33" s="1674">
        <f t="shared" si="1"/>
        <v>0</v>
      </c>
      <c r="K33" s="1674">
        <f t="shared" si="1"/>
        <v>1472945</v>
      </c>
      <c r="L33" s="1674">
        <f t="shared" si="1"/>
        <v>1515626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57287</v>
      </c>
      <c r="F36" s="1586"/>
      <c r="G36" s="1586"/>
      <c r="H36" s="1586"/>
      <c r="I36" s="1574"/>
      <c r="J36" s="1574"/>
      <c r="K36" s="1672">
        <f t="shared" ref="K36:K41" si="2">SUM(C36:J36)</f>
        <v>57287</v>
      </c>
      <c r="L36" s="1573">
        <v>29500</v>
      </c>
    </row>
    <row r="37" spans="1:14" x14ac:dyDescent="0.2">
      <c r="A37" s="1274" t="s">
        <v>1081</v>
      </c>
      <c r="B37" s="503">
        <v>2120</v>
      </c>
      <c r="C37" s="1573">
        <v>45264</v>
      </c>
      <c r="D37" s="1573">
        <v>9399</v>
      </c>
      <c r="E37" s="1573">
        <v>12567</v>
      </c>
      <c r="F37" s="1573"/>
      <c r="G37" s="1573"/>
      <c r="H37" s="1573"/>
      <c r="I37" s="1574"/>
      <c r="J37" s="1574"/>
      <c r="K37" s="1672">
        <f t="shared" si="2"/>
        <v>67230</v>
      </c>
      <c r="L37" s="1573">
        <v>53812</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45264</v>
      </c>
      <c r="D42" s="1674">
        <f t="shared" ref="D42:L42" si="3">SUM(D36:D41)</f>
        <v>9399</v>
      </c>
      <c r="E42" s="1674">
        <f t="shared" si="3"/>
        <v>69854</v>
      </c>
      <c r="F42" s="1674">
        <f t="shared" si="3"/>
        <v>0</v>
      </c>
      <c r="G42" s="1674">
        <f t="shared" si="3"/>
        <v>0</v>
      </c>
      <c r="H42" s="1674">
        <f t="shared" si="3"/>
        <v>0</v>
      </c>
      <c r="I42" s="1674">
        <f t="shared" si="3"/>
        <v>0</v>
      </c>
      <c r="J42" s="1674">
        <f t="shared" si="3"/>
        <v>0</v>
      </c>
      <c r="K42" s="1674">
        <f t="shared" si="3"/>
        <v>124517</v>
      </c>
      <c r="L42" s="1674">
        <f t="shared" si="3"/>
        <v>83312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979</v>
      </c>
      <c r="F44" s="1586"/>
      <c r="G44" s="1586"/>
      <c r="H44" s="1586"/>
      <c r="I44" s="1574"/>
      <c r="J44" s="1574"/>
      <c r="K44" s="1678">
        <f>SUM(C44:J44)</f>
        <v>979</v>
      </c>
      <c r="L44" s="1586">
        <v>9144</v>
      </c>
    </row>
    <row r="45" spans="1:14" x14ac:dyDescent="0.2">
      <c r="A45" s="1274" t="s">
        <v>810</v>
      </c>
      <c r="B45" s="503">
        <v>2220</v>
      </c>
      <c r="C45" s="1573">
        <v>39354</v>
      </c>
      <c r="D45" s="1573">
        <v>8640</v>
      </c>
      <c r="E45" s="1573"/>
      <c r="F45" s="1573">
        <v>13514</v>
      </c>
      <c r="G45" s="1573"/>
      <c r="H45" s="1573"/>
      <c r="I45" s="1574"/>
      <c r="J45" s="1574"/>
      <c r="K45" s="1678">
        <f>SUM(C45:J45)</f>
        <v>61508</v>
      </c>
      <c r="L45" s="1573">
        <v>73762</v>
      </c>
    </row>
    <row r="46" spans="1:14" x14ac:dyDescent="0.2">
      <c r="A46" s="1274" t="s">
        <v>811</v>
      </c>
      <c r="B46" s="503">
        <v>2230</v>
      </c>
      <c r="C46" s="1573"/>
      <c r="D46" s="1573"/>
      <c r="E46" s="1573">
        <v>7207</v>
      </c>
      <c r="F46" s="1573"/>
      <c r="G46" s="1573"/>
      <c r="H46" s="1573"/>
      <c r="I46" s="1574"/>
      <c r="J46" s="1574"/>
      <c r="K46" s="1678">
        <f>SUM(C46:J46)</f>
        <v>7207</v>
      </c>
      <c r="L46" s="1573">
        <v>6600</v>
      </c>
    </row>
    <row r="47" spans="1:14" ht="12.75" customHeight="1" thickBot="1" x14ac:dyDescent="0.25">
      <c r="A47" s="1380" t="s">
        <v>557</v>
      </c>
      <c r="B47" s="1381" t="s">
        <v>32</v>
      </c>
      <c r="C47" s="1674">
        <f>SUM(C44:C46)</f>
        <v>39354</v>
      </c>
      <c r="D47" s="1674">
        <f t="shared" ref="D47:K47" si="4">SUM(D44:D46)</f>
        <v>8640</v>
      </c>
      <c r="E47" s="1674">
        <f t="shared" si="4"/>
        <v>8186</v>
      </c>
      <c r="F47" s="1674">
        <f t="shared" si="4"/>
        <v>13514</v>
      </c>
      <c r="G47" s="1674">
        <f t="shared" si="4"/>
        <v>0</v>
      </c>
      <c r="H47" s="1674">
        <f t="shared" si="4"/>
        <v>0</v>
      </c>
      <c r="I47" s="1674">
        <f t="shared" si="4"/>
        <v>0</v>
      </c>
      <c r="J47" s="1674">
        <f t="shared" si="4"/>
        <v>0</v>
      </c>
      <c r="K47" s="1674">
        <f t="shared" si="4"/>
        <v>69694</v>
      </c>
      <c r="L47" s="1674">
        <f>SUM(L44:L46)</f>
        <v>89506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2096</v>
      </c>
      <c r="D49" s="1586"/>
      <c r="E49" s="1586">
        <v>19022</v>
      </c>
      <c r="F49" s="1586">
        <v>3159</v>
      </c>
      <c r="G49" s="1586"/>
      <c r="H49" s="1586">
        <v>13364</v>
      </c>
      <c r="I49" s="1574"/>
      <c r="J49" s="1574"/>
      <c r="K49" s="1678">
        <f>SUM(C49:J49)</f>
        <v>37641</v>
      </c>
      <c r="L49" s="1586">
        <v>37100</v>
      </c>
    </row>
    <row r="50" spans="1:14" x14ac:dyDescent="0.2">
      <c r="A50" s="1274" t="s">
        <v>813</v>
      </c>
      <c r="B50" s="503">
        <v>2320</v>
      </c>
      <c r="C50" s="1573">
        <v>72029</v>
      </c>
      <c r="D50" s="1573">
        <v>9058</v>
      </c>
      <c r="E50" s="1573">
        <v>1120</v>
      </c>
      <c r="F50" s="1573">
        <v>1385</v>
      </c>
      <c r="G50" s="1573"/>
      <c r="H50" s="1573">
        <v>2556</v>
      </c>
      <c r="I50" s="1574"/>
      <c r="J50" s="1574"/>
      <c r="K50" s="1678">
        <f>SUM(C50:J50)</f>
        <v>86148</v>
      </c>
      <c r="L50" s="1573">
        <v>84000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74125</v>
      </c>
      <c r="D53" s="1674">
        <f t="shared" ref="D53:L53" si="5">SUM(D49:D52)</f>
        <v>9058</v>
      </c>
      <c r="E53" s="1674">
        <f t="shared" si="5"/>
        <v>20142</v>
      </c>
      <c r="F53" s="1674">
        <f t="shared" si="5"/>
        <v>4544</v>
      </c>
      <c r="G53" s="1674">
        <f t="shared" si="5"/>
        <v>0</v>
      </c>
      <c r="H53" s="1674">
        <f t="shared" si="5"/>
        <v>15920</v>
      </c>
      <c r="I53" s="1674">
        <f t="shared" si="5"/>
        <v>0</v>
      </c>
      <c r="J53" s="1674">
        <f t="shared" si="5"/>
        <v>0</v>
      </c>
      <c r="K53" s="1674">
        <f t="shared" si="5"/>
        <v>123789</v>
      </c>
      <c r="L53" s="1674">
        <f t="shared" si="5"/>
        <v>121100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160599</v>
      </c>
      <c r="D55" s="1586">
        <v>24910</v>
      </c>
      <c r="E55" s="1586">
        <v>342</v>
      </c>
      <c r="F55" s="1586">
        <v>10699</v>
      </c>
      <c r="G55" s="1586"/>
      <c r="H55" s="1586">
        <v>11738</v>
      </c>
      <c r="I55" s="1574"/>
      <c r="J55" s="1574"/>
      <c r="K55" s="1678">
        <f>SUM(C55:J55)</f>
        <v>208288</v>
      </c>
      <c r="L55" s="1586">
        <v>191900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160599</v>
      </c>
      <c r="D57" s="1679">
        <f t="shared" ref="D57:K57" si="6">SUM(D55:D56)</f>
        <v>24910</v>
      </c>
      <c r="E57" s="1679">
        <f t="shared" si="6"/>
        <v>342</v>
      </c>
      <c r="F57" s="1679">
        <f t="shared" si="6"/>
        <v>10699</v>
      </c>
      <c r="G57" s="1679">
        <f t="shared" si="6"/>
        <v>0</v>
      </c>
      <c r="H57" s="1679">
        <f t="shared" si="6"/>
        <v>11738</v>
      </c>
      <c r="I57" s="1679">
        <f t="shared" si="6"/>
        <v>0</v>
      </c>
      <c r="J57" s="1679">
        <f t="shared" si="6"/>
        <v>0</v>
      </c>
      <c r="K57" s="1679">
        <f t="shared" si="6"/>
        <v>208288</v>
      </c>
      <c r="L57" s="1674">
        <f>SUM(L55:L56)</f>
        <v>191900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28541</v>
      </c>
      <c r="D60" s="1573">
        <v>3056</v>
      </c>
      <c r="E60" s="1573">
        <v>4108</v>
      </c>
      <c r="F60" s="1573">
        <v>839</v>
      </c>
      <c r="G60" s="1573">
        <v>1018</v>
      </c>
      <c r="H60" s="1573">
        <v>150</v>
      </c>
      <c r="I60" s="1574"/>
      <c r="J60" s="1574"/>
      <c r="K60" s="1678">
        <f t="shared" si="7"/>
        <v>37712</v>
      </c>
      <c r="L60" s="1573">
        <v>41131</v>
      </c>
      <c r="M60" s="501"/>
      <c r="N60" s="501"/>
    </row>
    <row r="61" spans="1:14" s="321" customFormat="1" x14ac:dyDescent="0.2">
      <c r="A61" s="1274" t="s">
        <v>195</v>
      </c>
      <c r="B61" s="503">
        <v>2540</v>
      </c>
      <c r="C61" s="1573">
        <v>183520</v>
      </c>
      <c r="D61" s="1573">
        <v>13189</v>
      </c>
      <c r="E61" s="1573">
        <v>227</v>
      </c>
      <c r="F61" s="1573"/>
      <c r="G61" s="1573"/>
      <c r="H61" s="1573"/>
      <c r="I61" s="1574"/>
      <c r="J61" s="1574"/>
      <c r="K61" s="1678">
        <f t="shared" si="7"/>
        <v>196936</v>
      </c>
      <c r="L61" s="1573">
        <v>202900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78343</v>
      </c>
      <c r="D63" s="1573">
        <v>5975</v>
      </c>
      <c r="E63" s="1573">
        <v>1092</v>
      </c>
      <c r="F63" s="1573">
        <v>101291</v>
      </c>
      <c r="G63" s="1573"/>
      <c r="H63" s="1573">
        <v>4175</v>
      </c>
      <c r="I63" s="1574"/>
      <c r="J63" s="1574"/>
      <c r="K63" s="1678">
        <f t="shared" si="7"/>
        <v>190876</v>
      </c>
      <c r="L63" s="1573">
        <v>179200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290404</v>
      </c>
      <c r="D65" s="1674">
        <f t="shared" ref="D65:L65" si="8">SUM(D59:D64)</f>
        <v>22220</v>
      </c>
      <c r="E65" s="1674">
        <f t="shared" si="8"/>
        <v>5427</v>
      </c>
      <c r="F65" s="1674">
        <f t="shared" si="8"/>
        <v>102130</v>
      </c>
      <c r="G65" s="1674">
        <f t="shared" si="8"/>
        <v>1018</v>
      </c>
      <c r="H65" s="1674">
        <f t="shared" si="8"/>
        <v>4325</v>
      </c>
      <c r="I65" s="1674">
        <f t="shared" si="8"/>
        <v>0</v>
      </c>
      <c r="J65" s="1674">
        <f t="shared" si="8"/>
        <v>0</v>
      </c>
      <c r="K65" s="1674">
        <f t="shared" si="8"/>
        <v>425524</v>
      </c>
      <c r="L65" s="1674">
        <f t="shared" si="8"/>
        <v>423231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45027</v>
      </c>
      <c r="D71" s="1573"/>
      <c r="E71" s="1573">
        <v>36372</v>
      </c>
      <c r="F71" s="1573">
        <v>57195</v>
      </c>
      <c r="G71" s="1573">
        <v>20299</v>
      </c>
      <c r="H71" s="1573"/>
      <c r="I71" s="1574"/>
      <c r="J71" s="1574"/>
      <c r="K71" s="1678">
        <f>SUM(C71:J71)</f>
        <v>158893</v>
      </c>
      <c r="L71" s="1573">
        <v>155810</v>
      </c>
      <c r="M71" s="501"/>
      <c r="N71" s="501"/>
    </row>
    <row r="72" spans="1:14" s="321" customFormat="1" ht="12.75" customHeight="1" thickBot="1" x14ac:dyDescent="0.25">
      <c r="A72" s="1380" t="s">
        <v>37</v>
      </c>
      <c r="B72" s="1383" t="s">
        <v>36</v>
      </c>
      <c r="C72" s="1674">
        <f>SUM(C67:C71)</f>
        <v>45027</v>
      </c>
      <c r="D72" s="1674">
        <f t="shared" ref="D72:K72" si="9">SUM(D67:D71)</f>
        <v>0</v>
      </c>
      <c r="E72" s="1674">
        <f t="shared" si="9"/>
        <v>36372</v>
      </c>
      <c r="F72" s="1674">
        <f t="shared" si="9"/>
        <v>57195</v>
      </c>
      <c r="G72" s="1674">
        <f t="shared" si="9"/>
        <v>20299</v>
      </c>
      <c r="H72" s="1674">
        <f t="shared" si="9"/>
        <v>0</v>
      </c>
      <c r="I72" s="1674">
        <f t="shared" si="9"/>
        <v>0</v>
      </c>
      <c r="J72" s="1674">
        <f t="shared" si="9"/>
        <v>0</v>
      </c>
      <c r="K72" s="1674">
        <f t="shared" si="9"/>
        <v>158893</v>
      </c>
      <c r="L72" s="1674">
        <f>SUM(L67:L71)</f>
        <v>155810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654773</v>
      </c>
      <c r="D74" s="1681">
        <f t="shared" ref="D74:K74" si="10">SUM(D42,D47,D53,D57,D65,D72,D73)</f>
        <v>74227</v>
      </c>
      <c r="E74" s="1681">
        <f t="shared" si="10"/>
        <v>140323</v>
      </c>
      <c r="F74" s="1681">
        <f t="shared" si="10"/>
        <v>188082</v>
      </c>
      <c r="G74" s="1681">
        <f t="shared" si="10"/>
        <v>21317</v>
      </c>
      <c r="H74" s="1681">
        <f t="shared" si="10"/>
        <v>31983</v>
      </c>
      <c r="I74" s="1681">
        <f t="shared" si="10"/>
        <v>0</v>
      </c>
      <c r="J74" s="1681">
        <f t="shared" si="10"/>
        <v>0</v>
      </c>
      <c r="K74" s="1681">
        <f t="shared" si="10"/>
        <v>1110705</v>
      </c>
      <c r="L74" s="1681">
        <f>SUM(L42,L47,L53,L57,L65,L72,L73)</f>
        <v>1064859</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392222</v>
      </c>
      <c r="I86" s="1582"/>
      <c r="J86" s="1582"/>
      <c r="K86" s="1681">
        <f t="shared" ref="K86:K98" si="12">H86</f>
        <v>392222</v>
      </c>
      <c r="L86" s="1626">
        <v>400000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38590</v>
      </c>
      <c r="I88" s="1582"/>
      <c r="J88" s="1582"/>
      <c r="K88" s="1681">
        <f t="shared" si="12"/>
        <v>38590</v>
      </c>
      <c r="L88" s="1626">
        <v>44000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430812</v>
      </c>
      <c r="I92" s="1582"/>
      <c r="J92" s="1582"/>
      <c r="K92" s="1681">
        <f t="shared" si="12"/>
        <v>430812</v>
      </c>
      <c r="L92" s="1674">
        <f>SUM(L85:L91)</f>
        <v>444000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430812</v>
      </c>
      <c r="I102" s="1582"/>
      <c r="J102" s="1582"/>
      <c r="K102" s="1681">
        <f>SUM(K84,K92,K100,K101)</f>
        <v>430812</v>
      </c>
      <c r="L102" s="1681">
        <f>SUM(L84,L92,L100,L101)</f>
        <v>444000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1728932</v>
      </c>
      <c r="D114" s="1674">
        <f t="shared" ref="D114:K114" si="13">SUM(D33,D74,D75,D102,D112,D113)</f>
        <v>288611</v>
      </c>
      <c r="E114" s="1674">
        <f t="shared" si="13"/>
        <v>201955</v>
      </c>
      <c r="F114" s="1674">
        <f t="shared" si="13"/>
        <v>306092</v>
      </c>
      <c r="G114" s="1674">
        <f t="shared" si="13"/>
        <v>21317</v>
      </c>
      <c r="H114" s="1674">
        <f>SUM(H33,H74,H75,H102,H112,H113)</f>
        <v>467555</v>
      </c>
      <c r="I114" s="1674">
        <f t="shared" si="13"/>
        <v>0</v>
      </c>
      <c r="J114" s="1674">
        <f t="shared" si="13"/>
        <v>0</v>
      </c>
      <c r="K114" s="1674">
        <f t="shared" si="13"/>
        <v>3014462</v>
      </c>
      <c r="L114" s="1674">
        <f>SUM(L33,L74,L75,L102,L112,L113)</f>
        <v>3024485</v>
      </c>
    </row>
    <row r="115" spans="1:14" ht="13.5" thickTop="1" x14ac:dyDescent="0.2">
      <c r="A115" s="2288" t="s">
        <v>989</v>
      </c>
      <c r="B115" s="2289"/>
      <c r="C115" s="1675"/>
      <c r="D115" s="1675"/>
      <c r="E115" s="1675"/>
      <c r="F115" s="1675"/>
      <c r="G115" s="1675"/>
      <c r="H115" s="1675"/>
      <c r="I115" s="1675"/>
      <c r="J115" s="1675"/>
      <c r="K115" s="1689">
        <f>'Revenues 9-14'!C268-'Expenditures 15-22'!K114</f>
        <v>371487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13072</v>
      </c>
      <c r="F124" s="1573">
        <v>229952</v>
      </c>
      <c r="G124" s="1573"/>
      <c r="H124" s="1573">
        <v>41</v>
      </c>
      <c r="I124" s="1574"/>
      <c r="J124" s="1574"/>
      <c r="K124" s="1674">
        <f>SUM(C124:J124)</f>
        <v>243065</v>
      </c>
      <c r="L124" s="1573">
        <v>238000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13072</v>
      </c>
      <c r="F127" s="1674">
        <f t="shared" si="14"/>
        <v>229952</v>
      </c>
      <c r="G127" s="1674">
        <f t="shared" si="14"/>
        <v>0</v>
      </c>
      <c r="H127" s="1674">
        <f t="shared" si="14"/>
        <v>41</v>
      </c>
      <c r="I127" s="1674">
        <f t="shared" si="14"/>
        <v>0</v>
      </c>
      <c r="J127" s="1674">
        <f t="shared" si="14"/>
        <v>0</v>
      </c>
      <c r="K127" s="1674">
        <f t="shared" si="14"/>
        <v>243065</v>
      </c>
      <c r="L127" s="1674">
        <f t="shared" si="14"/>
        <v>238000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13072</v>
      </c>
      <c r="F129" s="1681">
        <f t="shared" si="15"/>
        <v>229952</v>
      </c>
      <c r="G129" s="1681">
        <f t="shared" si="15"/>
        <v>0</v>
      </c>
      <c r="H129" s="1681">
        <f t="shared" si="15"/>
        <v>41</v>
      </c>
      <c r="I129" s="1681">
        <f t="shared" si="15"/>
        <v>0</v>
      </c>
      <c r="J129" s="1681">
        <f t="shared" si="15"/>
        <v>0</v>
      </c>
      <c r="K129" s="1681">
        <f t="shared" si="15"/>
        <v>243065</v>
      </c>
      <c r="L129" s="1681">
        <f t="shared" si="15"/>
        <v>238000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40</v>
      </c>
    </row>
    <row r="151" spans="1:14" ht="12.75" customHeight="1" thickTop="1" thickBot="1" x14ac:dyDescent="0.25">
      <c r="A151" s="2278" t="s">
        <v>616</v>
      </c>
      <c r="B151" s="2260"/>
      <c r="C151" s="1674">
        <f>SUM(C129,C130,C139,C149,C150)</f>
        <v>0</v>
      </c>
      <c r="D151" s="1674">
        <f t="shared" ref="D151:K151" si="16">SUM(D129,D130,D139,D149,D150)</f>
        <v>0</v>
      </c>
      <c r="E151" s="1674">
        <f t="shared" si="16"/>
        <v>13072</v>
      </c>
      <c r="F151" s="1674">
        <f t="shared" si="16"/>
        <v>229952</v>
      </c>
      <c r="G151" s="1674">
        <f t="shared" si="16"/>
        <v>0</v>
      </c>
      <c r="H151" s="1674">
        <f t="shared" si="16"/>
        <v>41</v>
      </c>
      <c r="I151" s="1674">
        <f t="shared" si="16"/>
        <v>0</v>
      </c>
      <c r="J151" s="1674">
        <f t="shared" si="16"/>
        <v>0</v>
      </c>
      <c r="K151" s="1674">
        <f t="shared" si="16"/>
        <v>243065</v>
      </c>
      <c r="L151" s="1674">
        <f>SUM(L129,L130,L139,L149,L150)</f>
        <v>238040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102755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1947</v>
      </c>
      <c r="I169" s="1673"/>
      <c r="J169" s="1673"/>
      <c r="K169" s="1672">
        <f>SUM(C169:H169)</f>
        <v>1947</v>
      </c>
      <c r="L169" s="1695">
        <v>84400</v>
      </c>
    </row>
    <row r="170" spans="1:14" ht="33.75" customHeight="1" x14ac:dyDescent="0.2">
      <c r="A170" s="543" t="s">
        <v>1651</v>
      </c>
      <c r="B170" s="545" t="s">
        <v>31</v>
      </c>
      <c r="C170" s="1673"/>
      <c r="D170" s="1673"/>
      <c r="E170" s="1673"/>
      <c r="F170" s="1673"/>
      <c r="G170" s="1673"/>
      <c r="H170" s="1646">
        <v>82000</v>
      </c>
      <c r="I170" s="1673"/>
      <c r="J170" s="1673"/>
      <c r="K170" s="1672">
        <f>SUM(C170:J170)</f>
        <v>82000</v>
      </c>
      <c r="L170" s="1646"/>
    </row>
    <row r="171" spans="1:14" ht="15.75" customHeight="1" x14ac:dyDescent="0.2">
      <c r="A171" s="507" t="s">
        <v>761</v>
      </c>
      <c r="B171" s="546" t="s">
        <v>84</v>
      </c>
      <c r="C171" s="1673"/>
      <c r="D171" s="1673"/>
      <c r="E171" s="1573"/>
      <c r="F171" s="1673"/>
      <c r="G171" s="1673"/>
      <c r="H171" s="1646">
        <v>304</v>
      </c>
      <c r="I171" s="1582"/>
      <c r="J171" s="1673"/>
      <c r="K171" s="1672">
        <f>SUM(C171:J171)</f>
        <v>304</v>
      </c>
      <c r="L171" s="1646">
        <v>300</v>
      </c>
    </row>
    <row r="172" spans="1:14" ht="12.75" customHeight="1" thickBot="1" x14ac:dyDescent="0.25">
      <c r="A172" s="1380" t="s">
        <v>633</v>
      </c>
      <c r="B172" s="1381" t="s">
        <v>489</v>
      </c>
      <c r="C172" s="1673"/>
      <c r="D172" s="1673"/>
      <c r="E172" s="1681">
        <f>SUM(E168,E169,E170,E171)</f>
        <v>0</v>
      </c>
      <c r="F172" s="1673"/>
      <c r="G172" s="1673"/>
      <c r="H172" s="1681">
        <f>SUM(H168,H169,H170,H171)</f>
        <v>84251</v>
      </c>
      <c r="I172" s="1684"/>
      <c r="J172" s="1673"/>
      <c r="K172" s="1681">
        <f>SUM(K168,K169,K170,K171)</f>
        <v>84251</v>
      </c>
      <c r="L172" s="1681">
        <f>SUM(L168,L169,L170,L171)</f>
        <v>84700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84251</v>
      </c>
      <c r="I174" s="1684"/>
      <c r="J174" s="1673"/>
      <c r="K174" s="1681">
        <f>SUM(K160,K172,K173)</f>
        <v>84251</v>
      </c>
      <c r="L174" s="1681">
        <f>SUM(L160,L172,L173)</f>
        <v>84700</v>
      </c>
    </row>
    <row r="175" spans="1:14" ht="13.5" thickTop="1" x14ac:dyDescent="0.2">
      <c r="A175" s="2288" t="s">
        <v>989</v>
      </c>
      <c r="B175" s="2289"/>
      <c r="C175" s="1673"/>
      <c r="D175" s="1673"/>
      <c r="E175" s="1673"/>
      <c r="F175" s="1673"/>
      <c r="G175" s="1673"/>
      <c r="H175" s="1675"/>
      <c r="I175" s="1673"/>
      <c r="J175" s="1673"/>
      <c r="K175" s="1689">
        <f>'Revenues 9-14'!E268-'Expenditures 15-22'!K174</f>
        <v>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73908</v>
      </c>
      <c r="D182" s="1573">
        <v>4525</v>
      </c>
      <c r="E182" s="1573">
        <v>99670</v>
      </c>
      <c r="F182" s="1573">
        <v>24238</v>
      </c>
      <c r="G182" s="1573"/>
      <c r="H182" s="1573">
        <v>1290</v>
      </c>
      <c r="I182" s="1574"/>
      <c r="J182" s="1574"/>
      <c r="K182" s="1672">
        <f>SUM(C182:J182)</f>
        <v>203631</v>
      </c>
      <c r="L182" s="1573">
        <v>188720</v>
      </c>
    </row>
    <row r="183" spans="1:14" ht="12.75" customHeight="1" thickBot="1" x14ac:dyDescent="0.25">
      <c r="A183" s="1279" t="s">
        <v>973</v>
      </c>
      <c r="B183" s="551">
        <v>2900</v>
      </c>
      <c r="C183" s="1649"/>
      <c r="D183" s="1649"/>
      <c r="E183" s="1649">
        <v>578</v>
      </c>
      <c r="F183" s="1649"/>
      <c r="G183" s="1649"/>
      <c r="H183" s="1649"/>
      <c r="I183" s="1628"/>
      <c r="J183" s="1628"/>
      <c r="K183" s="1681">
        <f>SUM(C183:J183)</f>
        <v>578</v>
      </c>
      <c r="L183" s="1649">
        <v>250</v>
      </c>
    </row>
    <row r="184" spans="1:14" ht="12.75" customHeight="1" thickTop="1" thickBot="1" x14ac:dyDescent="0.25">
      <c r="A184" s="1393" t="s">
        <v>806</v>
      </c>
      <c r="B184" s="1381" t="s">
        <v>565</v>
      </c>
      <c r="C184" s="1681">
        <f>SUM(C180,C182,C183)</f>
        <v>73908</v>
      </c>
      <c r="D184" s="1681">
        <f t="shared" ref="D184:J184" si="17">SUM(D180,D182,D183)</f>
        <v>4525</v>
      </c>
      <c r="E184" s="1681">
        <f t="shared" si="17"/>
        <v>100248</v>
      </c>
      <c r="F184" s="1681">
        <f t="shared" si="17"/>
        <v>24238</v>
      </c>
      <c r="G184" s="1681">
        <f t="shared" si="17"/>
        <v>0</v>
      </c>
      <c r="H184" s="1681">
        <f t="shared" si="17"/>
        <v>1290</v>
      </c>
      <c r="I184" s="1681">
        <f t="shared" si="17"/>
        <v>0</v>
      </c>
      <c r="J184" s="1681">
        <f t="shared" si="17"/>
        <v>0</v>
      </c>
      <c r="K184" s="1681">
        <f>SUM(K180,K182,K183)</f>
        <v>204209</v>
      </c>
      <c r="L184" s="1681">
        <f>SUM(L180, L182:L183)</f>
        <v>188970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v>42039</v>
      </c>
      <c r="F189" s="1673"/>
      <c r="G189" s="1673"/>
      <c r="H189" s="1573"/>
      <c r="I189" s="1582"/>
      <c r="J189" s="1673"/>
      <c r="K189" s="1672">
        <f t="shared" si="18"/>
        <v>42039</v>
      </c>
      <c r="L189" s="1573">
        <v>59000</v>
      </c>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42039</v>
      </c>
      <c r="F194" s="1673"/>
      <c r="G194" s="1673"/>
      <c r="H194" s="1674">
        <f>SUM(H188:H193)</f>
        <v>0</v>
      </c>
      <c r="I194" s="1582"/>
      <c r="J194" s="1673"/>
      <c r="K194" s="1674">
        <f>SUM(K188:K193)</f>
        <v>42039</v>
      </c>
      <c r="L194" s="1674">
        <f>SUM(L188:L193)</f>
        <v>59000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42039</v>
      </c>
      <c r="F196" s="1673"/>
      <c r="G196" s="1673"/>
      <c r="H196" s="1681">
        <f>SUM(H194,H195)</f>
        <v>0</v>
      </c>
      <c r="I196" s="1582"/>
      <c r="J196" s="1673"/>
      <c r="K196" s="1681">
        <f>SUM(K194,K195)</f>
        <v>42039</v>
      </c>
      <c r="L196" s="1681">
        <f>SUM(L194,L195)</f>
        <v>59000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73908</v>
      </c>
      <c r="D210" s="1674">
        <f>SUM(D184,D185)</f>
        <v>4525</v>
      </c>
      <c r="E210" s="1674">
        <f>SUM(E184,E185,E196)</f>
        <v>142287</v>
      </c>
      <c r="F210" s="1674">
        <f>SUM(F184,F185)</f>
        <v>24238</v>
      </c>
      <c r="G210" s="1674">
        <f>SUM(G184,G185)</f>
        <v>0</v>
      </c>
      <c r="H210" s="1674">
        <f>SUM(H184,H185,H196,H208,H209)</f>
        <v>1290</v>
      </c>
      <c r="I210" s="1674">
        <f>SUM(I184,I185)</f>
        <v>0</v>
      </c>
      <c r="J210" s="1674">
        <f>SUM(J184,J185)</f>
        <v>0</v>
      </c>
      <c r="K210" s="1672">
        <f>SUM(K184,K185,K196,K208,K209)</f>
        <v>246248</v>
      </c>
      <c r="L210" s="1674">
        <f>SUM(L184,L185,L196,L208,L209)</f>
        <v>247970</v>
      </c>
    </row>
    <row r="211" spans="1:14" ht="13.5" thickTop="1" x14ac:dyDescent="0.2">
      <c r="A211" s="2288" t="s">
        <v>989</v>
      </c>
      <c r="B211" s="2289"/>
      <c r="C211" s="1675"/>
      <c r="D211" s="1675"/>
      <c r="E211" s="1675"/>
      <c r="F211" s="1675"/>
      <c r="G211" s="1675"/>
      <c r="H211" s="1675"/>
      <c r="I211" s="1673"/>
      <c r="J211" s="1673"/>
      <c r="K211" s="1689">
        <f>'Revenues 9-14'!F268-'Expenditures 15-22'!K210</f>
        <v>-1438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16352</v>
      </c>
      <c r="E215" s="1673"/>
      <c r="F215" s="1673"/>
      <c r="G215" s="1673"/>
      <c r="H215" s="1673"/>
      <c r="I215" s="1673"/>
      <c r="J215" s="1673"/>
      <c r="K215" s="1672">
        <f>D215</f>
        <v>16352</v>
      </c>
      <c r="L215" s="1573">
        <v>17000</v>
      </c>
    </row>
    <row r="216" spans="1:14" x14ac:dyDescent="0.2">
      <c r="A216" s="1274" t="s">
        <v>162</v>
      </c>
      <c r="B216" s="503" t="s">
        <v>961</v>
      </c>
      <c r="C216" s="1673"/>
      <c r="D216" s="1574">
        <v>1038</v>
      </c>
      <c r="E216" s="1673"/>
      <c r="F216" s="1673"/>
      <c r="G216" s="1673"/>
      <c r="H216" s="1673"/>
      <c r="I216" s="1673"/>
      <c r="J216" s="1673"/>
      <c r="K216" s="1672">
        <f t="shared" ref="K216:K228" si="19">D216</f>
        <v>1038</v>
      </c>
      <c r="L216" s="1573">
        <v>5000</v>
      </c>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4021</v>
      </c>
      <c r="E219" s="1673"/>
      <c r="F219" s="1673"/>
      <c r="G219" s="1673"/>
      <c r="H219" s="1673"/>
      <c r="I219" s="1673"/>
      <c r="J219" s="1673"/>
      <c r="K219" s="1672">
        <f t="shared" si="19"/>
        <v>4021</v>
      </c>
      <c r="L219" s="1573">
        <v>3500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172</v>
      </c>
      <c r="E222" s="1673"/>
      <c r="F222" s="1673"/>
      <c r="G222" s="1673"/>
      <c r="H222" s="1673"/>
      <c r="I222" s="1673"/>
      <c r="J222" s="1673"/>
      <c r="K222" s="1672">
        <f t="shared" si="19"/>
        <v>172</v>
      </c>
      <c r="L222" s="1573">
        <v>200</v>
      </c>
    </row>
    <row r="223" spans="1:14" x14ac:dyDescent="0.2">
      <c r="A223" s="1274" t="s">
        <v>957</v>
      </c>
      <c r="B223" s="503">
        <v>1500</v>
      </c>
      <c r="C223" s="1673"/>
      <c r="D223" s="1573">
        <v>2214</v>
      </c>
      <c r="E223" s="1673"/>
      <c r="F223" s="1673"/>
      <c r="G223" s="1673"/>
      <c r="H223" s="1673"/>
      <c r="I223" s="1673"/>
      <c r="J223" s="1673"/>
      <c r="K223" s="1672">
        <f t="shared" si="19"/>
        <v>2214</v>
      </c>
      <c r="L223" s="1573">
        <v>2000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115</v>
      </c>
      <c r="E226" s="1673"/>
      <c r="F226" s="1673"/>
      <c r="G226" s="1673"/>
      <c r="H226" s="1673"/>
      <c r="I226" s="1673"/>
      <c r="J226" s="1673"/>
      <c r="K226" s="1672">
        <f t="shared" si="19"/>
        <v>115</v>
      </c>
      <c r="L226" s="1573">
        <v>200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23912</v>
      </c>
      <c r="E229" s="1673"/>
      <c r="F229" s="1673"/>
      <c r="G229" s="1673"/>
      <c r="H229" s="1673"/>
      <c r="I229" s="1673"/>
      <c r="J229" s="1673"/>
      <c r="K229" s="1674">
        <f>SUM(K215:K228)</f>
        <v>23912</v>
      </c>
      <c r="L229" s="1674">
        <f>SUM(L215:L228)</f>
        <v>27900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656</v>
      </c>
      <c r="E233" s="1673"/>
      <c r="F233" s="1673"/>
      <c r="G233" s="1673"/>
      <c r="H233" s="1673"/>
      <c r="I233" s="1673"/>
      <c r="J233" s="1673"/>
      <c r="K233" s="1672">
        <f t="shared" si="20"/>
        <v>656</v>
      </c>
      <c r="L233" s="1573">
        <v>1000</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656</v>
      </c>
      <c r="E238" s="1673"/>
      <c r="F238" s="1673"/>
      <c r="G238" s="1673"/>
      <c r="H238" s="1673"/>
      <c r="I238" s="1673"/>
      <c r="J238" s="1673"/>
      <c r="K238" s="1674">
        <f>SUM(K232:K237)</f>
        <v>656</v>
      </c>
      <c r="L238" s="1674">
        <f>SUM(L232:L237)</f>
        <v>1000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571</v>
      </c>
      <c r="E241" s="1673"/>
      <c r="F241" s="1673"/>
      <c r="G241" s="1673"/>
      <c r="H241" s="1673"/>
      <c r="I241" s="1673"/>
      <c r="J241" s="1673"/>
      <c r="K241" s="1678">
        <f>D241</f>
        <v>571</v>
      </c>
      <c r="L241" s="1573">
        <v>1000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571</v>
      </c>
      <c r="E243" s="1673"/>
      <c r="F243" s="1673"/>
      <c r="G243" s="1673"/>
      <c r="H243" s="1673"/>
      <c r="I243" s="1673"/>
      <c r="J243" s="1673"/>
      <c r="K243" s="1674">
        <f>SUM(K240:K242)</f>
        <v>571</v>
      </c>
      <c r="L243" s="1674">
        <f>SUM(L240:L242)</f>
        <v>1000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160</v>
      </c>
      <c r="E245" s="1673"/>
      <c r="F245" s="1673"/>
      <c r="G245" s="1673"/>
      <c r="H245" s="1673"/>
      <c r="I245" s="1673"/>
      <c r="J245" s="1673"/>
      <c r="K245" s="1678">
        <f>D245</f>
        <v>160</v>
      </c>
      <c r="L245" s="1586">
        <v>500</v>
      </c>
    </row>
    <row r="246" spans="1:12" x14ac:dyDescent="0.2">
      <c r="A246" s="1274" t="s">
        <v>813</v>
      </c>
      <c r="B246" s="503">
        <v>2320</v>
      </c>
      <c r="C246" s="1673"/>
      <c r="D246" s="1573">
        <v>1044</v>
      </c>
      <c r="E246" s="1673"/>
      <c r="F246" s="1673"/>
      <c r="G246" s="1673"/>
      <c r="H246" s="1673"/>
      <c r="I246" s="1673"/>
      <c r="J246" s="1673"/>
      <c r="K246" s="1678">
        <f t="shared" ref="K246:K256" si="21">D246</f>
        <v>1044</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9334</v>
      </c>
      <c r="E254" s="1673"/>
      <c r="F254" s="1673"/>
      <c r="G254" s="1673"/>
      <c r="H254" s="1673"/>
      <c r="I254" s="1673"/>
      <c r="J254" s="1673"/>
      <c r="K254" s="1678">
        <f t="shared" si="21"/>
        <v>9334</v>
      </c>
      <c r="L254" s="1573">
        <v>9400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10538</v>
      </c>
      <c r="E257" s="1673"/>
      <c r="F257" s="1673"/>
      <c r="G257" s="1673"/>
      <c r="H257" s="1673"/>
      <c r="I257" s="1673"/>
      <c r="J257" s="1673"/>
      <c r="K257" s="1674">
        <f>SUM(K245:K256)</f>
        <v>10538</v>
      </c>
      <c r="L257" s="1674">
        <f>SUM(L245:L256)</f>
        <v>9900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18203</v>
      </c>
      <c r="E259" s="1673"/>
      <c r="F259" s="1673"/>
      <c r="G259" s="1673"/>
      <c r="H259" s="1673"/>
      <c r="I259" s="1673"/>
      <c r="J259" s="1673"/>
      <c r="K259" s="1678">
        <f>D259</f>
        <v>18203</v>
      </c>
      <c r="L259" s="1586">
        <v>17700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18203</v>
      </c>
      <c r="E261" s="1673"/>
      <c r="F261" s="1673"/>
      <c r="G261" s="1673"/>
      <c r="H261" s="1673"/>
      <c r="I261" s="1673"/>
      <c r="J261" s="1673"/>
      <c r="K261" s="1674">
        <f>SUM(K259:K260)</f>
        <v>18203</v>
      </c>
      <c r="L261" s="1674">
        <f>SUM(L259:L260)</f>
        <v>17700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5426</v>
      </c>
      <c r="E264" s="1673"/>
      <c r="F264" s="1673"/>
      <c r="G264" s="1673"/>
      <c r="H264" s="1673"/>
      <c r="I264" s="1673"/>
      <c r="J264" s="1673"/>
      <c r="K264" s="1678">
        <f t="shared" ref="K264:K269" si="22">D264</f>
        <v>5426</v>
      </c>
      <c r="L264" s="1573">
        <v>5500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32470</v>
      </c>
      <c r="E266" s="1673"/>
      <c r="F266" s="1673"/>
      <c r="G266" s="1673"/>
      <c r="H266" s="1673"/>
      <c r="I266" s="1673"/>
      <c r="J266" s="1673"/>
      <c r="K266" s="1678">
        <f t="shared" si="22"/>
        <v>32470</v>
      </c>
      <c r="L266" s="1573">
        <v>26000</v>
      </c>
    </row>
    <row r="267" spans="1:14" x14ac:dyDescent="0.2">
      <c r="A267" s="1274" t="s">
        <v>947</v>
      </c>
      <c r="B267" s="503">
        <v>2550</v>
      </c>
      <c r="C267" s="1673"/>
      <c r="D267" s="1573">
        <v>10948</v>
      </c>
      <c r="E267" s="1673"/>
      <c r="F267" s="1673"/>
      <c r="G267" s="1673"/>
      <c r="H267" s="1673"/>
      <c r="I267" s="1673"/>
      <c r="J267" s="1673"/>
      <c r="K267" s="1678">
        <f t="shared" si="22"/>
        <v>10948</v>
      </c>
      <c r="L267" s="1573">
        <v>14000</v>
      </c>
    </row>
    <row r="268" spans="1:14" x14ac:dyDescent="0.2">
      <c r="A268" s="1274" t="s">
        <v>100</v>
      </c>
      <c r="B268" s="503">
        <v>2560</v>
      </c>
      <c r="C268" s="1673"/>
      <c r="D268" s="1573">
        <v>14785</v>
      </c>
      <c r="E268" s="1673"/>
      <c r="F268" s="1673"/>
      <c r="G268" s="1673"/>
      <c r="H268" s="1673"/>
      <c r="I268" s="1673"/>
      <c r="J268" s="1673"/>
      <c r="K268" s="1678">
        <f t="shared" si="22"/>
        <v>14785</v>
      </c>
      <c r="L268" s="1573">
        <v>14500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63629</v>
      </c>
      <c r="E270" s="1673"/>
      <c r="F270" s="1673"/>
      <c r="G270" s="1673"/>
      <c r="H270" s="1673"/>
      <c r="I270" s="1673"/>
      <c r="J270" s="1673"/>
      <c r="K270" s="1674">
        <f>SUM(K263:K269)</f>
        <v>63629</v>
      </c>
      <c r="L270" s="1674">
        <f>SUM(L263:L269)</f>
        <v>60000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v>8543</v>
      </c>
      <c r="E276" s="1673"/>
      <c r="F276" s="1673"/>
      <c r="G276" s="1673"/>
      <c r="H276" s="1673"/>
      <c r="I276" s="1673"/>
      <c r="J276" s="1673"/>
      <c r="K276" s="1678">
        <f>D276</f>
        <v>8543</v>
      </c>
      <c r="L276" s="1573">
        <v>9500</v>
      </c>
    </row>
    <row r="277" spans="1:12" ht="12.75" customHeight="1" thickBot="1" x14ac:dyDescent="0.25">
      <c r="A277" s="1393" t="s">
        <v>37</v>
      </c>
      <c r="B277" s="1381" t="s">
        <v>36</v>
      </c>
      <c r="C277" s="1673"/>
      <c r="D277" s="1674">
        <f>SUM(D272:D276)</f>
        <v>8543</v>
      </c>
      <c r="E277" s="1673"/>
      <c r="F277" s="1673"/>
      <c r="G277" s="1673"/>
      <c r="H277" s="1673"/>
      <c r="I277" s="1673"/>
      <c r="J277" s="1673"/>
      <c r="K277" s="1674">
        <f>SUM(K272:K276)</f>
        <v>8543</v>
      </c>
      <c r="L277" s="1674">
        <f>SUM(L272:L276)</f>
        <v>9500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102140</v>
      </c>
      <c r="E279" s="1673"/>
      <c r="F279" s="1673"/>
      <c r="G279" s="1673"/>
      <c r="H279" s="1673"/>
      <c r="I279" s="1673"/>
      <c r="J279" s="1673"/>
      <c r="K279" s="1681">
        <f>SUM(K238,K243,K257,K261,K270,K277,K278)</f>
        <v>102140</v>
      </c>
      <c r="L279" s="1681">
        <f>SUM(L238,L243,L257,L261,L270,L277,L278)</f>
        <v>99100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126052</v>
      </c>
      <c r="E295" s="1673"/>
      <c r="F295" s="1673"/>
      <c r="G295" s="1673"/>
      <c r="H295" s="1674">
        <f>H293</f>
        <v>0</v>
      </c>
      <c r="I295" s="1673"/>
      <c r="J295" s="1673"/>
      <c r="K295" s="1674">
        <f>SUM(K229,K279,K280,K285,K293,K294)</f>
        <v>126052</v>
      </c>
      <c r="L295" s="1674">
        <f>SUM(L229,L279,L280,L285,L293,L294)</f>
        <v>127000</v>
      </c>
    </row>
    <row r="296" spans="1:14" ht="13.5" thickTop="1" x14ac:dyDescent="0.2">
      <c r="A296" s="2288" t="s">
        <v>989</v>
      </c>
      <c r="B296" s="2289"/>
      <c r="C296" s="1673"/>
      <c r="D296" s="1675"/>
      <c r="E296" s="1673"/>
      <c r="F296" s="1673"/>
      <c r="G296" s="1673"/>
      <c r="H296" s="1707"/>
      <c r="I296" s="1673"/>
      <c r="J296" s="1673"/>
      <c r="K296" s="1689">
        <f>'Revenues 9-14'!G268-'Expenditures 15-22'!K295</f>
        <v>5416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19262</v>
      </c>
      <c r="F320" s="1574"/>
      <c r="G320" s="1574"/>
      <c r="H320" s="1574"/>
      <c r="I320" s="1574"/>
      <c r="J320" s="1574"/>
      <c r="K320" s="1672">
        <f t="shared" ref="K320:K327" si="24">SUM(C320:J320)</f>
        <v>19262</v>
      </c>
      <c r="L320" s="1574">
        <v>20000</v>
      </c>
      <c r="M320" s="539"/>
      <c r="N320" s="539"/>
    </row>
    <row r="321" spans="1:14" s="548" customFormat="1" x14ac:dyDescent="0.2">
      <c r="A321" s="1289" t="s">
        <v>297</v>
      </c>
      <c r="B321" s="567" t="s">
        <v>281</v>
      </c>
      <c r="C321" s="1574"/>
      <c r="D321" s="1574"/>
      <c r="E321" s="1574">
        <v>4193</v>
      </c>
      <c r="F321" s="1574"/>
      <c r="G321" s="1574"/>
      <c r="H321" s="1574"/>
      <c r="I321" s="1574"/>
      <c r="J321" s="1574"/>
      <c r="K321" s="1672">
        <f t="shared" si="24"/>
        <v>4193</v>
      </c>
      <c r="L321" s="1574">
        <v>4000</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98729</v>
      </c>
      <c r="D325" s="1574">
        <v>9432</v>
      </c>
      <c r="E325" s="1574">
        <v>23522</v>
      </c>
      <c r="F325" s="1574"/>
      <c r="G325" s="1574"/>
      <c r="H325" s="1574"/>
      <c r="I325" s="1574"/>
      <c r="J325" s="1574"/>
      <c r="K325" s="1672">
        <f t="shared" si="24"/>
        <v>131683</v>
      </c>
      <c r="L325" s="1574">
        <v>124733</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6788</v>
      </c>
      <c r="F327" s="1574"/>
      <c r="G327" s="1574"/>
      <c r="H327" s="1574"/>
      <c r="I327" s="1574"/>
      <c r="J327" s="1574"/>
      <c r="K327" s="1672">
        <f t="shared" si="24"/>
        <v>6788</v>
      </c>
      <c r="L327" s="1574">
        <v>10000</v>
      </c>
      <c r="M327" s="539"/>
      <c r="N327" s="539"/>
    </row>
    <row r="328" spans="1:14" s="548" customFormat="1" x14ac:dyDescent="0.2">
      <c r="A328" s="1290" t="s">
        <v>469</v>
      </c>
      <c r="B328" s="562" t="s">
        <v>1122</v>
      </c>
      <c r="C328" s="1579"/>
      <c r="D328" s="1579"/>
      <c r="E328" s="1579">
        <v>34476</v>
      </c>
      <c r="F328" s="1579"/>
      <c r="G328" s="1579"/>
      <c r="H328" s="1579"/>
      <c r="I328" s="1579"/>
      <c r="J328" s="1579"/>
      <c r="K328" s="1713">
        <f>SUM(C328:J328)</f>
        <v>34476</v>
      </c>
      <c r="L328" s="1579">
        <v>38000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98729</v>
      </c>
      <c r="D330" s="1674">
        <f t="shared" ref="D330:J330" si="25">SUM(D319:D329)</f>
        <v>9432</v>
      </c>
      <c r="E330" s="1674">
        <f t="shared" si="25"/>
        <v>88241</v>
      </c>
      <c r="F330" s="1674">
        <f t="shared" si="25"/>
        <v>0</v>
      </c>
      <c r="G330" s="1674">
        <f t="shared" si="25"/>
        <v>0</v>
      </c>
      <c r="H330" s="1674">
        <f t="shared" si="25"/>
        <v>0</v>
      </c>
      <c r="I330" s="1674">
        <f t="shared" si="25"/>
        <v>0</v>
      </c>
      <c r="J330" s="1674">
        <f t="shared" si="25"/>
        <v>0</v>
      </c>
      <c r="K330" s="1674">
        <f>SUM(K319:K329)</f>
        <v>196402</v>
      </c>
      <c r="L330" s="1674">
        <f>SUM(L319:L329)</f>
        <v>196733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500</v>
      </c>
    </row>
    <row r="342" spans="1:14" ht="12.75" customHeight="1" thickTop="1" thickBot="1" x14ac:dyDescent="0.25">
      <c r="A342" s="1389" t="s">
        <v>502</v>
      </c>
      <c r="B342" s="1402"/>
      <c r="C342" s="1674">
        <f>SUM(C330)</f>
        <v>98729</v>
      </c>
      <c r="D342" s="1674">
        <f>SUM(D330)</f>
        <v>9432</v>
      </c>
      <c r="E342" s="1674">
        <f>SUM(E330)</f>
        <v>88241</v>
      </c>
      <c r="F342" s="1674">
        <f>SUM(F330)</f>
        <v>0</v>
      </c>
      <c r="G342" s="1674">
        <f>SUM(G330)</f>
        <v>0</v>
      </c>
      <c r="H342" s="1674">
        <f>SUM(H330,H334,H340)</f>
        <v>0</v>
      </c>
      <c r="I342" s="1674">
        <f>SUM(I330)</f>
        <v>0</v>
      </c>
      <c r="J342" s="1674">
        <f>SUM(J330)</f>
        <v>0</v>
      </c>
      <c r="K342" s="1674">
        <f>SUM(K330,K334,K340)</f>
        <v>196402</v>
      </c>
      <c r="L342" s="1681">
        <f>SUM(L330,L334,L340,L341)</f>
        <v>197233</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-79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15400</v>
      </c>
      <c r="F348" s="1573"/>
      <c r="G348" s="1573"/>
      <c r="H348" s="1573"/>
      <c r="I348" s="1574"/>
      <c r="J348" s="1574"/>
      <c r="K348" s="1672">
        <f>SUM(C348:J348)</f>
        <v>15400</v>
      </c>
      <c r="L348" s="1573">
        <v>15500</v>
      </c>
    </row>
    <row r="349" spans="1:14" x14ac:dyDescent="0.2">
      <c r="A349" s="1274" t="s">
        <v>195</v>
      </c>
      <c r="B349" s="503">
        <v>2540</v>
      </c>
      <c r="C349" s="1573"/>
      <c r="D349" s="1573"/>
      <c r="E349" s="1573">
        <v>41928</v>
      </c>
      <c r="F349" s="1573"/>
      <c r="G349" s="1573"/>
      <c r="H349" s="1573"/>
      <c r="I349" s="1574"/>
      <c r="J349" s="1574"/>
      <c r="K349" s="1672">
        <f>SUM(C349:J349)</f>
        <v>41928</v>
      </c>
      <c r="L349" s="1573">
        <v>42000</v>
      </c>
    </row>
    <row r="350" spans="1:14" ht="12.75" customHeight="1" thickBot="1" x14ac:dyDescent="0.25">
      <c r="A350" s="1380" t="s">
        <v>714</v>
      </c>
      <c r="B350" s="1381" t="s">
        <v>35</v>
      </c>
      <c r="C350" s="1674">
        <f>SUM(C348:C349)</f>
        <v>0</v>
      </c>
      <c r="D350" s="1674">
        <f t="shared" ref="D350:L350" si="26">SUM(D348:D349)</f>
        <v>0</v>
      </c>
      <c r="E350" s="1674">
        <f t="shared" si="26"/>
        <v>57328</v>
      </c>
      <c r="F350" s="1674">
        <f t="shared" si="26"/>
        <v>0</v>
      </c>
      <c r="G350" s="1674">
        <f t="shared" si="26"/>
        <v>0</v>
      </c>
      <c r="H350" s="1674">
        <f t="shared" si="26"/>
        <v>0</v>
      </c>
      <c r="I350" s="1674">
        <f t="shared" si="26"/>
        <v>0</v>
      </c>
      <c r="J350" s="1674">
        <f t="shared" si="26"/>
        <v>0</v>
      </c>
      <c r="K350" s="1674">
        <f t="shared" si="26"/>
        <v>57328</v>
      </c>
      <c r="L350" s="1674">
        <f t="shared" si="26"/>
        <v>57500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57328</v>
      </c>
      <c r="F352" s="1674">
        <f t="shared" si="27"/>
        <v>0</v>
      </c>
      <c r="G352" s="1674">
        <f t="shared" si="27"/>
        <v>0</v>
      </c>
      <c r="H352" s="1674">
        <f t="shared" si="27"/>
        <v>0</v>
      </c>
      <c r="I352" s="1674">
        <f t="shared" si="27"/>
        <v>0</v>
      </c>
      <c r="J352" s="1674">
        <f t="shared" si="27"/>
        <v>0</v>
      </c>
      <c r="K352" s="1674">
        <f t="shared" si="27"/>
        <v>57328</v>
      </c>
      <c r="L352" s="1674">
        <f t="shared" si="27"/>
        <v>57500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57328</v>
      </c>
      <c r="F367" s="1674">
        <f t="shared" si="28"/>
        <v>0</v>
      </c>
      <c r="G367" s="1674">
        <f t="shared" si="28"/>
        <v>0</v>
      </c>
      <c r="H367" s="1674">
        <f t="shared" si="28"/>
        <v>0</v>
      </c>
      <c r="I367" s="1674">
        <f t="shared" si="28"/>
        <v>0</v>
      </c>
      <c r="J367" s="1674">
        <f t="shared" si="28"/>
        <v>0</v>
      </c>
      <c r="K367" s="1674">
        <f t="shared" si="28"/>
        <v>57328</v>
      </c>
      <c r="L367" s="1674">
        <f t="shared" si="28"/>
        <v>57500</v>
      </c>
    </row>
    <row r="368" spans="1:14" ht="13.5" thickTop="1" x14ac:dyDescent="0.2">
      <c r="A368" s="2288" t="s">
        <v>989</v>
      </c>
      <c r="B368" s="2289"/>
      <c r="C368" s="1694"/>
      <c r="D368" s="1694"/>
      <c r="E368" s="1677"/>
      <c r="F368" s="1677"/>
      <c r="G368" s="1677"/>
      <c r="H368" s="1677"/>
      <c r="I368" s="1677"/>
      <c r="J368" s="1676"/>
      <c r="K368" s="1672">
        <f>'Revenues 9-14'!K268-'Expenditures 15-22'!K367</f>
        <v>-56674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1612377</v>
      </c>
      <c r="C4" s="1722"/>
      <c r="D4" s="1723">
        <f>B4-C4</f>
        <v>1612377</v>
      </c>
      <c r="E4" s="1722">
        <v>1713826</v>
      </c>
      <c r="F4" s="1723">
        <f>E4-C4</f>
        <v>1713826</v>
      </c>
    </row>
    <row r="5" spans="1:8" ht="13.7" customHeight="1" x14ac:dyDescent="0.2">
      <c r="A5" s="579" t="s">
        <v>865</v>
      </c>
      <c r="B5" s="1724">
        <f>'Revenues 9-14'!D5</f>
        <v>207359</v>
      </c>
      <c r="C5" s="1664"/>
      <c r="D5" s="1725">
        <f t="shared" ref="D5:D18" si="0">B5-C5</f>
        <v>207359</v>
      </c>
      <c r="E5" s="1664">
        <v>222578</v>
      </c>
      <c r="F5" s="1725">
        <f>E5-C5</f>
        <v>222578</v>
      </c>
    </row>
    <row r="6" spans="1:8" ht="13.7" customHeight="1" x14ac:dyDescent="0.2">
      <c r="A6" s="579" t="s">
        <v>408</v>
      </c>
      <c r="B6" s="1724">
        <f>'Revenues 9-14'!E5</f>
        <v>84227</v>
      </c>
      <c r="C6" s="1664"/>
      <c r="D6" s="1725">
        <f t="shared" si="0"/>
        <v>84227</v>
      </c>
      <c r="E6" s="1664">
        <v>168345</v>
      </c>
      <c r="F6" s="1725">
        <f t="shared" ref="F6:F18" si="1">E6-C6</f>
        <v>168345</v>
      </c>
    </row>
    <row r="7" spans="1:8" ht="13.7" customHeight="1" x14ac:dyDescent="0.2">
      <c r="A7" s="579" t="s">
        <v>154</v>
      </c>
      <c r="B7" s="1724">
        <f>'Revenues 9-14'!F5</f>
        <v>84236</v>
      </c>
      <c r="C7" s="1664"/>
      <c r="D7" s="1725">
        <f t="shared" si="0"/>
        <v>84236</v>
      </c>
      <c r="E7" s="1664">
        <v>89030</v>
      </c>
      <c r="F7" s="1725">
        <f t="shared" si="1"/>
        <v>89030</v>
      </c>
    </row>
    <row r="8" spans="1:8" ht="13.7" customHeight="1" x14ac:dyDescent="0.2">
      <c r="A8" s="579" t="s">
        <v>1169</v>
      </c>
      <c r="B8" s="1724">
        <f>'Revenues 9-14'!G5</f>
        <v>63513</v>
      </c>
      <c r="C8" s="1664"/>
      <c r="D8" s="1725">
        <f t="shared" si="0"/>
        <v>63513</v>
      </c>
      <c r="E8" s="1664">
        <v>44517</v>
      </c>
      <c r="F8" s="1725">
        <f t="shared" si="1"/>
        <v>44517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21059</v>
      </c>
      <c r="C10" s="1664"/>
      <c r="D10" s="1725">
        <f t="shared" si="0"/>
        <v>21059</v>
      </c>
      <c r="E10" s="1664">
        <v>22259</v>
      </c>
      <c r="F10" s="1725">
        <f t="shared" si="1"/>
        <v>22259</v>
      </c>
    </row>
    <row r="11" spans="1:8" x14ac:dyDescent="0.2">
      <c r="A11" s="579" t="s">
        <v>406</v>
      </c>
      <c r="B11" s="1724">
        <f>'Revenues 9-14'!J5</f>
        <v>195264</v>
      </c>
      <c r="C11" s="1664"/>
      <c r="D11" s="1725">
        <f t="shared" si="0"/>
        <v>195264</v>
      </c>
      <c r="E11" s="1664">
        <v>193863</v>
      </c>
      <c r="F11" s="1725">
        <f t="shared" si="1"/>
        <v>193863</v>
      </c>
    </row>
    <row r="12" spans="1:8" ht="13.7" customHeight="1" x14ac:dyDescent="0.2">
      <c r="A12" s="579" t="s">
        <v>156</v>
      </c>
      <c r="B12" s="1724">
        <f>'Revenues 9-14'!K5</f>
        <v>0</v>
      </c>
      <c r="C12" s="1664"/>
      <c r="D12" s="1725">
        <f t="shared" si="0"/>
        <v>0</v>
      </c>
      <c r="E12" s="1664">
        <v>22259</v>
      </c>
      <c r="F12" s="1725">
        <f t="shared" si="1"/>
        <v>22259</v>
      </c>
    </row>
    <row r="13" spans="1:8" ht="13.7" customHeight="1" x14ac:dyDescent="0.2">
      <c r="A13" s="579" t="s">
        <v>930</v>
      </c>
      <c r="B13" s="1724">
        <f>SUM('Revenues 9-14'!C6:D6)</f>
        <v>0</v>
      </c>
      <c r="C13" s="1664"/>
      <c r="D13" s="1725">
        <f t="shared" si="0"/>
        <v>0</v>
      </c>
      <c r="E13" s="1664">
        <v>22259</v>
      </c>
      <c r="F13" s="1725">
        <f t="shared" si="1"/>
        <v>22259</v>
      </c>
    </row>
    <row r="14" spans="1:8" ht="13.7" customHeight="1" x14ac:dyDescent="0.2">
      <c r="A14" s="579" t="s">
        <v>407</v>
      </c>
      <c r="B14" s="1724">
        <f>SUM('Revenues 9-14'!C7:D7,'Revenues 9-14'!F7:H7)</f>
        <v>16846</v>
      </c>
      <c r="C14" s="1664"/>
      <c r="D14" s="1725">
        <f t="shared" si="0"/>
        <v>16846</v>
      </c>
      <c r="E14" s="1664">
        <v>17809</v>
      </c>
      <c r="F14" s="1725">
        <f t="shared" si="1"/>
        <v>17809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63363</v>
      </c>
      <c r="C16" s="1664"/>
      <c r="D16" s="1725">
        <f t="shared" si="0"/>
        <v>63363</v>
      </c>
      <c r="E16" s="1664">
        <v>44517</v>
      </c>
      <c r="F16" s="1725">
        <f t="shared" si="1"/>
        <v>44517</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2348244</v>
      </c>
      <c r="C19" s="1726">
        <f>SUM(C4:C18)</f>
        <v>0</v>
      </c>
      <c r="D19" s="1726">
        <f>SUM(D4:D18)</f>
        <v>2348244</v>
      </c>
      <c r="E19" s="1726">
        <f>SUM(E4:E18)</f>
        <v>2561262</v>
      </c>
      <c r="F19" s="1726">
        <f>SUM(F4:F18)</f>
        <v>2561262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1779</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2006</v>
      </c>
      <c r="B24" s="2293"/>
      <c r="C24" s="2301"/>
      <c r="D24" s="2302"/>
      <c r="E24" s="2302"/>
      <c r="F24" s="2303"/>
    </row>
    <row r="25" spans="1:11" ht="13.5" thickBot="1" x14ac:dyDescent="0.25">
      <c r="A25" s="2307" t="s">
        <v>2007</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42803</v>
      </c>
      <c r="C31" s="1734">
        <v>200000</v>
      </c>
      <c r="D31" s="1735">
        <v>4</v>
      </c>
      <c r="E31" s="1734">
        <v>82000</v>
      </c>
      <c r="F31" s="1734"/>
      <c r="G31" s="1734"/>
      <c r="H31" s="1734">
        <v>82000</v>
      </c>
      <c r="I31" s="1736">
        <f>((E31+F31)-H31)+G31</f>
        <v>0</v>
      </c>
      <c r="J31" s="1734"/>
      <c r="K31" s="596"/>
    </row>
    <row r="32" spans="1:11" ht="12" customHeight="1" x14ac:dyDescent="0.2">
      <c r="A32" s="594" t="s">
        <v>2069</v>
      </c>
      <c r="B32" s="595">
        <v>43840</v>
      </c>
      <c r="C32" s="1734">
        <v>625000</v>
      </c>
      <c r="D32" s="1735">
        <v>1</v>
      </c>
      <c r="E32" s="1734"/>
      <c r="F32" s="1734">
        <v>625000</v>
      </c>
      <c r="G32" s="1734"/>
      <c r="H32" s="1734"/>
      <c r="I32" s="1736">
        <f>((E32+F32)-H32)+G32</f>
        <v>625000</v>
      </c>
      <c r="J32" s="1734">
        <v>616845</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825000</v>
      </c>
      <c r="D49" s="1742"/>
      <c r="E49" s="1736">
        <f t="shared" ref="E49:J49" si="2">SUM(E31:E48)</f>
        <v>82000</v>
      </c>
      <c r="F49" s="1736">
        <f t="shared" si="2"/>
        <v>625000</v>
      </c>
      <c r="G49" s="1736">
        <f t="shared" si="2"/>
        <v>0</v>
      </c>
      <c r="H49" s="1736">
        <f t="shared" si="2"/>
        <v>82000</v>
      </c>
      <c r="I49" s="1736">
        <f t="shared" si="2"/>
        <v>625000</v>
      </c>
      <c r="J49" s="1736">
        <f t="shared" si="2"/>
        <v>616845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1789</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v>16846</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975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1695</v>
      </c>
    </row>
    <row r="10" spans="1:11" x14ac:dyDescent="0.2">
      <c r="A10" s="2350" t="s">
        <v>1790</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16846</v>
      </c>
      <c r="I12" s="1755">
        <f>SUM(I5:I11)</f>
        <v>0</v>
      </c>
      <c r="J12" s="1755">
        <f>SUM(J5:J11)</f>
        <v>0</v>
      </c>
      <c r="K12" s="1755">
        <f>SUM(K5:K11)</f>
        <v>2670</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v>16846</v>
      </c>
      <c r="I14" s="1749"/>
      <c r="J14" s="1751"/>
      <c r="K14" s="1745">
        <v>2670</v>
      </c>
    </row>
    <row r="15" spans="1:11" x14ac:dyDescent="0.2">
      <c r="A15" s="2321" t="s">
        <v>4</v>
      </c>
      <c r="B15" s="2321"/>
      <c r="C15" s="2321"/>
      <c r="D15" s="2321"/>
      <c r="E15" s="2351"/>
      <c r="F15" s="635" t="s">
        <v>850</v>
      </c>
      <c r="G15" s="1749"/>
      <c r="H15" s="1744"/>
      <c r="I15" s="1744"/>
      <c r="J15" s="1745"/>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1786</v>
      </c>
      <c r="B19" s="2358"/>
      <c r="C19" s="2358"/>
      <c r="D19" s="2358"/>
      <c r="E19" s="2359"/>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0</v>
      </c>
      <c r="K21" s="1761"/>
    </row>
    <row r="22" spans="1:15" ht="13.5" thickTop="1" x14ac:dyDescent="0.2">
      <c r="A22" s="2321" t="s">
        <v>1792</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16846</v>
      </c>
      <c r="I23" s="1755">
        <f>SUM(I14:I16,I21,I22)</f>
        <v>0</v>
      </c>
      <c r="J23" s="1755">
        <f>SUM(J14:J16,J21,J22)</f>
        <v>0</v>
      </c>
      <c r="K23" s="1755">
        <f>SUM(K14:K16,K21,K22)</f>
        <v>2670</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3EB8-044D-4AD8-97FE-4FA30D5524DF}">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8" sqref="L8:L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5362</v>
      </c>
      <c r="D5" s="1770"/>
      <c r="E5" s="1770"/>
      <c r="F5" s="1765">
        <f>(C5+D5)-E5</f>
        <v>5362</v>
      </c>
      <c r="G5" s="676"/>
      <c r="H5" s="680"/>
      <c r="I5" s="680"/>
      <c r="J5" s="680"/>
      <c r="K5" s="637"/>
      <c r="L5" s="1442">
        <f>F5-K5</f>
        <v>5362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3068594</v>
      </c>
      <c r="D8" s="1771"/>
      <c r="E8" s="1771"/>
      <c r="F8" s="1765">
        <f>(C8+D8)-E8</f>
        <v>3068594</v>
      </c>
      <c r="G8" s="681">
        <v>50</v>
      </c>
      <c r="H8" s="619">
        <v>1938856</v>
      </c>
      <c r="I8" s="619">
        <v>38315</v>
      </c>
      <c r="J8" s="619"/>
      <c r="K8" s="1442">
        <f>(H8+I8)-J8</f>
        <v>1977171</v>
      </c>
      <c r="L8" s="1442">
        <f>F8-K8</f>
        <v>1091423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2075104</v>
      </c>
      <c r="D10" s="1772"/>
      <c r="E10" s="1772"/>
      <c r="F10" s="1773">
        <f>(C10+D10)-E10</f>
        <v>2075104</v>
      </c>
      <c r="G10" s="681">
        <v>20</v>
      </c>
      <c r="H10" s="683">
        <v>1536323</v>
      </c>
      <c r="I10" s="683">
        <v>92666</v>
      </c>
      <c r="J10" s="683"/>
      <c r="K10" s="1442">
        <f>(H10+I10)-J10</f>
        <v>1628989</v>
      </c>
      <c r="L10" s="1442">
        <f>F10-K10</f>
        <v>446115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1838740</v>
      </c>
      <c r="D12" s="1771">
        <v>21317</v>
      </c>
      <c r="E12" s="1771"/>
      <c r="F12" s="1765">
        <f>(C12+D12)-E12</f>
        <v>1860057</v>
      </c>
      <c r="G12" s="681">
        <v>10</v>
      </c>
      <c r="H12" s="619">
        <v>1507773</v>
      </c>
      <c r="I12" s="619">
        <v>59795</v>
      </c>
      <c r="J12" s="619"/>
      <c r="K12" s="1442">
        <f>(H12+I12)-J12</f>
        <v>1567568</v>
      </c>
      <c r="L12" s="1442">
        <f>F12-K12</f>
        <v>292489</v>
      </c>
    </row>
    <row r="13" spans="1:14" ht="14.25" thickTop="1" thickBot="1" x14ac:dyDescent="0.25">
      <c r="A13" s="684" t="s">
        <v>1112</v>
      </c>
      <c r="B13" s="679">
        <v>252</v>
      </c>
      <c r="C13" s="1771">
        <v>513268</v>
      </c>
      <c r="D13" s="1771"/>
      <c r="E13" s="1771"/>
      <c r="F13" s="1765">
        <f>(C13+D13)-E13</f>
        <v>513268</v>
      </c>
      <c r="G13" s="681">
        <v>5</v>
      </c>
      <c r="H13" s="619">
        <v>369233</v>
      </c>
      <c r="I13" s="619">
        <v>82152</v>
      </c>
      <c r="J13" s="619"/>
      <c r="K13" s="1442">
        <f>(H13+I13)-J13</f>
        <v>451385</v>
      </c>
      <c r="L13" s="1442">
        <f>F13-K13</f>
        <v>61883</v>
      </c>
    </row>
    <row r="14" spans="1:14" ht="14.25" thickTop="1" thickBot="1" x14ac:dyDescent="0.25">
      <c r="A14" s="684" t="s">
        <v>1113</v>
      </c>
      <c r="B14" s="679">
        <v>253</v>
      </c>
      <c r="C14" s="1745">
        <v>124142</v>
      </c>
      <c r="D14" s="1745"/>
      <c r="E14" s="1745"/>
      <c r="F14" s="1765">
        <f>(C14+D14)-E14</f>
        <v>124142</v>
      </c>
      <c r="G14" s="681">
        <v>3</v>
      </c>
      <c r="H14" s="619">
        <v>124142</v>
      </c>
      <c r="I14" s="619"/>
      <c r="J14" s="619"/>
      <c r="K14" s="1442">
        <f>(H14+I14)-J14</f>
        <v>124142</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7625210</v>
      </c>
      <c r="D16" s="1765">
        <f>SUM(D3,D5:D6,D8:D10,D12:D15)</f>
        <v>21317</v>
      </c>
      <c r="E16" s="1765">
        <f>SUM(E3,E5:E6,E8:E10,E12:E15)</f>
        <v>0</v>
      </c>
      <c r="F16" s="1765">
        <f>SUM(F3,F5:F6,F8:F10,F12:F15)</f>
        <v>7646527</v>
      </c>
      <c r="G16" s="681"/>
      <c r="H16" s="1435">
        <f>SUM(H3,H6,H8:H10,H12:H14,)</f>
        <v>5476327</v>
      </c>
      <c r="I16" s="1435">
        <f>SUM(I3,I6,I8:I10,I12:I14,)</f>
        <v>272928</v>
      </c>
      <c r="J16" s="1435">
        <f>SUM(J3,J6,J8:J10,J12:J14,)</f>
        <v>0</v>
      </c>
      <c r="K16" s="1435">
        <f>(H16+I16)-J16</f>
        <v>5749255</v>
      </c>
      <c r="L16" s="1435">
        <f>F16-K16</f>
        <v>1897272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272928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3014462</v>
      </c>
      <c r="G8" s="701"/>
    </row>
    <row r="9" spans="1:9" x14ac:dyDescent="0.2">
      <c r="A9" s="705" t="s">
        <v>457</v>
      </c>
      <c r="B9" s="706" t="s">
        <v>1848</v>
      </c>
      <c r="C9" s="707"/>
      <c r="D9" s="705" t="s">
        <v>498</v>
      </c>
      <c r="E9" s="704"/>
      <c r="F9" s="1775">
        <f>'Expenditures 15-22'!K151</f>
        <v>243065</v>
      </c>
      <c r="G9" s="708"/>
    </row>
    <row r="10" spans="1:9" x14ac:dyDescent="0.2">
      <c r="A10" s="705" t="s">
        <v>496</v>
      </c>
      <c r="B10" s="706" t="s">
        <v>1849</v>
      </c>
      <c r="C10" s="707"/>
      <c r="D10" s="705" t="s">
        <v>498</v>
      </c>
      <c r="E10" s="704"/>
      <c r="F10" s="1775">
        <f>'Expenditures 15-22'!K174</f>
        <v>84251</v>
      </c>
      <c r="G10" s="708"/>
    </row>
    <row r="11" spans="1:9" x14ac:dyDescent="0.2">
      <c r="A11" s="705" t="s">
        <v>458</v>
      </c>
      <c r="B11" s="706" t="s">
        <v>1850</v>
      </c>
      <c r="C11" s="707"/>
      <c r="D11" s="705" t="s">
        <v>498</v>
      </c>
      <c r="E11" s="704"/>
      <c r="F11" s="1775">
        <f>'Expenditures 15-22'!K210</f>
        <v>246248</v>
      </c>
      <c r="G11" s="708"/>
    </row>
    <row r="12" spans="1:9" x14ac:dyDescent="0.2">
      <c r="A12" s="705" t="s">
        <v>459</v>
      </c>
      <c r="B12" s="706" t="s">
        <v>1851</v>
      </c>
      <c r="C12" s="707"/>
      <c r="D12" s="705" t="s">
        <v>498</v>
      </c>
      <c r="E12" s="704"/>
      <c r="F12" s="1775">
        <f>'Expenditures 15-22'!K295</f>
        <v>126052</v>
      </c>
      <c r="G12" s="708"/>
    </row>
    <row r="13" spans="1:9" x14ac:dyDescent="0.2">
      <c r="A13" s="705" t="s">
        <v>106</v>
      </c>
      <c r="B13" s="706" t="s">
        <v>1852</v>
      </c>
      <c r="C13" s="707"/>
      <c r="D13" s="705" t="s">
        <v>498</v>
      </c>
      <c r="E13" s="704"/>
      <c r="F13" s="1775">
        <f>'Expenditures 15-22'!K342</f>
        <v>196402</v>
      </c>
      <c r="G13" s="709"/>
    </row>
    <row r="14" spans="1:9" ht="12" customHeight="1" thickBot="1" x14ac:dyDescent="0.25">
      <c r="A14" s="1443"/>
      <c r="B14" s="1444"/>
      <c r="C14" s="1445"/>
      <c r="D14" s="1446" t="s">
        <v>498</v>
      </c>
      <c r="E14" s="1447" t="s">
        <v>952</v>
      </c>
      <c r="F14" s="1776">
        <f>SUM(F8:F13)</f>
        <v>3910480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7289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430812</v>
      </c>
      <c r="G53" s="701"/>
    </row>
    <row r="54" spans="1:7" x14ac:dyDescent="0.2">
      <c r="A54" s="705" t="s">
        <v>456</v>
      </c>
      <c r="B54" s="705" t="s">
        <v>1459</v>
      </c>
      <c r="C54" s="724" t="s">
        <v>975</v>
      </c>
      <c r="D54" s="720" t="s">
        <v>1086</v>
      </c>
      <c r="E54" s="704"/>
      <c r="F54" s="1782">
        <f>'Expenditures 15-22'!G114</f>
        <v>21317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82000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42039</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1038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584495</v>
      </c>
      <c r="G77" s="701"/>
    </row>
    <row r="78" spans="1:9" s="728" customFormat="1" ht="12" customHeight="1" thickTop="1" thickBot="1" x14ac:dyDescent="0.25">
      <c r="A78" s="1450"/>
      <c r="B78" s="1448"/>
      <c r="C78" s="1445"/>
      <c r="D78" s="1449" t="s">
        <v>2012</v>
      </c>
      <c r="E78" s="1447"/>
      <c r="F78" s="1788">
        <f>(F14-F77)</f>
        <v>3325985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259.39999999999998</v>
      </c>
      <c r="G79" s="733"/>
      <c r="H79" s="705"/>
      <c r="I79" s="705"/>
    </row>
    <row r="80" spans="1:9" s="728" customFormat="1" ht="12" customHeight="1" thickBot="1" x14ac:dyDescent="0.25">
      <c r="A80" s="1452"/>
      <c r="B80" s="1448"/>
      <c r="C80" s="1445"/>
      <c r="D80" s="1449" t="s">
        <v>2013</v>
      </c>
      <c r="E80" s="1447" t="s">
        <v>952</v>
      </c>
      <c r="F80" s="1790">
        <f>IF(F79&gt;0,F78/F79," Complete Line 79")</f>
        <v>12821.838858905166</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24568</v>
      </c>
      <c r="G95" s="745"/>
    </row>
    <row r="96" spans="1:7" x14ac:dyDescent="0.2">
      <c r="A96" s="741" t="s">
        <v>139</v>
      </c>
      <c r="B96" s="741" t="s">
        <v>174</v>
      </c>
      <c r="C96" s="743">
        <v>1700</v>
      </c>
      <c r="D96" s="751" t="str">
        <f>'Revenues 9-14'!A82</f>
        <v>Total District/School Activity Income</v>
      </c>
      <c r="E96" s="739"/>
      <c r="F96" s="1793">
        <f>SUM('Revenues 9-14'!C82,'Revenues 9-14'!D82)</f>
        <v>25824</v>
      </c>
      <c r="G96" s="745"/>
    </row>
    <row r="97" spans="1:7" x14ac:dyDescent="0.2">
      <c r="A97" s="741" t="s">
        <v>456</v>
      </c>
      <c r="B97" s="741" t="s">
        <v>175</v>
      </c>
      <c r="C97" s="743">
        <f>'Revenues 9-14'!B84</f>
        <v>1811</v>
      </c>
      <c r="D97" s="744" t="str">
        <f>'Revenues 9-14'!A84</f>
        <v>Rentals - Regular Textbooks</v>
      </c>
      <c r="E97" s="739"/>
      <c r="F97" s="1793">
        <f>'Revenues 9-14'!C84</f>
        <v>6169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30625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1141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1695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158429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1500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158156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83524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19838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98102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3146</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17801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16492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48408</v>
      </c>
      <c r="G172" s="760"/>
    </row>
    <row r="173" spans="1:7" x14ac:dyDescent="0.2">
      <c r="A173" s="1529" t="s">
        <v>659</v>
      </c>
      <c r="B173" s="1530" t="s">
        <v>1885</v>
      </c>
      <c r="C173" s="1531">
        <v>3300</v>
      </c>
      <c r="D173" s="1532" t="s">
        <v>1888</v>
      </c>
      <c r="E173" s="739"/>
      <c r="F173" s="1794">
        <v>22</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745440</v>
      </c>
    </row>
    <row r="176" spans="1:7" ht="12" customHeight="1" x14ac:dyDescent="0.2">
      <c r="A176" s="1443"/>
      <c r="B176" s="1453"/>
      <c r="C176" s="1454"/>
      <c r="D176" s="1455" t="s">
        <v>2014</v>
      </c>
      <c r="E176" s="1456"/>
      <c r="F176" s="1793">
        <f>'PCTC-OEPP 27-28'!F78-F175</f>
        <v>2580545</v>
      </c>
    </row>
    <row r="177" spans="1:9" ht="12" customHeight="1" x14ac:dyDescent="0.2">
      <c r="A177" s="1443"/>
      <c r="B177" s="1453"/>
      <c r="C177" s="1454"/>
      <c r="D177" s="1455" t="s">
        <v>1794</v>
      </c>
      <c r="E177" s="1456"/>
      <c r="F177" s="1793">
        <f>'Cap Outlay Deprec 26'!I18</f>
        <v>272928</v>
      </c>
    </row>
    <row r="178" spans="1:9" ht="12" customHeight="1" x14ac:dyDescent="0.2">
      <c r="A178" s="1443"/>
      <c r="B178" s="1453"/>
      <c r="C178" s="1454"/>
      <c r="D178" s="1455" t="s">
        <v>2015</v>
      </c>
      <c r="E178" s="1456"/>
      <c r="F178" s="1793">
        <f>F176+F177</f>
        <v>2853473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259.39999999999998</v>
      </c>
      <c r="G179" s="763"/>
      <c r="I179" s="701"/>
    </row>
    <row r="180" spans="1:9" ht="12" customHeight="1" thickBot="1" x14ac:dyDescent="0.25">
      <c r="A180" s="1443"/>
      <c r="B180" s="1457"/>
      <c r="C180" s="1454"/>
      <c r="D180" s="1455" t="s">
        <v>2017</v>
      </c>
      <c r="E180" s="1456" t="s">
        <v>1528</v>
      </c>
      <c r="F180" s="1798">
        <f>F178/F179</f>
        <v>11000.281418658444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1496857</v>
      </c>
      <c r="F19" s="1802"/>
      <c r="G19" s="1804">
        <f>'Expenditures 15-22'!K33-SUM('Expenditures 15-22'!G33,'Expenditures 15-22'!I33)+'Expenditures 15-22'!D229</f>
        <v>1496857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125173</v>
      </c>
      <c r="F21" s="1805"/>
      <c r="G21" s="1808">
        <f>'Expenditures 15-22'!K42-SUM('Expenditures 15-22'!G42,'Expenditures 15-22'!I42)+'Expenditures 15-22'!K120-SUM('Expenditures 15-22'!G120,'Expenditures 15-22'!I120)+'Expenditures 15-22'!K180-SUM('Expenditures 15-22'!G180,'Expenditures 15-22'!I180)+'Expenditures 15-22'!D238</f>
        <v>125173</v>
      </c>
      <c r="H21" s="817"/>
      <c r="I21" s="157"/>
    </row>
    <row r="22" spans="1:9" s="542" customFormat="1" ht="12" customHeight="1" x14ac:dyDescent="0.2">
      <c r="A22" s="824" t="s">
        <v>560</v>
      </c>
      <c r="B22" s="825"/>
      <c r="C22" s="823">
        <v>2200</v>
      </c>
      <c r="D22" s="1805"/>
      <c r="E22" s="1807">
        <f>'Expenditures 15-22'!K47-SUM('Expenditures 15-22'!G47,'Expenditures 15-22'!I47)+'Expenditures 15-22'!D243</f>
        <v>70265</v>
      </c>
      <c r="F22" s="1805"/>
      <c r="G22" s="1808">
        <f>'Expenditures 15-22'!K47-SUM('Expenditures 15-22'!G47,'Expenditures 15-22'!I47)+'Expenditures 15-22'!D243</f>
        <v>70265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330729</v>
      </c>
      <c r="F23" s="1805"/>
      <c r="G23" s="1807">
        <f>'Expenditures 15-22'!K53-SUM('Expenditures 15-22'!G53,'Expenditures 15-22'!I53)+'Expenditures 15-22'!D257+'Expenditures 15-22'!K330-SUM('Expenditures 15-22'!G330,'Expenditures 15-22'!I330)</f>
        <v>330729</v>
      </c>
      <c r="H23" s="817"/>
      <c r="I23" s="157"/>
    </row>
    <row r="24" spans="1:9" s="542" customFormat="1" ht="12" customHeight="1" x14ac:dyDescent="0.2">
      <c r="A24" s="824" t="s">
        <v>562</v>
      </c>
      <c r="B24" s="825"/>
      <c r="C24" s="823">
        <v>2400</v>
      </c>
      <c r="D24" s="1805"/>
      <c r="E24" s="1807">
        <f>'Expenditures 15-22'!K57-SUM('Expenditures 15-22'!G57,'Expenditures 15-22'!I57)+'Expenditures 15-22'!D261</f>
        <v>226491</v>
      </c>
      <c r="F24" s="1805"/>
      <c r="G24" s="1808">
        <f>'Expenditures 15-22'!K57-SUM('Expenditures 15-22'!G57,'Expenditures 15-22'!I57)+'Expenditures 15-22'!D261</f>
        <v>226491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42120</v>
      </c>
      <c r="E27" s="1807">
        <f>E8</f>
        <v>0</v>
      </c>
      <c r="F27" s="1807">
        <f>'Expenditures 15-22'!K60-SUM('Expenditures 15-22'!G60,'Expenditures 15-22'!I60)+'Expenditures 15-22'!D264-E8</f>
        <v>42120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472471</v>
      </c>
      <c r="F28" s="1809">
        <f>'Expenditures 15-22'!K61-SUM('Expenditures 15-22'!G61,'Expenditures 15-22'!I61)+'Expenditures 15-22'!K124-SUM('Expenditures 15-22'!G124,'Expenditures 15-22'!I124)+'Expenditures 15-22'!D266-E9</f>
        <v>472471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214579</v>
      </c>
      <c r="F29" s="1805"/>
      <c r="G29" s="1808">
        <f>'Expenditures 15-22'!K62-SUM('Expenditures 15-22'!G62,'Expenditures 15-22'!I62)+'Expenditures 15-22'!K125-SUM('Expenditures 15-22'!G125,'Expenditures 15-22'!I125)+'Expenditures 15-22'!K182-SUM('Expenditures 15-22'!G182,'Expenditures 15-22'!I182)+'Expenditures 15-22'!D267</f>
        <v>214579</v>
      </c>
      <c r="H29" s="815"/>
    </row>
    <row r="30" spans="1:9" ht="12" customHeight="1" x14ac:dyDescent="0.2">
      <c r="A30" s="824" t="s">
        <v>100</v>
      </c>
      <c r="B30" s="827"/>
      <c r="C30" s="823">
        <v>2560</v>
      </c>
      <c r="D30" s="1805"/>
      <c r="E30" s="1807">
        <f>'Expenditures 15-22'!K63-SUM('Expenditures 15-22'!G63,'Expenditures 15-22'!I63)+'Expenditures 15-22'!D268-E10</f>
        <v>205661</v>
      </c>
      <c r="F30" s="1805"/>
      <c r="G30" s="1807">
        <f>'Expenditures 15-22'!K63-SUM('Expenditures 15-22'!G63,'Expenditures 15-22'!I63)+'Expenditures 15-22'!D268-E10</f>
        <v>205661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147137</v>
      </c>
      <c r="E37" s="1807">
        <f>E14</f>
        <v>0</v>
      </c>
      <c r="F37" s="1807">
        <f>'Expenditures 15-22'!K71-SUM('Expenditures 15-22'!G71,'Expenditures 15-22'!I71)+'Expenditures 15-22'!D276-E14</f>
        <v>147137</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578</v>
      </c>
      <c r="F38" s="1805"/>
      <c r="G38" s="1807">
        <f>'Expenditures 15-22'!K73-SUM('Expenditures 15-22'!G73,'Expenditures 15-22'!I73)+'Expenditures 15-22'!K128-SUM('Expenditures 15-22'!G128,'Expenditures 15-22'!I128)+'Expenditures 15-22'!K183-SUM('Expenditures 15-22'!G183,'Expenditures 15-22'!I183)+'Expenditures 15-22'!D278</f>
        <v>578</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189257</v>
      </c>
      <c r="E41" s="1809">
        <f>SUM(E19:E40)</f>
        <v>3142804</v>
      </c>
      <c r="F41" s="1809">
        <f>SUM(F19:F39)</f>
        <v>661728</v>
      </c>
      <c r="G41" s="1809">
        <f>SUM(G19:G40)</f>
        <v>2670333</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189257</v>
      </c>
      <c r="F43" s="1458" t="s">
        <v>470</v>
      </c>
      <c r="G43" s="1810">
        <f>F41</f>
        <v>661728</v>
      </c>
    </row>
    <row r="44" spans="1:7" ht="12" customHeight="1" x14ac:dyDescent="0.2">
      <c r="A44" s="817"/>
      <c r="B44" s="157"/>
      <c r="C44" s="831"/>
      <c r="D44" s="1458" t="s">
        <v>471</v>
      </c>
      <c r="E44" s="1810">
        <f>E41</f>
        <v>3142804</v>
      </c>
      <c r="F44" s="1458" t="s">
        <v>471</v>
      </c>
      <c r="G44" s="1810">
        <f>G41</f>
        <v>2670333</v>
      </c>
    </row>
    <row r="45" spans="1:7" ht="12" customHeight="1" x14ac:dyDescent="0.2">
      <c r="A45" s="817"/>
      <c r="B45" s="157"/>
      <c r="C45" s="157"/>
      <c r="D45" s="1459" t="s">
        <v>999</v>
      </c>
      <c r="E45" s="1811">
        <f>(E43/E44)</f>
        <v>6.0219154614796211E-2</v>
      </c>
      <c r="F45" s="1459" t="s">
        <v>999</v>
      </c>
      <c r="G45" s="1811">
        <f>(G43/G44)</f>
        <v>0.24780729594398901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 xml:space="preserve"> Donovan CUSD 3</v>
      </c>
      <c r="D6" s="2406"/>
      <c r="E6" s="2406"/>
      <c r="F6" s="1482"/>
      <c r="G6" s="1507"/>
      <c r="L6" s="1507"/>
      <c r="M6" s="1855"/>
      <c r="N6" s="1855"/>
      <c r="O6" s="1855"/>
    </row>
    <row r="7" spans="1:15" ht="11.25" customHeight="1" thickBot="1" x14ac:dyDescent="0.3">
      <c r="A7" s="1480"/>
      <c r="B7" s="1481"/>
      <c r="C7" s="2407">
        <f>COVER!A13</f>
        <v>32038003026</v>
      </c>
      <c r="D7" s="2407"/>
      <c r="E7" s="240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2" t="str">
        <f>COVER!A17</f>
        <v xml:space="preserve"> Donovan CUSD 3</v>
      </c>
      <c r="K6" s="2422"/>
      <c r="L6" s="2423"/>
      <c r="M6" s="838"/>
      <c r="N6" s="1999"/>
    </row>
    <row r="7" spans="1:14" x14ac:dyDescent="0.2">
      <c r="A7" s="2424" t="s">
        <v>864</v>
      </c>
      <c r="B7" s="2425"/>
      <c r="C7" s="2425"/>
      <c r="D7" s="2425"/>
      <c r="E7" s="2426"/>
      <c r="F7" s="839"/>
      <c r="G7" s="838"/>
      <c r="H7" s="838"/>
      <c r="I7" s="1925" t="s">
        <v>369</v>
      </c>
      <c r="J7" s="2427">
        <f>COVER!A13</f>
        <v>32038003026</v>
      </c>
      <c r="K7" s="2427"/>
      <c r="L7" s="2427"/>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8" t="s">
        <v>478</v>
      </c>
      <c r="B11" s="2429"/>
      <c r="C11" s="243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86148</v>
      </c>
      <c r="F12" s="1943"/>
      <c r="G12" s="1969">
        <f>G68</f>
        <v>28150</v>
      </c>
      <c r="H12" s="1945">
        <f t="shared" ref="H12:H18" si="0">SUM(E12:G12)</f>
        <v>114298</v>
      </c>
      <c r="I12" s="1944">
        <v>51850</v>
      </c>
      <c r="J12" s="1943"/>
      <c r="K12" s="1944"/>
      <c r="L12" s="1945">
        <f t="shared" ref="L12:L18" si="1">SUM(I12:K12)</f>
        <v>51850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1" t="s">
        <v>7</v>
      </c>
      <c r="C18" s="2432"/>
      <c r="D18" s="243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86148</v>
      </c>
      <c r="F19" s="1951">
        <f t="shared" si="2"/>
        <v>0</v>
      </c>
      <c r="G19" s="1951">
        <f t="shared" ref="G19" si="3">SUM(G12:G17)-G18</f>
        <v>28150</v>
      </c>
      <c r="H19" s="1951">
        <f t="shared" si="2"/>
        <v>114298</v>
      </c>
      <c r="I19" s="1951">
        <f t="shared" si="2"/>
        <v>51850</v>
      </c>
      <c r="J19" s="1951">
        <f t="shared" si="2"/>
        <v>0</v>
      </c>
      <c r="K19" s="1951">
        <f t="shared" si="2"/>
        <v>0</v>
      </c>
      <c r="L19" s="1951">
        <f t="shared" si="2"/>
        <v>51850</v>
      </c>
      <c r="M19" s="838"/>
      <c r="N19" s="1999"/>
    </row>
    <row r="20" spans="1:14" ht="13.5" thickTop="1" x14ac:dyDescent="0.2">
      <c r="A20" s="2004">
        <v>9</v>
      </c>
      <c r="B20" s="2434" t="s">
        <v>2021</v>
      </c>
      <c r="C20" s="2434"/>
      <c r="D20" s="2435"/>
      <c r="E20" s="1952"/>
      <c r="F20" s="1952"/>
      <c r="G20" s="1952"/>
      <c r="H20" s="1952"/>
      <c r="I20" s="1952"/>
      <c r="J20" s="1952"/>
      <c r="K20" s="1952"/>
      <c r="L20" s="1953">
        <f>IF(AND(H19&gt;0,L19&gt;0),(((L19-H19)/H19)),"Enter Budget Data")</f>
        <v>-0.54636126616388736</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6"/>
      <c r="D27" s="2436"/>
      <c r="E27" s="843"/>
      <c r="F27" s="2437"/>
      <c r="G27" s="2437"/>
      <c r="H27" s="2437"/>
      <c r="I27" s="838"/>
      <c r="J27" s="838"/>
      <c r="K27" s="838"/>
      <c r="L27" s="838"/>
      <c r="M27" s="838"/>
      <c r="N27" s="1999"/>
    </row>
    <row r="28" spans="1:14" x14ac:dyDescent="0.2">
      <c r="A28" s="1998"/>
      <c r="B28" s="2008"/>
      <c r="C28" s="1958" t="s">
        <v>1026</v>
      </c>
      <c r="D28" s="844"/>
      <c r="E28" s="1959"/>
      <c r="F28" s="2438" t="s">
        <v>1492</v>
      </c>
      <c r="G28" s="2438"/>
      <c r="H28" s="2438"/>
      <c r="I28" s="838"/>
      <c r="J28" s="838"/>
      <c r="K28" s="838"/>
      <c r="L28" s="838"/>
      <c r="M28" s="838"/>
      <c r="N28" s="1999"/>
    </row>
    <row r="29" spans="1:14" x14ac:dyDescent="0.2">
      <c r="A29" s="1998"/>
      <c r="B29" s="2008"/>
      <c r="C29" s="2439"/>
      <c r="D29" s="2439"/>
      <c r="E29" s="845"/>
      <c r="F29" s="2439"/>
      <c r="G29" s="2439"/>
      <c r="H29" s="2439"/>
      <c r="I29" s="838"/>
      <c r="J29" s="838"/>
      <c r="K29" s="838"/>
      <c r="L29" s="838"/>
      <c r="M29" s="838"/>
      <c r="N29" s="1999"/>
    </row>
    <row r="30" spans="1:14" x14ac:dyDescent="0.2">
      <c r="A30" s="1998"/>
      <c r="B30" s="2008"/>
      <c r="C30" s="1961" t="s">
        <v>1544</v>
      </c>
      <c r="D30" s="838"/>
      <c r="E30" s="1960"/>
      <c r="F30" s="2421" t="s">
        <v>1493</v>
      </c>
      <c r="G30" s="2421"/>
      <c r="H30" s="242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2" t="s">
        <v>2024</v>
      </c>
      <c r="D34" s="2443"/>
      <c r="E34" s="2443"/>
      <c r="F34" s="2443"/>
      <c r="G34" s="2443"/>
      <c r="H34" s="2443"/>
      <c r="I34" s="2443"/>
      <c r="J34" s="2443"/>
      <c r="K34" s="2017"/>
      <c r="L34" s="838"/>
      <c r="M34" s="838"/>
      <c r="N34" s="1999"/>
    </row>
    <row r="35" spans="1:14" x14ac:dyDescent="0.2">
      <c r="A35" s="1998"/>
      <c r="B35" s="838"/>
      <c r="C35" s="2443"/>
      <c r="D35" s="2443"/>
      <c r="E35" s="2443"/>
      <c r="F35" s="2443"/>
      <c r="G35" s="2443"/>
      <c r="H35" s="2443"/>
      <c r="I35" s="2443"/>
      <c r="J35" s="2443"/>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2" t="s">
        <v>2025</v>
      </c>
      <c r="D37" s="2443"/>
      <c r="E37" s="2443"/>
      <c r="F37" s="2443"/>
      <c r="G37" s="2443"/>
      <c r="H37" s="2443"/>
      <c r="I37" s="2443"/>
      <c r="J37" s="2443"/>
      <c r="K37" s="2017"/>
      <c r="L37" s="2019"/>
      <c r="M37" s="838"/>
      <c r="N37" s="1999"/>
    </row>
    <row r="38" spans="1:14" x14ac:dyDescent="0.2">
      <c r="A38" s="1998"/>
      <c r="B38" s="838"/>
      <c r="C38" s="2443"/>
      <c r="D38" s="2443"/>
      <c r="E38" s="2443"/>
      <c r="F38" s="2443"/>
      <c r="G38" s="2443"/>
      <c r="H38" s="2443"/>
      <c r="I38" s="2443"/>
      <c r="J38" s="2443"/>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4" t="s">
        <v>2026</v>
      </c>
      <c r="D40" s="2445"/>
      <c r="E40" s="2445"/>
      <c r="F40" s="2445"/>
      <c r="G40" s="2445"/>
      <c r="H40" s="2445"/>
      <c r="I40" s="2445"/>
      <c r="J40" s="2445"/>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6" t="s">
        <v>2027</v>
      </c>
      <c r="B43" s="2447"/>
      <c r="C43" s="2447"/>
      <c r="D43" s="2447"/>
      <c r="E43" s="2447"/>
      <c r="F43" s="2447"/>
      <c r="G43" s="2447"/>
      <c r="H43" s="2447"/>
      <c r="I43" s="2447"/>
      <c r="J43" s="2447"/>
      <c r="K43" s="2447"/>
      <c r="L43" s="2447"/>
      <c r="M43" s="2447"/>
      <c r="N43" s="2448"/>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9" t="s">
        <v>2029</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2" t="str">
        <f>J6</f>
        <v xml:space="preserve"> Donovan CUSD 3</v>
      </c>
      <c r="M52" s="2422"/>
      <c r="N52" s="2452"/>
    </row>
    <row r="53" spans="1:14" x14ac:dyDescent="0.2">
      <c r="A53" s="1983"/>
      <c r="B53" s="1984"/>
      <c r="C53" s="1984"/>
      <c r="D53" s="1984"/>
      <c r="E53" s="1984"/>
      <c r="F53" s="1984"/>
      <c r="G53" s="1984"/>
      <c r="H53" s="1984"/>
      <c r="I53" s="1984"/>
      <c r="J53" s="1984"/>
      <c r="K53" s="1925" t="s">
        <v>369</v>
      </c>
      <c r="L53" s="2427">
        <f>J7</f>
        <v>32038003026</v>
      </c>
      <c r="M53" s="2427"/>
      <c r="N53" s="245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4"/>
      <c r="B55" s="2455"/>
      <c r="C55" s="2455"/>
      <c r="D55" s="1971"/>
      <c r="E55" s="1971"/>
      <c r="F55" s="1971"/>
      <c r="G55" s="2456" t="s">
        <v>2030</v>
      </c>
      <c r="H55" s="2456"/>
      <c r="I55" s="2456"/>
      <c r="J55" s="2456"/>
      <c r="K55" s="2456"/>
      <c r="L55" s="2456"/>
      <c r="M55" s="2456"/>
      <c r="N55" s="2457"/>
    </row>
    <row r="56" spans="1:14" ht="63.75" x14ac:dyDescent="0.2">
      <c r="A56" s="2458" t="s">
        <v>2031</v>
      </c>
      <c r="B56" s="2459"/>
      <c r="C56" s="246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1" t="s">
        <v>296</v>
      </c>
      <c r="B57" s="2462"/>
      <c r="C57" s="246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0" t="s">
        <v>2041</v>
      </c>
      <c r="B58" s="2441"/>
      <c r="C58" s="2441"/>
      <c r="D58" s="1968">
        <v>2362</v>
      </c>
      <c r="E58" s="1978">
        <f>'Expenditures 15-22'!K320</f>
        <v>19262</v>
      </c>
      <c r="F58" s="1973"/>
      <c r="G58" s="2032"/>
      <c r="H58" s="2033"/>
      <c r="I58" s="2033"/>
      <c r="J58" s="2033"/>
      <c r="K58" s="2033"/>
      <c r="L58" s="2033"/>
      <c r="M58" s="2033">
        <v>19262</v>
      </c>
      <c r="N58" s="1976">
        <f>IF((SUM(G58:M58))=E58,SUM(G58:M58),"Column N does not agree with Column E")</f>
        <v>19262</v>
      </c>
    </row>
    <row r="59" spans="1:14" ht="24.75" customHeight="1" x14ac:dyDescent="0.2">
      <c r="A59" s="2463" t="s">
        <v>297</v>
      </c>
      <c r="B59" s="2464"/>
      <c r="C59" s="2464"/>
      <c r="D59" s="1968">
        <v>2363</v>
      </c>
      <c r="E59" s="1978">
        <f>'Expenditures 15-22'!K321</f>
        <v>4193</v>
      </c>
      <c r="F59" s="1973"/>
      <c r="G59" s="2032"/>
      <c r="H59" s="2033"/>
      <c r="I59" s="2033"/>
      <c r="J59" s="2033"/>
      <c r="K59" s="2033"/>
      <c r="L59" s="2033"/>
      <c r="M59" s="2033">
        <v>4193</v>
      </c>
      <c r="N59" s="1976">
        <f>IF((SUM(G59:M59))=E59,SUM(G59:M59),"Column N does not agree with Column E")</f>
        <v>4193</v>
      </c>
    </row>
    <row r="60" spans="1:14" ht="24" customHeight="1" x14ac:dyDescent="0.2">
      <c r="A60" s="2463" t="s">
        <v>236</v>
      </c>
      <c r="B60" s="2464"/>
      <c r="C60" s="2464"/>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3" t="s">
        <v>697</v>
      </c>
      <c r="B61" s="2464"/>
      <c r="C61" s="2464"/>
      <c r="D61" s="1968">
        <v>2365</v>
      </c>
      <c r="E61" s="1978">
        <f>'Expenditures 15-22'!K323</f>
        <v>0</v>
      </c>
      <c r="F61" s="1973"/>
      <c r="G61" s="2032"/>
      <c r="H61" s="2033"/>
      <c r="I61" s="2033"/>
      <c r="J61" s="2033"/>
      <c r="K61" s="2033"/>
      <c r="L61" s="2033"/>
      <c r="M61" s="2033"/>
      <c r="N61" s="1976">
        <f t="shared" si="4"/>
        <v>0</v>
      </c>
    </row>
    <row r="62" spans="1:14" ht="24" customHeight="1" x14ac:dyDescent="0.2">
      <c r="A62" s="2463" t="s">
        <v>237</v>
      </c>
      <c r="B62" s="2464"/>
      <c r="C62" s="2464"/>
      <c r="D62" s="1968">
        <v>2366</v>
      </c>
      <c r="E62" s="1978">
        <f>'Expenditures 15-22'!K324</f>
        <v>0</v>
      </c>
      <c r="F62" s="1973"/>
      <c r="G62" s="2032"/>
      <c r="H62" s="2033"/>
      <c r="I62" s="2033"/>
      <c r="J62" s="2033"/>
      <c r="K62" s="2033"/>
      <c r="L62" s="2033"/>
      <c r="M62" s="2033"/>
      <c r="N62" s="1976">
        <f t="shared" si="4"/>
        <v>0</v>
      </c>
    </row>
    <row r="63" spans="1:14" ht="24" customHeight="1" x14ac:dyDescent="0.2">
      <c r="A63" s="2440" t="s">
        <v>1022</v>
      </c>
      <c r="B63" s="2441"/>
      <c r="C63" s="2441"/>
      <c r="D63" s="1968">
        <v>2367</v>
      </c>
      <c r="E63" s="1978">
        <f>'Expenditures 15-22'!K325</f>
        <v>131683</v>
      </c>
      <c r="F63" s="1973"/>
      <c r="G63" s="2032">
        <v>28150</v>
      </c>
      <c r="H63" s="2033"/>
      <c r="I63" s="2033"/>
      <c r="J63" s="2033"/>
      <c r="K63" s="2033"/>
      <c r="L63" s="2033"/>
      <c r="M63" s="2033">
        <v>103533</v>
      </c>
      <c r="N63" s="1976">
        <f t="shared" si="4"/>
        <v>131683</v>
      </c>
    </row>
    <row r="64" spans="1:14" ht="24" customHeight="1" x14ac:dyDescent="0.2">
      <c r="A64" s="2463" t="s">
        <v>1023</v>
      </c>
      <c r="B64" s="2464"/>
      <c r="C64" s="2464"/>
      <c r="D64" s="1968">
        <v>2368</v>
      </c>
      <c r="E64" s="1978">
        <f>'Expenditures 15-22'!K326</f>
        <v>0</v>
      </c>
      <c r="F64" s="1973"/>
      <c r="G64" s="2032"/>
      <c r="H64" s="2033"/>
      <c r="I64" s="2033"/>
      <c r="J64" s="2033"/>
      <c r="K64" s="2033"/>
      <c r="L64" s="2033"/>
      <c r="M64" s="2033"/>
      <c r="N64" s="1976">
        <f t="shared" si="4"/>
        <v>0</v>
      </c>
    </row>
    <row r="65" spans="1:14" ht="24" customHeight="1" x14ac:dyDescent="0.2">
      <c r="A65" s="2463" t="s">
        <v>965</v>
      </c>
      <c r="B65" s="2464"/>
      <c r="C65" s="2464"/>
      <c r="D65" s="1968">
        <v>2369</v>
      </c>
      <c r="E65" s="1978">
        <f>'Expenditures 15-22'!K327</f>
        <v>6788</v>
      </c>
      <c r="F65" s="1973"/>
      <c r="G65" s="2032"/>
      <c r="H65" s="2033"/>
      <c r="I65" s="2033"/>
      <c r="J65" s="2033"/>
      <c r="K65" s="2033"/>
      <c r="L65" s="2033"/>
      <c r="M65" s="2033">
        <v>6788</v>
      </c>
      <c r="N65" s="1976">
        <f t="shared" si="4"/>
        <v>6788</v>
      </c>
    </row>
    <row r="66" spans="1:14" ht="24" customHeight="1" x14ac:dyDescent="0.2">
      <c r="A66" s="2463" t="s">
        <v>469</v>
      </c>
      <c r="B66" s="2464"/>
      <c r="C66" s="2464"/>
      <c r="D66" s="1968">
        <v>2371</v>
      </c>
      <c r="E66" s="1978">
        <f>'Expenditures 15-22'!K328</f>
        <v>34476</v>
      </c>
      <c r="F66" s="1973"/>
      <c r="G66" s="2032"/>
      <c r="H66" s="2033"/>
      <c r="I66" s="2033"/>
      <c r="J66" s="2033"/>
      <c r="K66" s="2033"/>
      <c r="L66" s="2033"/>
      <c r="M66" s="2033">
        <v>34476</v>
      </c>
      <c r="N66" s="1976">
        <f t="shared" si="4"/>
        <v>34476</v>
      </c>
    </row>
    <row r="67" spans="1:14" ht="24.75" customHeight="1" x14ac:dyDescent="0.2">
      <c r="A67" s="2465" t="s">
        <v>2042</v>
      </c>
      <c r="B67" s="2466"/>
      <c r="C67" s="2466"/>
      <c r="D67" s="1970">
        <v>2372</v>
      </c>
      <c r="E67" s="1979">
        <f>'Expenditures 15-22'!K329</f>
        <v>0</v>
      </c>
      <c r="F67" s="1973"/>
      <c r="G67" s="2034"/>
      <c r="H67" s="2035"/>
      <c r="I67" s="2035"/>
      <c r="J67" s="2035"/>
      <c r="K67" s="2035"/>
      <c r="L67" s="2035"/>
      <c r="M67" s="2035"/>
      <c r="N67" s="1976">
        <f t="shared" si="4"/>
        <v>0</v>
      </c>
    </row>
    <row r="68" spans="1:14" x14ac:dyDescent="0.2">
      <c r="A68" s="2467" t="s">
        <v>1151</v>
      </c>
      <c r="B68" s="2468"/>
      <c r="C68" s="2468"/>
      <c r="D68" s="1971"/>
      <c r="E68" s="1975">
        <f>SUM(E57:E67)</f>
        <v>196402</v>
      </c>
      <c r="F68" s="1974"/>
      <c r="G68" s="1975">
        <f t="shared" ref="G68:N68" si="5">SUM(G57:G67)</f>
        <v>28150</v>
      </c>
      <c r="H68" s="1975">
        <f t="shared" si="5"/>
        <v>0</v>
      </c>
      <c r="I68" s="1975">
        <f t="shared" si="5"/>
        <v>0</v>
      </c>
      <c r="J68" s="1975">
        <f t="shared" si="5"/>
        <v>0</v>
      </c>
      <c r="K68" s="1975">
        <f t="shared" si="5"/>
        <v>0</v>
      </c>
      <c r="L68" s="1975">
        <f t="shared" si="5"/>
        <v>0</v>
      </c>
      <c r="M68" s="1975">
        <f t="shared" si="5"/>
        <v>168252</v>
      </c>
      <c r="N68" s="1989">
        <f t="shared" si="5"/>
        <v>196402</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2072</v>
      </c>
    </row>
    <row r="6" spans="1:2" x14ac:dyDescent="0.2">
      <c r="A6" s="847"/>
      <c r="B6" s="2038" t="s">
        <v>2073</v>
      </c>
    </row>
    <row r="7" spans="1:2" x14ac:dyDescent="0.2">
      <c r="A7" s="847"/>
      <c r="B7" s="307" t="s">
        <v>2074</v>
      </c>
    </row>
    <row r="8" spans="1:2" x14ac:dyDescent="0.2">
      <c r="A8" s="847"/>
      <c r="B8" s="548"/>
    </row>
    <row r="9" spans="1:2" x14ac:dyDescent="0.2">
      <c r="A9" s="847"/>
      <c r="B9" s="307" t="s">
        <v>2083</v>
      </c>
    </row>
    <row r="10" spans="1:2" x14ac:dyDescent="0.2">
      <c r="A10" s="847">
        <v>2</v>
      </c>
      <c r="B10" s="2037" t="s">
        <v>2075</v>
      </c>
    </row>
    <row r="11" spans="1:2" x14ac:dyDescent="0.2">
      <c r="A11" s="847"/>
      <c r="B11" s="2038" t="s">
        <v>2076</v>
      </c>
    </row>
    <row r="12" spans="1:2" x14ac:dyDescent="0.2">
      <c r="A12" s="847"/>
      <c r="B12" s="307" t="s">
        <v>2077</v>
      </c>
    </row>
    <row r="13" spans="1:2" x14ac:dyDescent="0.2">
      <c r="A13" s="847"/>
    </row>
    <row r="14" spans="1:2" x14ac:dyDescent="0.2">
      <c r="A14" s="847">
        <v>3</v>
      </c>
      <c r="B14" s="2037" t="s">
        <v>2078</v>
      </c>
    </row>
    <row r="15" spans="1:2" x14ac:dyDescent="0.2">
      <c r="A15" s="847"/>
      <c r="B15" s="2038" t="s">
        <v>2076</v>
      </c>
    </row>
    <row r="16" spans="1:2" x14ac:dyDescent="0.2">
      <c r="A16" s="847"/>
      <c r="B16" s="307" t="s">
        <v>2079</v>
      </c>
    </row>
    <row r="17" spans="1:2" x14ac:dyDescent="0.2">
      <c r="A17" s="847"/>
    </row>
    <row r="18" spans="1:2" x14ac:dyDescent="0.2">
      <c r="A18" s="847">
        <v>4</v>
      </c>
      <c r="B18" s="2037" t="s">
        <v>2080</v>
      </c>
    </row>
    <row r="19" spans="1:2" x14ac:dyDescent="0.2">
      <c r="A19" s="848"/>
      <c r="B19" s="307" t="s">
        <v>2081</v>
      </c>
    </row>
    <row r="20" spans="1:2" x14ac:dyDescent="0.2">
      <c r="A20" s="848"/>
    </row>
    <row r="21" spans="1:2" x14ac:dyDescent="0.2">
      <c r="A21" s="847">
        <v>5</v>
      </c>
      <c r="B21" s="2037" t="s">
        <v>2082</v>
      </c>
    </row>
    <row r="22" spans="1:2" x14ac:dyDescent="0.2">
      <c r="A22" s="848"/>
      <c r="B22" s="307" t="s">
        <v>2070</v>
      </c>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c r="B74" s="253" t="str">
        <f>COVER!A17</f>
        <v xml:space="preserve"> Donovan CUSD 3</v>
      </c>
    </row>
    <row r="75" spans="1:2" x14ac:dyDescent="0.2">
      <c r="B75" s="849">
        <f>COVER!A13</f>
        <v>32038003026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3385949</v>
      </c>
      <c r="C8" s="1813">
        <f>'Acct Summary 7-8'!D8</f>
        <v>345820</v>
      </c>
      <c r="D8" s="1813">
        <f>'Acct Summary 7-8'!F8</f>
        <v>244810</v>
      </c>
      <c r="E8" s="1813">
        <f>'Acct Summary 7-8'!I8</f>
        <v>31299</v>
      </c>
      <c r="F8" s="1813">
        <f>SUM(B8:E8)</f>
        <v>4007878</v>
      </c>
    </row>
    <row r="9" spans="1:8" s="858" customFormat="1" ht="14.25" customHeight="1" thickBot="1" x14ac:dyDescent="0.25">
      <c r="A9" s="857" t="s">
        <v>1353</v>
      </c>
      <c r="B9" s="1814">
        <f>'Acct Summary 7-8'!C17</f>
        <v>3014462</v>
      </c>
      <c r="C9" s="1814">
        <f>'Acct Summary 7-8'!D17</f>
        <v>243065</v>
      </c>
      <c r="D9" s="1814">
        <f>'Acct Summary 7-8'!F17</f>
        <v>246248</v>
      </c>
      <c r="E9" s="1813"/>
      <c r="F9" s="1813">
        <f>SUM(B9:E9)</f>
        <v>3503775</v>
      </c>
    </row>
    <row r="10" spans="1:8" s="858" customFormat="1" ht="14.25" thickTop="1" thickBot="1" x14ac:dyDescent="0.25">
      <c r="A10" s="859" t="s">
        <v>1354</v>
      </c>
      <c r="B10" s="1815">
        <f>(B8-B9)</f>
        <v>371487</v>
      </c>
      <c r="C10" s="1815">
        <f>(C8-C9)</f>
        <v>102755</v>
      </c>
      <c r="D10" s="1815">
        <f>(D8-D9)</f>
        <v>-1438</v>
      </c>
      <c r="E10" s="1814">
        <f>(E8-E9)</f>
        <v>31299</v>
      </c>
      <c r="F10" s="1816">
        <f>SUM(F8-F9)</f>
        <v>504103</v>
      </c>
    </row>
    <row r="11" spans="1:8" s="858" customFormat="1" ht="14.25" thickTop="1" thickBot="1" x14ac:dyDescent="0.25">
      <c r="A11" s="860" t="s">
        <v>1903</v>
      </c>
      <c r="B11" s="1817">
        <f>'Acct Summary 7-8'!C81</f>
        <v>3232466</v>
      </c>
      <c r="C11" s="1817">
        <f>'Acct Summary 7-8'!D81</f>
        <v>1529167</v>
      </c>
      <c r="D11" s="1817">
        <f>'Acct Summary 7-8'!F81</f>
        <v>717664</v>
      </c>
      <c r="E11" s="1817">
        <f>'Acct Summary 7-8'!I81</f>
        <v>803580</v>
      </c>
      <c r="F11" s="1818">
        <f>SUM(B11:E11)</f>
        <v>6282877</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32038003026</v>
      </c>
      <c r="E2" s="1542">
        <v>2020</v>
      </c>
      <c r="F2" s="1542">
        <v>1</v>
      </c>
      <c r="G2" s="1899">
        <v>101000300</v>
      </c>
    </row>
    <row r="3" spans="1:7" ht="15" x14ac:dyDescent="0.25">
      <c r="A3" t="s">
        <v>950</v>
      </c>
      <c r="B3" s="135" t="str">
        <f>COVER!A15</f>
        <v>IROQUOIS</v>
      </c>
      <c r="E3" s="1830" t="s">
        <v>1971</v>
      </c>
      <c r="F3" s="1830" t="s">
        <v>1970</v>
      </c>
      <c r="G3" s="1899">
        <v>101000400</v>
      </c>
    </row>
    <row r="4" spans="1:7" ht="15" x14ac:dyDescent="0.25">
      <c r="A4" t="s">
        <v>1000</v>
      </c>
      <c r="B4" s="135" t="str">
        <f>COVER!A17</f>
        <v xml:space="preserve"> Donovan CUSD 3</v>
      </c>
      <c r="E4" s="1828">
        <v>44119</v>
      </c>
      <c r="F4" s="1829">
        <v>44151</v>
      </c>
      <c r="G4" s="1899">
        <v>101000600</v>
      </c>
    </row>
    <row r="5" spans="1:7" ht="15" x14ac:dyDescent="0.25">
      <c r="A5" t="s">
        <v>699</v>
      </c>
      <c r="B5" s="135" t="str">
        <f>COVER!A38</f>
        <v>Toby Coates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2639853</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3232466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3232466</v>
      </c>
      <c r="D92" s="2" t="str">
        <f t="shared" si="0"/>
        <v>Error?</v>
      </c>
      <c r="G92" s="1899">
        <v>102640600</v>
      </c>
    </row>
    <row r="93" spans="1:7" ht="15" x14ac:dyDescent="0.25">
      <c r="A93" s="5">
        <v>32</v>
      </c>
      <c r="B93" s="1832">
        <f>'Assets-Liab 5-6'!C41</f>
        <v>3232466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1529167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1529167</v>
      </c>
      <c r="D123" s="2" t="str">
        <f t="shared" si="0"/>
        <v>Error?</v>
      </c>
      <c r="G123" s="1899">
        <v>203000400</v>
      </c>
    </row>
    <row r="124" spans="1:7" ht="15" x14ac:dyDescent="0.25">
      <c r="A124" s="5">
        <v>63</v>
      </c>
      <c r="B124" s="1832">
        <f>'Assets-Liab 5-6'!D41</f>
        <v>1529167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8155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8155</v>
      </c>
      <c r="D140" s="2" t="str">
        <f t="shared" si="1"/>
        <v>Error?</v>
      </c>
    </row>
    <row r="141" spans="1:7" x14ac:dyDescent="0.2">
      <c r="A141" s="5">
        <v>80</v>
      </c>
      <c r="B141" s="1832">
        <f>'Assets-Liab 5-6'!E41</f>
        <v>8155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717664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717664</v>
      </c>
      <c r="D170" s="2" t="str">
        <f t="shared" si="1"/>
        <v>Error?</v>
      </c>
    </row>
    <row r="171" spans="1:4" x14ac:dyDescent="0.2">
      <c r="A171" s="5">
        <v>110</v>
      </c>
      <c r="B171" s="1832">
        <f>'Assets-Liab 5-6'!F41</f>
        <v>717664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172834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172834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5362</v>
      </c>
      <c r="D273" s="2" t="str">
        <f t="shared" si="3"/>
        <v>Error?</v>
      </c>
    </row>
    <row r="274" spans="1:4" x14ac:dyDescent="0.2">
      <c r="A274" s="5">
        <v>213</v>
      </c>
      <c r="B274" s="1832">
        <f>'Assets-Liab 5-6'!M17</f>
        <v>3068594</v>
      </c>
      <c r="D274" s="2" t="str">
        <f t="shared" si="3"/>
        <v>Error?</v>
      </c>
    </row>
    <row r="275" spans="1:4" x14ac:dyDescent="0.2">
      <c r="A275" s="5">
        <v>214</v>
      </c>
      <c r="B275" s="1832">
        <f>'Assets-Liab 5-6'!M18</f>
        <v>2075104</v>
      </c>
      <c r="D275" s="2" t="str">
        <f t="shared" si="3"/>
        <v>Error?</v>
      </c>
    </row>
    <row r="276" spans="1:4" x14ac:dyDescent="0.2">
      <c r="A276" s="5">
        <v>215</v>
      </c>
      <c r="B276" s="1832">
        <f>'Assets-Liab 5-6'!M19</f>
        <v>2497467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7646527</v>
      </c>
      <c r="C279" s="2" t="s">
        <v>569</v>
      </c>
      <c r="D279" s="2" t="str">
        <f t="shared" si="3"/>
        <v>Error?</v>
      </c>
    </row>
    <row r="280" spans="1:4" x14ac:dyDescent="0.2">
      <c r="A280" s="5">
        <v>219</v>
      </c>
      <c r="B280" s="1832">
        <f>'Assets-Liab 5-6'!M40</f>
        <v>7646527</v>
      </c>
      <c r="D280" s="2" t="str">
        <f t="shared" si="3"/>
        <v>Error?</v>
      </c>
    </row>
    <row r="281" spans="1:4" x14ac:dyDescent="0.2">
      <c r="A281" s="5">
        <v>220</v>
      </c>
      <c r="B281" s="1832">
        <f>'Assets-Liab 5-6'!M41</f>
        <v>7646527</v>
      </c>
      <c r="C281" s="2" t="s">
        <v>569</v>
      </c>
      <c r="D281" s="2" t="str">
        <f t="shared" si="3"/>
        <v>Error?</v>
      </c>
    </row>
    <row r="282" spans="1:4" x14ac:dyDescent="0.2">
      <c r="A282" s="5">
        <v>221</v>
      </c>
      <c r="B282" s="1832">
        <f>'Assets-Liab 5-6'!N21</f>
        <v>8155</v>
      </c>
      <c r="D282" s="2" t="str">
        <f t="shared" si="3"/>
        <v>Error?</v>
      </c>
    </row>
    <row r="283" spans="1:4" x14ac:dyDescent="0.2">
      <c r="A283" s="5">
        <v>222</v>
      </c>
      <c r="B283" s="1832">
        <f>'Assets-Liab 5-6'!N22</f>
        <v>616845</v>
      </c>
      <c r="D283" s="2" t="str">
        <f t="shared" si="3"/>
        <v>Error?</v>
      </c>
    </row>
    <row r="284" spans="1:4" x14ac:dyDescent="0.2">
      <c r="A284" s="5">
        <v>223</v>
      </c>
      <c r="B284" s="1832">
        <f>'Assets-Liab 5-6'!N23</f>
        <v>625000</v>
      </c>
      <c r="C284" s="2" t="s">
        <v>569</v>
      </c>
      <c r="D284" s="2" t="str">
        <f t="shared" si="3"/>
        <v>Error?</v>
      </c>
    </row>
    <row r="285" spans="1:4" x14ac:dyDescent="0.2">
      <c r="A285" s="5">
        <v>224</v>
      </c>
      <c r="B285" s="1832">
        <f>'Assets-Liab 5-6'!N36</f>
        <v>625000</v>
      </c>
      <c r="D285" s="2" t="str">
        <f t="shared" si="3"/>
        <v>Error?</v>
      </c>
    </row>
    <row r="286" spans="1:4" x14ac:dyDescent="0.2">
      <c r="A286" s="10">
        <v>225</v>
      </c>
      <c r="B286" s="1832"/>
      <c r="D286" s="2" t="str">
        <f t="shared" si="3"/>
        <v>OK</v>
      </c>
    </row>
    <row r="287" spans="1:4" x14ac:dyDescent="0.2">
      <c r="A287" s="5">
        <v>226</v>
      </c>
      <c r="B287" s="1832">
        <f>'Assets-Liab 5-6'!N37</f>
        <v>625000</v>
      </c>
      <c r="C287" s="2" t="s">
        <v>569</v>
      </c>
      <c r="D287" s="2" t="str">
        <f t="shared" si="3"/>
        <v>Error?</v>
      </c>
    </row>
    <row r="288" spans="1:4" x14ac:dyDescent="0.2">
      <c r="A288" s="5">
        <v>227</v>
      </c>
      <c r="B288" s="1832">
        <f>'Assets-Liab 5-6'!N41</f>
        <v>625000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700000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625000</v>
      </c>
      <c r="D651" s="2" t="str">
        <f t="shared" si="9"/>
        <v>Error?</v>
      </c>
    </row>
    <row r="652" spans="1:4" x14ac:dyDescent="0.2">
      <c r="A652" s="5">
        <v>591</v>
      </c>
      <c r="B652" s="1832">
        <f>'Acct Summary 7-8'!I34</f>
        <v>5603</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937843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20367</v>
      </c>
      <c r="D717" s="2" t="str">
        <f t="shared" si="10"/>
        <v>Error?</v>
      </c>
    </row>
    <row r="718" spans="1:4" x14ac:dyDescent="0.2">
      <c r="A718" s="5">
        <v>657</v>
      </c>
      <c r="B718" s="1832">
        <f>'Expenditures 15-22'!C14</f>
        <v>44089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1074159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45264</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45264</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39354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39354</v>
      </c>
      <c r="C731" s="2" t="s">
        <v>569</v>
      </c>
      <c r="D731" s="2" t="str">
        <f t="shared" si="10"/>
        <v>Error?</v>
      </c>
    </row>
    <row r="732" spans="1:4" x14ac:dyDescent="0.2">
      <c r="A732" s="5">
        <v>671</v>
      </c>
      <c r="B732" s="1832">
        <f>'Expenditures 15-22'!C49</f>
        <v>2096</v>
      </c>
      <c r="D732" s="2" t="str">
        <f t="shared" si="10"/>
        <v>Error?</v>
      </c>
    </row>
    <row r="733" spans="1:4" x14ac:dyDescent="0.2">
      <c r="A733" s="5">
        <v>672</v>
      </c>
      <c r="B733" s="1832">
        <f>'Expenditures 15-22'!C50</f>
        <v>72029</v>
      </c>
      <c r="D733" s="2" t="str">
        <f t="shared" si="10"/>
        <v>Error?</v>
      </c>
    </row>
    <row r="734" spans="1:4" x14ac:dyDescent="0.2">
      <c r="A734" s="5">
        <v>673</v>
      </c>
      <c r="B734" s="1832">
        <f>'Expenditures 15-22'!C53</f>
        <v>74125</v>
      </c>
      <c r="C734" s="2" t="s">
        <v>569</v>
      </c>
      <c r="D734" s="2" t="str">
        <f t="shared" si="10"/>
        <v>Error?</v>
      </c>
    </row>
    <row r="735" spans="1:4" x14ac:dyDescent="0.2">
      <c r="A735" s="5">
        <v>674</v>
      </c>
      <c r="B735" s="1832">
        <f>'Expenditures 15-22'!C55</f>
        <v>160599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160599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28541</v>
      </c>
      <c r="D739" s="2" t="str">
        <f t="shared" si="10"/>
        <v>Error?</v>
      </c>
    </row>
    <row r="740" spans="1:4" x14ac:dyDescent="0.2">
      <c r="A740" s="5">
        <v>679</v>
      </c>
      <c r="B740" s="1832">
        <f>'Expenditures 15-22'!C61</f>
        <v>183520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78343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290404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45027</v>
      </c>
      <c r="D751" s="2" t="str">
        <f t="shared" si="10"/>
        <v>Error?</v>
      </c>
    </row>
    <row r="752" spans="1:4" x14ac:dyDescent="0.2">
      <c r="A752" s="10">
        <v>691</v>
      </c>
      <c r="B752" s="1832"/>
      <c r="D752" s="2" t="str">
        <f t="shared" si="10"/>
        <v>OK</v>
      </c>
    </row>
    <row r="753" spans="1:4" x14ac:dyDescent="0.2">
      <c r="A753" s="5">
        <v>692</v>
      </c>
      <c r="B753" s="1832">
        <f>'Expenditures 15-22'!C72</f>
        <v>45027</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654773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1728932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190143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1973</v>
      </c>
      <c r="D775" s="2" t="str">
        <f t="shared" si="11"/>
        <v>Error?</v>
      </c>
    </row>
    <row r="776" spans="1:4" x14ac:dyDescent="0.2">
      <c r="A776" s="5">
        <v>715</v>
      </c>
      <c r="B776" s="1832">
        <f>'Expenditures 15-22'!D14</f>
        <v>1732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214384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9399</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9399</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8640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8640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9058</v>
      </c>
      <c r="D791" s="2" t="str">
        <f t="shared" si="11"/>
        <v>Error?</v>
      </c>
    </row>
    <row r="792" spans="1:4" x14ac:dyDescent="0.2">
      <c r="A792" s="5">
        <v>731</v>
      </c>
      <c r="B792" s="1832">
        <f>'Expenditures 15-22'!D53</f>
        <v>9058</v>
      </c>
      <c r="C792" s="2" t="s">
        <v>569</v>
      </c>
      <c r="D792" s="2" t="str">
        <f t="shared" si="11"/>
        <v>Error?</v>
      </c>
    </row>
    <row r="793" spans="1:4" x14ac:dyDescent="0.2">
      <c r="A793" s="5">
        <v>732</v>
      </c>
      <c r="B793" s="1832">
        <f>'Expenditures 15-22'!D55</f>
        <v>24910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24910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3056</v>
      </c>
      <c r="D797" s="2" t="str">
        <f t="shared" si="11"/>
        <v>Error?</v>
      </c>
    </row>
    <row r="798" spans="1:4" x14ac:dyDescent="0.2">
      <c r="A798" s="5">
        <v>737</v>
      </c>
      <c r="B798" s="1832">
        <f>'Expenditures 15-22'!D61</f>
        <v>13189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5975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22220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74227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288611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36022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21253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61632</v>
      </c>
      <c r="C836" s="2" t="s">
        <v>569</v>
      </c>
      <c r="D836" s="2" t="str">
        <f t="shared" si="12"/>
        <v>Error?</v>
      </c>
    </row>
    <row r="837" spans="1:4" x14ac:dyDescent="0.2">
      <c r="A837" s="5">
        <v>776</v>
      </c>
      <c r="B837" s="1832">
        <f>'Expenditures 15-22'!E36</f>
        <v>57287</v>
      </c>
      <c r="D837" s="2" t="str">
        <f t="shared" si="12"/>
        <v>Error?</v>
      </c>
    </row>
    <row r="838" spans="1:4" x14ac:dyDescent="0.2">
      <c r="A838" s="5">
        <v>777</v>
      </c>
      <c r="B838" s="1832">
        <f>'Expenditures 15-22'!E37</f>
        <v>12567</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69854</v>
      </c>
      <c r="C843" s="2" t="s">
        <v>569</v>
      </c>
      <c r="D843" s="2" t="str">
        <f t="shared" si="12"/>
        <v>Error?</v>
      </c>
    </row>
    <row r="844" spans="1:4" x14ac:dyDescent="0.2">
      <c r="A844" s="5">
        <v>783</v>
      </c>
      <c r="B844" s="1832">
        <f>'Expenditures 15-22'!E44</f>
        <v>979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7207</v>
      </c>
      <c r="D846" s="2" t="str">
        <f t="shared" si="12"/>
        <v>Error?</v>
      </c>
    </row>
    <row r="847" spans="1:4" x14ac:dyDescent="0.2">
      <c r="A847" s="5">
        <v>786</v>
      </c>
      <c r="B847" s="1832">
        <f>'Expenditures 15-22'!E47</f>
        <v>8186</v>
      </c>
      <c r="C847" s="2" t="s">
        <v>569</v>
      </c>
      <c r="D847" s="2" t="str">
        <f t="shared" si="12"/>
        <v>Error?</v>
      </c>
    </row>
    <row r="848" spans="1:4" x14ac:dyDescent="0.2">
      <c r="A848" s="5">
        <v>787</v>
      </c>
      <c r="B848" s="1832">
        <f>'Expenditures 15-22'!E49</f>
        <v>19022</v>
      </c>
      <c r="D848" s="2" t="str">
        <f t="shared" si="12"/>
        <v>Error?</v>
      </c>
    </row>
    <row r="849" spans="1:4" x14ac:dyDescent="0.2">
      <c r="A849" s="5">
        <v>788</v>
      </c>
      <c r="B849" s="1832">
        <f>'Expenditures 15-22'!E50</f>
        <v>1120</v>
      </c>
      <c r="D849" s="2" t="str">
        <f t="shared" si="12"/>
        <v>Error?</v>
      </c>
    </row>
    <row r="850" spans="1:4" x14ac:dyDescent="0.2">
      <c r="A850" s="5">
        <v>789</v>
      </c>
      <c r="B850" s="1832">
        <f>'Expenditures 15-22'!E53</f>
        <v>20142</v>
      </c>
      <c r="C850" s="2" t="s">
        <v>569</v>
      </c>
      <c r="D850" s="2" t="str">
        <f t="shared" si="12"/>
        <v>Error?</v>
      </c>
    </row>
    <row r="851" spans="1:4" x14ac:dyDescent="0.2">
      <c r="A851" s="5">
        <v>790</v>
      </c>
      <c r="B851" s="1832">
        <f>'Expenditures 15-22'!E55</f>
        <v>342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342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4108</v>
      </c>
      <c r="D855" s="2" t="str">
        <f t="shared" si="12"/>
        <v>Error?</v>
      </c>
    </row>
    <row r="856" spans="1:4" x14ac:dyDescent="0.2">
      <c r="A856" s="5">
        <v>795</v>
      </c>
      <c r="B856" s="1832">
        <f>'Expenditures 15-22'!E61</f>
        <v>227</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1092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5427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36372</v>
      </c>
      <c r="D867" s="2" t="str">
        <f t="shared" si="12"/>
        <v>Error?</v>
      </c>
    </row>
    <row r="868" spans="1:4" x14ac:dyDescent="0.2">
      <c r="A868" s="10">
        <v>807</v>
      </c>
      <c r="B868" s="1832"/>
      <c r="D868" s="2" t="str">
        <f t="shared" si="12"/>
        <v>OK</v>
      </c>
    </row>
    <row r="869" spans="1:4" x14ac:dyDescent="0.2">
      <c r="A869" s="5">
        <v>808</v>
      </c>
      <c r="B869" s="1832">
        <f>'Expenditures 15-22'!E72</f>
        <v>36372</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140323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201955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46807</v>
      </c>
      <c r="D879" s="2" t="str">
        <f t="shared" si="12"/>
        <v>Error?</v>
      </c>
    </row>
    <row r="880" spans="1:4" x14ac:dyDescent="0.2">
      <c r="A880" s="5">
        <v>819</v>
      </c>
      <c r="B880" s="1832">
        <f>'Expenditures 15-22'!F16</f>
        <v>725</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7150</v>
      </c>
      <c r="D891" s="2" t="str">
        <f t="shared" si="12"/>
        <v>Error?</v>
      </c>
    </row>
    <row r="892" spans="1:4" x14ac:dyDescent="0.2">
      <c r="A892" s="5">
        <v>831</v>
      </c>
      <c r="B892" s="1832">
        <f>'Expenditures 15-22'!F14</f>
        <v>37826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118010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13514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13514</v>
      </c>
      <c r="C905" s="2" t="s">
        <v>569</v>
      </c>
      <c r="D905" s="2" t="str">
        <f t="shared" si="13"/>
        <v>Error?</v>
      </c>
    </row>
    <row r="906" spans="1:4" x14ac:dyDescent="0.2">
      <c r="A906" s="5">
        <v>845</v>
      </c>
      <c r="B906" s="1832">
        <f>'Expenditures 15-22'!F49</f>
        <v>3159</v>
      </c>
      <c r="D906" s="2" t="str">
        <f t="shared" si="13"/>
        <v>Error?</v>
      </c>
    </row>
    <row r="907" spans="1:4" x14ac:dyDescent="0.2">
      <c r="A907" s="5">
        <v>846</v>
      </c>
      <c r="B907" s="1832">
        <f>'Expenditures 15-22'!F50</f>
        <v>1385</v>
      </c>
      <c r="D907" s="2" t="str">
        <f t="shared" si="13"/>
        <v>Error?</v>
      </c>
    </row>
    <row r="908" spans="1:4" x14ac:dyDescent="0.2">
      <c r="A908" s="5">
        <v>847</v>
      </c>
      <c r="B908" s="1832">
        <f>'Expenditures 15-22'!F53</f>
        <v>4544</v>
      </c>
      <c r="C908" s="2" t="s">
        <v>569</v>
      </c>
      <c r="D908" s="2" t="str">
        <f t="shared" si="13"/>
        <v>Error?</v>
      </c>
    </row>
    <row r="909" spans="1:4" x14ac:dyDescent="0.2">
      <c r="A909" s="5">
        <v>848</v>
      </c>
      <c r="B909" s="1832">
        <f>'Expenditures 15-22'!F55</f>
        <v>10699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10699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839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101291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102130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57195</v>
      </c>
      <c r="D925" s="2" t="str">
        <f t="shared" si="13"/>
        <v>Error?</v>
      </c>
    </row>
    <row r="926" spans="1:4" x14ac:dyDescent="0.2">
      <c r="A926" s="10">
        <v>865</v>
      </c>
      <c r="B926" s="1832"/>
      <c r="D926" s="2" t="str">
        <f t="shared" si="13"/>
        <v>OK</v>
      </c>
    </row>
    <row r="927" spans="1:4" x14ac:dyDescent="0.2">
      <c r="A927" s="5">
        <v>866</v>
      </c>
      <c r="B927" s="1832">
        <f>'Expenditures 15-22'!F72</f>
        <v>57195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188082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306092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1018</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1018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20299</v>
      </c>
      <c r="D983" s="2" t="str">
        <f t="shared" si="14"/>
        <v>Error?</v>
      </c>
    </row>
    <row r="984" spans="1:4" x14ac:dyDescent="0.2">
      <c r="A984" s="10">
        <v>923</v>
      </c>
      <c r="B984" s="1832"/>
      <c r="D984" s="2" t="str">
        <f t="shared" si="14"/>
        <v>OK</v>
      </c>
    </row>
    <row r="985" spans="1:4" x14ac:dyDescent="0.2">
      <c r="A985" s="5">
        <v>924</v>
      </c>
      <c r="B985" s="1832">
        <f>'Expenditures 15-22'!G72</f>
        <v>20299</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21317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21317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53</v>
      </c>
      <c r="D1007" s="2" t="str">
        <f t="shared" si="14"/>
        <v>Error?</v>
      </c>
    </row>
    <row r="1008" spans="1:4" x14ac:dyDescent="0.2">
      <c r="A1008" s="5">
        <v>947</v>
      </c>
      <c r="B1008" s="1832">
        <f>'Expenditures 15-22'!H14</f>
        <v>4707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4760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13364</v>
      </c>
      <c r="D1022" s="2" t="str">
        <f t="shared" si="14"/>
        <v>Error?</v>
      </c>
    </row>
    <row r="1023" spans="1:4" x14ac:dyDescent="0.2">
      <c r="A1023" s="5">
        <v>962</v>
      </c>
      <c r="B1023" s="1832">
        <f>'Expenditures 15-22'!H50</f>
        <v>2556</v>
      </c>
      <c r="D1023" s="2" t="str">
        <f t="shared" ref="D1023:D1086" si="15">IF(ISBLANK(B1023),"OK",IF(A1023-B1023=0,"OK","Error?"))</f>
        <v>Error?</v>
      </c>
    </row>
    <row r="1024" spans="1:4" x14ac:dyDescent="0.2">
      <c r="A1024" s="5">
        <v>963</v>
      </c>
      <c r="B1024" s="1832">
        <f>'Expenditures 15-22'!H53</f>
        <v>15920</v>
      </c>
      <c r="C1024" s="2" t="s">
        <v>569</v>
      </c>
      <c r="D1024" s="2" t="str">
        <f t="shared" si="15"/>
        <v>Error?</v>
      </c>
    </row>
    <row r="1025" spans="1:4" x14ac:dyDescent="0.2">
      <c r="A1025" s="5">
        <v>964</v>
      </c>
      <c r="B1025" s="1832">
        <f>'Expenditures 15-22'!H55</f>
        <v>11738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11738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150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4175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4325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31983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430812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467555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1210815</v>
      </c>
      <c r="C1093" s="2" t="s">
        <v>569</v>
      </c>
      <c r="D1093" s="2" t="str">
        <f t="shared" si="16"/>
        <v>Error?</v>
      </c>
    </row>
    <row r="1094" spans="1:4" x14ac:dyDescent="0.2">
      <c r="A1094" s="5">
        <v>1033</v>
      </c>
      <c r="B1094" s="1832">
        <f>'Expenditures 15-22'!K16</f>
        <v>725</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29543</v>
      </c>
      <c r="C1105" s="2" t="s">
        <v>569</v>
      </c>
      <c r="D1105" s="2" t="str">
        <f t="shared" si="16"/>
        <v>Error?</v>
      </c>
    </row>
    <row r="1106" spans="1:4" x14ac:dyDescent="0.2">
      <c r="A1106" s="5">
        <v>1045</v>
      </c>
      <c r="B1106" s="1832">
        <f>'Expenditures 15-22'!K14</f>
        <v>109607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1472945</v>
      </c>
      <c r="C1108" s="2" t="s">
        <v>569</v>
      </c>
      <c r="D1108" s="2" t="str">
        <f t="shared" si="16"/>
        <v>Error?</v>
      </c>
    </row>
    <row r="1109" spans="1:4" x14ac:dyDescent="0.2">
      <c r="A1109" s="5">
        <v>1048</v>
      </c>
      <c r="B1109" s="1832">
        <f>'Expenditures 15-22'!K36</f>
        <v>57287</v>
      </c>
      <c r="C1109" s="2" t="s">
        <v>569</v>
      </c>
      <c r="D1109" s="2" t="str">
        <f t="shared" si="16"/>
        <v>Error?</v>
      </c>
    </row>
    <row r="1110" spans="1:4" x14ac:dyDescent="0.2">
      <c r="A1110" s="5">
        <v>1049</v>
      </c>
      <c r="B1110" s="1832">
        <f>'Expenditures 15-22'!K37</f>
        <v>67230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124517</v>
      </c>
      <c r="C1115" s="2" t="s">
        <v>569</v>
      </c>
      <c r="D1115" s="2" t="str">
        <f t="shared" si="16"/>
        <v>Error?</v>
      </c>
    </row>
    <row r="1116" spans="1:4" x14ac:dyDescent="0.2">
      <c r="A1116" s="5">
        <v>1055</v>
      </c>
      <c r="B1116" s="1832">
        <f>'Expenditures 15-22'!K44</f>
        <v>979</v>
      </c>
      <c r="C1116" s="2" t="s">
        <v>569</v>
      </c>
      <c r="D1116" s="2" t="str">
        <f t="shared" si="16"/>
        <v>Error?</v>
      </c>
    </row>
    <row r="1117" spans="1:4" x14ac:dyDescent="0.2">
      <c r="A1117" s="5">
        <v>1056</v>
      </c>
      <c r="B1117" s="1832">
        <f>'Expenditures 15-22'!K45</f>
        <v>61508</v>
      </c>
      <c r="C1117" s="2" t="s">
        <v>569</v>
      </c>
      <c r="D1117" s="2" t="str">
        <f t="shared" si="16"/>
        <v>Error?</v>
      </c>
    </row>
    <row r="1118" spans="1:4" x14ac:dyDescent="0.2">
      <c r="A1118" s="5">
        <v>1057</v>
      </c>
      <c r="B1118" s="1832">
        <f>'Expenditures 15-22'!K46</f>
        <v>7207</v>
      </c>
      <c r="C1118" s="2" t="s">
        <v>569</v>
      </c>
      <c r="D1118" s="2" t="str">
        <f t="shared" si="16"/>
        <v>Error?</v>
      </c>
    </row>
    <row r="1119" spans="1:4" x14ac:dyDescent="0.2">
      <c r="A1119" s="5">
        <v>1058</v>
      </c>
      <c r="B1119" s="1832">
        <f>'Expenditures 15-22'!K47</f>
        <v>69694</v>
      </c>
      <c r="C1119" s="2" t="s">
        <v>569</v>
      </c>
      <c r="D1119" s="2" t="str">
        <f t="shared" si="16"/>
        <v>Error?</v>
      </c>
    </row>
    <row r="1120" spans="1:4" x14ac:dyDescent="0.2">
      <c r="A1120" s="5">
        <v>1059</v>
      </c>
      <c r="B1120" s="1832">
        <f>'Expenditures 15-22'!K49</f>
        <v>37641</v>
      </c>
      <c r="C1120" s="2" t="s">
        <v>569</v>
      </c>
      <c r="D1120" s="2" t="str">
        <f t="shared" si="16"/>
        <v>Error?</v>
      </c>
    </row>
    <row r="1121" spans="1:4" x14ac:dyDescent="0.2">
      <c r="A1121" s="5">
        <v>1060</v>
      </c>
      <c r="B1121" s="1832">
        <f>'Expenditures 15-22'!K50</f>
        <v>86148</v>
      </c>
      <c r="C1121" s="2" t="s">
        <v>569</v>
      </c>
      <c r="D1121" s="2" t="str">
        <f t="shared" si="16"/>
        <v>Error?</v>
      </c>
    </row>
    <row r="1122" spans="1:4" x14ac:dyDescent="0.2">
      <c r="A1122" s="5">
        <v>1061</v>
      </c>
      <c r="B1122" s="1832">
        <f>'Expenditures 15-22'!K53</f>
        <v>123789</v>
      </c>
      <c r="C1122" s="2" t="s">
        <v>569</v>
      </c>
      <c r="D1122" s="2" t="str">
        <f t="shared" si="16"/>
        <v>Error?</v>
      </c>
    </row>
    <row r="1123" spans="1:4" x14ac:dyDescent="0.2">
      <c r="A1123" s="5">
        <v>1062</v>
      </c>
      <c r="B1123" s="1832">
        <f>'Expenditures 15-22'!K55</f>
        <v>208288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208288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37712</v>
      </c>
      <c r="C1127" s="2" t="s">
        <v>569</v>
      </c>
      <c r="D1127" s="2" t="str">
        <f t="shared" si="16"/>
        <v>Error?</v>
      </c>
    </row>
    <row r="1128" spans="1:4" x14ac:dyDescent="0.2">
      <c r="A1128" s="5">
        <v>1067</v>
      </c>
      <c r="B1128" s="1832">
        <f>'Expenditures 15-22'!K61</f>
        <v>196936</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190876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425524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158893</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158893</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1110705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430812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3014462</v>
      </c>
      <c r="C1152" s="2" t="s">
        <v>569</v>
      </c>
      <c r="D1152" s="2" t="str">
        <f t="shared" si="17"/>
        <v>Error?</v>
      </c>
    </row>
    <row r="1153" spans="1:4" x14ac:dyDescent="0.2">
      <c r="A1153" s="5">
        <v>1092</v>
      </c>
      <c r="B1153" s="1832">
        <f>'Expenditures 15-22'!K115</f>
        <v>371487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13072</v>
      </c>
      <c r="D1237" s="2" t="str">
        <f t="shared" si="18"/>
        <v>Error?</v>
      </c>
    </row>
    <row r="1238" spans="1:4" x14ac:dyDescent="0.2">
      <c r="A1238" s="10">
        <v>1177</v>
      </c>
      <c r="B1238" s="1832"/>
      <c r="D1238" s="2" t="str">
        <f t="shared" si="18"/>
        <v>OK</v>
      </c>
    </row>
    <row r="1239" spans="1:4" x14ac:dyDescent="0.2">
      <c r="A1239" s="5">
        <v>1178</v>
      </c>
      <c r="B1239" s="1832">
        <f>'Expenditures 15-22'!E127</f>
        <v>13072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13072</v>
      </c>
      <c r="C1241" s="2" t="s">
        <v>569</v>
      </c>
      <c r="D1241" s="2" t="str">
        <f t="shared" si="18"/>
        <v>Error?</v>
      </c>
    </row>
    <row r="1242" spans="1:4" x14ac:dyDescent="0.2">
      <c r="A1242" s="5">
        <v>1181</v>
      </c>
      <c r="B1242" s="1832">
        <f>'Expenditures 15-22'!E151</f>
        <v>13072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229952</v>
      </c>
      <c r="D1245" s="2" t="str">
        <f t="shared" si="18"/>
        <v>Error?</v>
      </c>
    </row>
    <row r="1246" spans="1:4" x14ac:dyDescent="0.2">
      <c r="A1246" s="10">
        <v>1185</v>
      </c>
      <c r="B1246" s="1832"/>
      <c r="D1246" s="2" t="str">
        <f t="shared" si="18"/>
        <v>OK</v>
      </c>
    </row>
    <row r="1247" spans="1:4" x14ac:dyDescent="0.2">
      <c r="A1247" s="5">
        <v>1186</v>
      </c>
      <c r="B1247" s="1832">
        <f>'Expenditures 15-22'!F127</f>
        <v>229952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229952</v>
      </c>
      <c r="C1249" s="2" t="s">
        <v>569</v>
      </c>
      <c r="D1249" s="2" t="str">
        <f t="shared" si="18"/>
        <v>Error?</v>
      </c>
    </row>
    <row r="1250" spans="1:4" x14ac:dyDescent="0.2">
      <c r="A1250" s="5">
        <v>1189</v>
      </c>
      <c r="B1250" s="1832">
        <f>'Expenditures 15-22'!F151</f>
        <v>229952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41</v>
      </c>
      <c r="D1262" s="2" t="str">
        <f t="shared" si="18"/>
        <v>Error?</v>
      </c>
    </row>
    <row r="1263" spans="1:4" x14ac:dyDescent="0.2">
      <c r="A1263" s="10">
        <v>1202</v>
      </c>
      <c r="B1263" s="1832"/>
      <c r="D1263" s="2" t="str">
        <f t="shared" si="18"/>
        <v>OK</v>
      </c>
    </row>
    <row r="1264" spans="1:4" x14ac:dyDescent="0.2">
      <c r="A1264" s="5">
        <v>1203</v>
      </c>
      <c r="B1264" s="1832">
        <f>'Expenditures 15-22'!H127</f>
        <v>41</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41</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41</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243065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243065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243065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243065</v>
      </c>
      <c r="C1288" s="2" t="s">
        <v>569</v>
      </c>
      <c r="D1288" s="2" t="str">
        <f t="shared" si="19"/>
        <v>Error?</v>
      </c>
    </row>
    <row r="1289" spans="1:4" x14ac:dyDescent="0.2">
      <c r="A1289" s="5">
        <v>1228</v>
      </c>
      <c r="B1289" s="1832">
        <f>'Expenditures 15-22'!K152</f>
        <v>102755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1947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82000</v>
      </c>
      <c r="D1315" s="2" t="str">
        <f t="shared" si="19"/>
        <v>Error?</v>
      </c>
    </row>
    <row r="1316" spans="1:4" x14ac:dyDescent="0.2">
      <c r="A1316" s="5">
        <v>1255</v>
      </c>
      <c r="B1316" s="1832">
        <f>'Expenditures 15-22'!H171</f>
        <v>304</v>
      </c>
      <c r="D1316" s="2" t="str">
        <f t="shared" si="19"/>
        <v>Error?</v>
      </c>
    </row>
    <row r="1317" spans="1:4" x14ac:dyDescent="0.2">
      <c r="A1317" s="5">
        <v>1256</v>
      </c>
      <c r="B1317" s="1832">
        <f>'Expenditures 15-22'!H172</f>
        <v>84251</v>
      </c>
      <c r="C1317" s="2" t="s">
        <v>569</v>
      </c>
      <c r="D1317" s="2" t="str">
        <f t="shared" si="19"/>
        <v>Error?</v>
      </c>
    </row>
    <row r="1318" spans="1:4" x14ac:dyDescent="0.2">
      <c r="A1318" s="5">
        <v>1257</v>
      </c>
      <c r="B1318" s="1832">
        <f>'Expenditures 15-22'!H174</f>
        <v>84251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1947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82000</v>
      </c>
      <c r="C1329" s="2" t="s">
        <v>569</v>
      </c>
      <c r="D1329" s="2" t="str">
        <f t="shared" si="19"/>
        <v>Error?</v>
      </c>
    </row>
    <row r="1330" spans="1:4" x14ac:dyDescent="0.2">
      <c r="A1330" s="5">
        <v>1269</v>
      </c>
      <c r="B1330" s="1832">
        <f>'Expenditures 15-22'!K171</f>
        <v>304</v>
      </c>
      <c r="C1330" s="2" t="s">
        <v>569</v>
      </c>
      <c r="D1330" s="2" t="str">
        <f t="shared" si="19"/>
        <v>Error?</v>
      </c>
    </row>
    <row r="1331" spans="1:4" x14ac:dyDescent="0.2">
      <c r="A1331" s="5">
        <v>1270</v>
      </c>
      <c r="B1331" s="1832">
        <f>'Expenditures 15-22'!K172</f>
        <v>84251</v>
      </c>
      <c r="C1331" s="2" t="s">
        <v>569</v>
      </c>
      <c r="D1331" s="2" t="str">
        <f t="shared" si="19"/>
        <v>Error?</v>
      </c>
    </row>
    <row r="1332" spans="1:4" x14ac:dyDescent="0.2">
      <c r="A1332" s="5">
        <v>1271</v>
      </c>
      <c r="B1332" s="1832">
        <f>'Expenditures 15-22'!K174</f>
        <v>84251</v>
      </c>
      <c r="C1332" s="2" t="s">
        <v>569</v>
      </c>
      <c r="D1332" s="2" t="str">
        <f t="shared" si="19"/>
        <v>Error?</v>
      </c>
    </row>
    <row r="1333" spans="1:4" x14ac:dyDescent="0.2">
      <c r="A1333" s="5">
        <v>1272</v>
      </c>
      <c r="B1333" s="1832">
        <f>'Expenditures 15-22'!K175</f>
        <v>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73908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73908</v>
      </c>
      <c r="C1339" s="2" t="s">
        <v>569</v>
      </c>
      <c r="D1339" s="2" t="str">
        <f t="shared" si="19"/>
        <v>Error?</v>
      </c>
    </row>
    <row r="1340" spans="1:4" x14ac:dyDescent="0.2">
      <c r="A1340" s="5">
        <v>1279</v>
      </c>
      <c r="B1340" s="1832">
        <f>'Expenditures 15-22'!C210</f>
        <v>73908</v>
      </c>
      <c r="C1340" s="2" t="s">
        <v>569</v>
      </c>
      <c r="D1340" s="2" t="str">
        <f t="shared" si="19"/>
        <v>Error?</v>
      </c>
    </row>
    <row r="1341" spans="1:4" x14ac:dyDescent="0.2">
      <c r="A1341" s="5">
        <v>1280</v>
      </c>
      <c r="B1341" s="1832">
        <f>'Expenditures 15-22'!D182</f>
        <v>4525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4525</v>
      </c>
      <c r="C1345" s="2" t="s">
        <v>569</v>
      </c>
      <c r="D1345" s="2" t="str">
        <f t="shared" si="20"/>
        <v>Error?</v>
      </c>
    </row>
    <row r="1346" spans="1:4" x14ac:dyDescent="0.2">
      <c r="A1346" s="5">
        <v>1285</v>
      </c>
      <c r="B1346" s="1832">
        <f>'Expenditures 15-22'!D210</f>
        <v>4525</v>
      </c>
      <c r="C1346" s="2" t="s">
        <v>569</v>
      </c>
      <c r="D1346" s="2" t="str">
        <f t="shared" si="20"/>
        <v>Error?</v>
      </c>
    </row>
    <row r="1347" spans="1:4" x14ac:dyDescent="0.2">
      <c r="A1347" s="5">
        <v>1286</v>
      </c>
      <c r="B1347" s="1832">
        <f>'Expenditures 15-22'!E182</f>
        <v>99670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578</v>
      </c>
      <c r="D1350" s="2" t="str">
        <f t="shared" si="20"/>
        <v>Error?</v>
      </c>
    </row>
    <row r="1351" spans="1:4" x14ac:dyDescent="0.2">
      <c r="A1351" s="5">
        <v>1290</v>
      </c>
      <c r="B1351" s="1832">
        <f>'Expenditures 15-22'!E184</f>
        <v>100248</v>
      </c>
      <c r="C1351" s="2" t="s">
        <v>569</v>
      </c>
      <c r="D1351" s="2" t="str">
        <f t="shared" si="20"/>
        <v>Error?</v>
      </c>
    </row>
    <row r="1352" spans="1:4" x14ac:dyDescent="0.2">
      <c r="A1352" s="5">
        <v>1291</v>
      </c>
      <c r="B1352" s="1832">
        <f>'Expenditures 15-22'!E196</f>
        <v>42039</v>
      </c>
      <c r="C1352" s="2" t="s">
        <v>569</v>
      </c>
      <c r="D1352" s="2" t="str">
        <f t="shared" si="20"/>
        <v>Error?</v>
      </c>
    </row>
    <row r="1353" spans="1:4" x14ac:dyDescent="0.2">
      <c r="A1353" s="5">
        <v>1292</v>
      </c>
      <c r="B1353" s="1832">
        <f>'Expenditures 15-22'!E210</f>
        <v>142287</v>
      </c>
      <c r="C1353" s="2" t="s">
        <v>569</v>
      </c>
      <c r="D1353" s="2" t="str">
        <f t="shared" si="20"/>
        <v>Error?</v>
      </c>
    </row>
    <row r="1354" spans="1:4" x14ac:dyDescent="0.2">
      <c r="A1354" s="5">
        <v>1293</v>
      </c>
      <c r="B1354" s="1832">
        <f>'Expenditures 15-22'!F182</f>
        <v>24238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24238</v>
      </c>
      <c r="C1358" s="2" t="s">
        <v>569</v>
      </c>
      <c r="D1358" s="2" t="str">
        <f t="shared" si="20"/>
        <v>Error?</v>
      </c>
    </row>
    <row r="1359" spans="1:4" x14ac:dyDescent="0.2">
      <c r="A1359" s="5">
        <v>1298</v>
      </c>
      <c r="B1359" s="1832">
        <f>'Expenditures 15-22'!F210</f>
        <v>24238</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1290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1290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1290</v>
      </c>
      <c r="C1376" s="2" t="s">
        <v>569</v>
      </c>
      <c r="D1376" s="2" t="str">
        <f t="shared" si="20"/>
        <v>Error?</v>
      </c>
    </row>
    <row r="1377" spans="1:4" x14ac:dyDescent="0.2">
      <c r="A1377" s="5">
        <v>1316</v>
      </c>
      <c r="B1377" s="1832">
        <f>'Expenditures 15-22'!K182</f>
        <v>203631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578</v>
      </c>
      <c r="C1380" s="2" t="s">
        <v>569</v>
      </c>
      <c r="D1380" s="2" t="str">
        <f t="shared" si="20"/>
        <v>Error?</v>
      </c>
    </row>
    <row r="1381" spans="1:4" x14ac:dyDescent="0.2">
      <c r="A1381" s="5">
        <v>1320</v>
      </c>
      <c r="B1381" s="1832">
        <f>'Expenditures 15-22'!K184</f>
        <v>204209</v>
      </c>
      <c r="C1381" s="2" t="s">
        <v>569</v>
      </c>
      <c r="D1381" s="2" t="str">
        <f t="shared" si="20"/>
        <v>Error?</v>
      </c>
    </row>
    <row r="1382" spans="1:4" x14ac:dyDescent="0.2">
      <c r="A1382" s="5">
        <v>1321</v>
      </c>
      <c r="B1382" s="1832">
        <f>'Expenditures 15-22'!K196</f>
        <v>42039</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246248</v>
      </c>
      <c r="C1388" s="2" t="s">
        <v>569</v>
      </c>
      <c r="D1388" s="2" t="str">
        <f t="shared" si="20"/>
        <v>Error?</v>
      </c>
    </row>
    <row r="1389" spans="1:4" x14ac:dyDescent="0.2">
      <c r="A1389" s="5">
        <v>1328</v>
      </c>
      <c r="B1389" s="1832">
        <f>'Expenditures 15-22'!K211</f>
        <v>-1438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172</v>
      </c>
      <c r="D1407" s="2" t="str">
        <f t="shared" ref="D1407:D1470" si="21">IF(ISBLANK(B1407),"OK",IF(A1407-B1407=0,"OK","Error?"))</f>
        <v>Error?</v>
      </c>
    </row>
    <row r="1408" spans="1:4" x14ac:dyDescent="0.2">
      <c r="A1408" s="5">
        <v>1347</v>
      </c>
      <c r="B1408" s="1832">
        <f>'Expenditures 15-22'!D223</f>
        <v>2214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23912</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656</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571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571</v>
      </c>
      <c r="C1421" s="2" t="s">
        <v>569</v>
      </c>
      <c r="D1421" s="2" t="str">
        <f t="shared" si="21"/>
        <v>Error?</v>
      </c>
    </row>
    <row r="1422" spans="1:4" x14ac:dyDescent="0.2">
      <c r="A1422" s="5">
        <v>1361</v>
      </c>
      <c r="B1422" s="1832">
        <f>'Expenditures 15-22'!D245</f>
        <v>160</v>
      </c>
      <c r="D1422" s="2" t="str">
        <f t="shared" si="21"/>
        <v>Error?</v>
      </c>
    </row>
    <row r="1423" spans="1:4" x14ac:dyDescent="0.2">
      <c r="A1423" s="5">
        <v>1362</v>
      </c>
      <c r="B1423" s="1832">
        <f>'Expenditures 15-22'!D246</f>
        <v>1044</v>
      </c>
      <c r="D1423" s="2" t="str">
        <f t="shared" si="21"/>
        <v>Error?</v>
      </c>
    </row>
    <row r="1424" spans="1:4" x14ac:dyDescent="0.2">
      <c r="A1424" s="5">
        <v>1363</v>
      </c>
      <c r="B1424" s="1832">
        <f>'Expenditures 15-22'!D257</f>
        <v>10538</v>
      </c>
      <c r="C1424" s="2" t="s">
        <v>569</v>
      </c>
      <c r="D1424" s="2" t="str">
        <f t="shared" si="21"/>
        <v>Error?</v>
      </c>
    </row>
    <row r="1425" spans="1:4" x14ac:dyDescent="0.2">
      <c r="A1425" s="5">
        <v>1364</v>
      </c>
      <c r="B1425" s="1832">
        <f>'Expenditures 15-22'!D259</f>
        <v>18203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18203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5426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32470</v>
      </c>
      <c r="D1431" s="2" t="str">
        <f t="shared" si="21"/>
        <v>Error?</v>
      </c>
    </row>
    <row r="1432" spans="1:4" x14ac:dyDescent="0.2">
      <c r="A1432" s="5">
        <v>1371</v>
      </c>
      <c r="B1432" s="1832">
        <f>'Expenditures 15-22'!D267</f>
        <v>10948</v>
      </c>
      <c r="D1432" s="2" t="str">
        <f t="shared" si="21"/>
        <v>Error?</v>
      </c>
    </row>
    <row r="1433" spans="1:4" x14ac:dyDescent="0.2">
      <c r="A1433" s="5">
        <v>1372</v>
      </c>
      <c r="B1433" s="1832">
        <f>'Expenditures 15-22'!D268</f>
        <v>14785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63629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8543</v>
      </c>
      <c r="D1442" s="2" t="str">
        <f t="shared" si="21"/>
        <v>Error?</v>
      </c>
    </row>
    <row r="1443" spans="1:4" x14ac:dyDescent="0.2">
      <c r="A1443" s="10">
        <v>1382</v>
      </c>
      <c r="B1443" s="1832"/>
      <c r="D1443" s="2" t="str">
        <f t="shared" si="21"/>
        <v>OK</v>
      </c>
    </row>
    <row r="1444" spans="1:4" x14ac:dyDescent="0.2">
      <c r="A1444" s="5">
        <v>1383</v>
      </c>
      <c r="B1444" s="1832">
        <f>'Expenditures 15-22'!D277</f>
        <v>8543</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102140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126052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172</v>
      </c>
      <c r="C1471" s="2" t="s">
        <v>569</v>
      </c>
      <c r="D1471" s="2" t="str">
        <f t="shared" ref="D1471:D1534" si="22">IF(ISBLANK(B1471),"OK",IF(A1471-B1471=0,"OK","Error?"))</f>
        <v>Error?</v>
      </c>
    </row>
    <row r="1472" spans="1:4" x14ac:dyDescent="0.2">
      <c r="A1472" s="5">
        <v>1411</v>
      </c>
      <c r="B1472" s="1832">
        <f>'Expenditures 15-22'!K223</f>
        <v>2214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23912</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656</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571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571</v>
      </c>
      <c r="C1485" s="2" t="s">
        <v>569</v>
      </c>
      <c r="D1485" s="2" t="str">
        <f t="shared" si="22"/>
        <v>Error?</v>
      </c>
    </row>
    <row r="1486" spans="1:4" x14ac:dyDescent="0.2">
      <c r="A1486" s="5">
        <v>1425</v>
      </c>
      <c r="B1486" s="1832">
        <f>'Expenditures 15-22'!K245</f>
        <v>160</v>
      </c>
      <c r="C1486" s="2" t="s">
        <v>569</v>
      </c>
      <c r="D1486" s="2" t="str">
        <f t="shared" si="22"/>
        <v>Error?</v>
      </c>
    </row>
    <row r="1487" spans="1:4" x14ac:dyDescent="0.2">
      <c r="A1487" s="5">
        <v>1426</v>
      </c>
      <c r="B1487" s="1832">
        <f>'Expenditures 15-22'!K246</f>
        <v>1044</v>
      </c>
      <c r="C1487" s="2" t="s">
        <v>569</v>
      </c>
      <c r="D1487" s="2" t="str">
        <f t="shared" si="22"/>
        <v>Error?</v>
      </c>
    </row>
    <row r="1488" spans="1:4" x14ac:dyDescent="0.2">
      <c r="A1488" s="5">
        <v>1427</v>
      </c>
      <c r="B1488" s="1832">
        <f>'Expenditures 15-22'!K257</f>
        <v>10538</v>
      </c>
      <c r="C1488" s="2" t="s">
        <v>569</v>
      </c>
      <c r="D1488" s="2" t="str">
        <f t="shared" si="22"/>
        <v>Error?</v>
      </c>
    </row>
    <row r="1489" spans="1:4" x14ac:dyDescent="0.2">
      <c r="A1489" s="5">
        <v>1428</v>
      </c>
      <c r="B1489" s="1832">
        <f>'Expenditures 15-22'!K259</f>
        <v>18203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18203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5426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32470</v>
      </c>
      <c r="C1495" s="2" t="s">
        <v>569</v>
      </c>
      <c r="D1495" s="2" t="str">
        <f t="shared" si="22"/>
        <v>Error?</v>
      </c>
    </row>
    <row r="1496" spans="1:4" x14ac:dyDescent="0.2">
      <c r="A1496" s="5">
        <v>1435</v>
      </c>
      <c r="B1496" s="1832">
        <f>'Expenditures 15-22'!K267</f>
        <v>10948</v>
      </c>
      <c r="C1496" s="2" t="s">
        <v>569</v>
      </c>
      <c r="D1496" s="2" t="str">
        <f t="shared" si="22"/>
        <v>Error?</v>
      </c>
    </row>
    <row r="1497" spans="1:4" x14ac:dyDescent="0.2">
      <c r="A1497" s="5">
        <v>1436</v>
      </c>
      <c r="B1497" s="1832">
        <f>'Expenditures 15-22'!K268</f>
        <v>14785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63629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8543</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8543</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102140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126052</v>
      </c>
      <c r="C1517" s="2" t="s">
        <v>569</v>
      </c>
      <c r="D1517" s="2" t="str">
        <f t="shared" si="22"/>
        <v>Error?</v>
      </c>
    </row>
    <row r="1518" spans="1:4" x14ac:dyDescent="0.2">
      <c r="A1518" s="5">
        <v>1457</v>
      </c>
      <c r="B1518" s="1832">
        <f>'Expenditures 15-22'!K296</f>
        <v>5416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2160979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3232466</v>
      </c>
      <c r="C1630" s="2" t="s">
        <v>569</v>
      </c>
      <c r="D1630" s="2" t="str">
        <f t="shared" si="24"/>
        <v>Error?</v>
      </c>
    </row>
    <row r="1631" spans="1:4" x14ac:dyDescent="0.2">
      <c r="A1631" s="5">
        <v>1570</v>
      </c>
      <c r="B1631" s="1832">
        <f>'Acct Summary 7-8'!D79</f>
        <v>1426412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1529167</v>
      </c>
      <c r="C1644" s="2" t="s">
        <v>569</v>
      </c>
      <c r="D1644" s="2" t="str">
        <f t="shared" si="24"/>
        <v>Error?</v>
      </c>
    </row>
    <row r="1645" spans="1:4" x14ac:dyDescent="0.2">
      <c r="A1645" s="5">
        <v>1584</v>
      </c>
      <c r="B1645" s="1832">
        <f>'Acct Summary 7-8'!E79</f>
        <v>8146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8155</v>
      </c>
      <c r="C1658" s="2" t="s">
        <v>569</v>
      </c>
      <c r="D1658" s="2" t="str">
        <f t="shared" si="24"/>
        <v>Error?</v>
      </c>
    </row>
    <row r="1659" spans="1:4" x14ac:dyDescent="0.2">
      <c r="A1659" s="5">
        <v>1598</v>
      </c>
      <c r="B1659" s="1832">
        <f>'Acct Summary 7-8'!F79</f>
        <v>719102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717664</v>
      </c>
      <c r="C1672" s="2" t="s">
        <v>569</v>
      </c>
      <c r="D1672" s="2" t="str">
        <f t="shared" si="25"/>
        <v>Error?</v>
      </c>
    </row>
    <row r="1673" spans="1:4" x14ac:dyDescent="0.2">
      <c r="A1673" s="5">
        <v>1612</v>
      </c>
      <c r="B1673" s="1832">
        <f>'Acct Summary 7-8'!G79</f>
        <v>167418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172834</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1612377</v>
      </c>
      <c r="C1744" s="2" t="s">
        <v>569</v>
      </c>
      <c r="D1744" s="2" t="str">
        <f t="shared" si="26"/>
        <v>Error?</v>
      </c>
    </row>
    <row r="1745" spans="1:5" x14ac:dyDescent="0.2">
      <c r="A1745" s="5">
        <v>1684</v>
      </c>
      <c r="B1745" s="1832">
        <f>'Tax Sched 23'!B5</f>
        <v>207359</v>
      </c>
      <c r="C1745" s="2" t="s">
        <v>569</v>
      </c>
      <c r="D1745" s="2" t="str">
        <f t="shared" si="26"/>
        <v>Error?</v>
      </c>
    </row>
    <row r="1746" spans="1:5" x14ac:dyDescent="0.2">
      <c r="A1746" s="5">
        <v>1685</v>
      </c>
      <c r="B1746" s="1832">
        <f>'Tax Sched 23'!B6</f>
        <v>84227</v>
      </c>
      <c r="C1746" s="2" t="s">
        <v>569</v>
      </c>
      <c r="D1746" s="2" t="str">
        <f t="shared" si="26"/>
        <v>Error?</v>
      </c>
    </row>
    <row r="1747" spans="1:5" x14ac:dyDescent="0.2">
      <c r="A1747" s="5">
        <v>1686</v>
      </c>
      <c r="B1747" s="1832">
        <f>'Tax Sched 23'!B7</f>
        <v>84236</v>
      </c>
      <c r="C1747" s="2" t="s">
        <v>569</v>
      </c>
      <c r="D1747" s="2" t="str">
        <f t="shared" si="26"/>
        <v>Error?</v>
      </c>
    </row>
    <row r="1748" spans="1:5" x14ac:dyDescent="0.2">
      <c r="A1748" s="5">
        <v>1687</v>
      </c>
      <c r="B1748" s="1832">
        <f>'Tax Sched 23'!B8</f>
        <v>63513</v>
      </c>
      <c r="C1748" s="2" t="s">
        <v>569</v>
      </c>
      <c r="D1748" s="2" t="str">
        <f t="shared" si="26"/>
        <v>Error?</v>
      </c>
    </row>
    <row r="1749" spans="1:5" x14ac:dyDescent="0.2">
      <c r="A1749" s="5">
        <v>1688</v>
      </c>
      <c r="B1749" s="1832">
        <f>'Tax Sched 23'!B10</f>
        <v>21059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195264</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16846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2348244</v>
      </c>
      <c r="C1759" s="2" t="s">
        <v>569</v>
      </c>
      <c r="D1759" s="2" t="str">
        <f t="shared" si="26"/>
        <v>Error?</v>
      </c>
    </row>
    <row r="1760" spans="1:5" x14ac:dyDescent="0.2">
      <c r="A1760" s="5">
        <v>1699</v>
      </c>
      <c r="B1760" s="1832">
        <f>'Tax Sched 23'!D4</f>
        <v>1612377</v>
      </c>
      <c r="C1760" s="2" t="s">
        <v>569</v>
      </c>
      <c r="D1760" s="2" t="str">
        <f t="shared" si="26"/>
        <v>Error?</v>
      </c>
    </row>
    <row r="1761" spans="1:7" x14ac:dyDescent="0.2">
      <c r="A1761" s="5">
        <v>1700</v>
      </c>
      <c r="B1761" s="1832">
        <f>'Tax Sched 23'!D5</f>
        <v>207359</v>
      </c>
      <c r="C1761" s="2" t="s">
        <v>569</v>
      </c>
      <c r="D1761" s="2" t="str">
        <f t="shared" si="26"/>
        <v>Error?</v>
      </c>
    </row>
    <row r="1762" spans="1:7" s="8" customFormat="1" x14ac:dyDescent="0.2">
      <c r="A1762" s="5">
        <v>1701</v>
      </c>
      <c r="B1762" s="1832">
        <f>'Tax Sched 23'!D6</f>
        <v>84227</v>
      </c>
      <c r="C1762" s="2" t="s">
        <v>569</v>
      </c>
      <c r="D1762" s="2" t="str">
        <f t="shared" si="26"/>
        <v>Error?</v>
      </c>
      <c r="E1762" s="9"/>
      <c r="G1762"/>
    </row>
    <row r="1763" spans="1:7" x14ac:dyDescent="0.2">
      <c r="A1763" s="5">
        <v>1702</v>
      </c>
      <c r="B1763" s="1832">
        <f>'Tax Sched 23'!D7</f>
        <v>84236</v>
      </c>
      <c r="C1763" s="2" t="s">
        <v>569</v>
      </c>
      <c r="D1763" s="2" t="str">
        <f t="shared" si="26"/>
        <v>Error?</v>
      </c>
    </row>
    <row r="1764" spans="1:7" x14ac:dyDescent="0.2">
      <c r="A1764" s="5">
        <v>1703</v>
      </c>
      <c r="B1764" s="1832">
        <f>'Tax Sched 23'!D8</f>
        <v>63513</v>
      </c>
      <c r="C1764" s="2" t="s">
        <v>569</v>
      </c>
      <c r="D1764" s="2" t="str">
        <f t="shared" si="26"/>
        <v>Error?</v>
      </c>
    </row>
    <row r="1765" spans="1:7" x14ac:dyDescent="0.2">
      <c r="A1765" s="5">
        <v>1704</v>
      </c>
      <c r="B1765" s="1832">
        <f>'Tax Sched 23'!D10</f>
        <v>21059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195264</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16846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2348244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1713826</v>
      </c>
      <c r="C1792" s="2" t="s">
        <v>569</v>
      </c>
      <c r="D1792" s="2" t="str">
        <f t="shared" si="27"/>
        <v>Error?</v>
      </c>
    </row>
    <row r="1793" spans="1:4" x14ac:dyDescent="0.2">
      <c r="A1793" s="5">
        <v>1732</v>
      </c>
      <c r="B1793" s="1832">
        <f>'Tax Sched 23'!F5</f>
        <v>222578</v>
      </c>
      <c r="C1793" s="2" t="s">
        <v>569</v>
      </c>
      <c r="D1793" s="2" t="str">
        <f t="shared" si="27"/>
        <v>Error?</v>
      </c>
    </row>
    <row r="1794" spans="1:4" x14ac:dyDescent="0.2">
      <c r="A1794" s="5">
        <v>1733</v>
      </c>
      <c r="B1794" s="1832">
        <f>'Tax Sched 23'!F6</f>
        <v>168345</v>
      </c>
      <c r="C1794" s="2" t="s">
        <v>569</v>
      </c>
      <c r="D1794" s="2" t="str">
        <f t="shared" si="27"/>
        <v>Error?</v>
      </c>
    </row>
    <row r="1795" spans="1:4" x14ac:dyDescent="0.2">
      <c r="A1795" s="5">
        <v>1734</v>
      </c>
      <c r="B1795" s="1832">
        <f>'Tax Sched 23'!F7</f>
        <v>89030</v>
      </c>
      <c r="C1795" s="2" t="s">
        <v>569</v>
      </c>
      <c r="D1795" s="2" t="str">
        <f t="shared" si="27"/>
        <v>Error?</v>
      </c>
    </row>
    <row r="1796" spans="1:4" x14ac:dyDescent="0.2">
      <c r="A1796" s="5">
        <v>1735</v>
      </c>
      <c r="B1796" s="1832">
        <f>'Tax Sched 23'!F8</f>
        <v>44517</v>
      </c>
      <c r="C1796" s="2" t="s">
        <v>569</v>
      </c>
      <c r="D1796" s="2" t="str">
        <f t="shared" si="27"/>
        <v>Error?</v>
      </c>
    </row>
    <row r="1797" spans="1:4" x14ac:dyDescent="0.2">
      <c r="A1797" s="5">
        <v>1736</v>
      </c>
      <c r="B1797" s="1832">
        <f>'Tax Sched 23'!F10</f>
        <v>22259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193863</v>
      </c>
      <c r="C1800" s="2" t="s">
        <v>569</v>
      </c>
      <c r="D1800" s="2" t="str">
        <f t="shared" si="27"/>
        <v>Error?</v>
      </c>
    </row>
    <row r="1801" spans="1:4" x14ac:dyDescent="0.2">
      <c r="A1801" s="5">
        <v>1740</v>
      </c>
      <c r="B1801" s="1832">
        <f>'Tax Sched 23'!F12</f>
        <v>22259</v>
      </c>
      <c r="C1801" s="2" t="s">
        <v>569</v>
      </c>
      <c r="D1801" s="2" t="str">
        <f t="shared" si="27"/>
        <v>Error?</v>
      </c>
    </row>
    <row r="1802" spans="1:4" x14ac:dyDescent="0.2">
      <c r="A1802" s="5">
        <v>1741</v>
      </c>
      <c r="B1802" s="1832">
        <f>'Tax Sched 23'!F14</f>
        <v>17809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2561262</v>
      </c>
      <c r="C1807" s="2" t="s">
        <v>569</v>
      </c>
      <c r="D1807" s="2" t="str">
        <f t="shared" si="27"/>
        <v>Error?</v>
      </c>
    </row>
    <row r="1808" spans="1:4" x14ac:dyDescent="0.2">
      <c r="A1808" s="5">
        <v>1747</v>
      </c>
      <c r="B1808" s="1832">
        <f>'Tax Sched 23'!E4</f>
        <v>1713826</v>
      </c>
      <c r="D1808" s="2" t="str">
        <f t="shared" si="27"/>
        <v>Error?</v>
      </c>
    </row>
    <row r="1809" spans="1:4" x14ac:dyDescent="0.2">
      <c r="A1809" s="5">
        <v>1748</v>
      </c>
      <c r="B1809" s="1832">
        <f>'Tax Sched 23'!E5</f>
        <v>222578</v>
      </c>
      <c r="D1809" s="2" t="str">
        <f t="shared" si="27"/>
        <v>Error?</v>
      </c>
    </row>
    <row r="1810" spans="1:4" x14ac:dyDescent="0.2">
      <c r="A1810" s="5">
        <v>1749</v>
      </c>
      <c r="B1810" s="1832">
        <f>'Tax Sched 23'!E6</f>
        <v>168345</v>
      </c>
      <c r="D1810" s="2" t="str">
        <f t="shared" si="27"/>
        <v>Error?</v>
      </c>
    </row>
    <row r="1811" spans="1:4" x14ac:dyDescent="0.2">
      <c r="A1811" s="5">
        <v>1750</v>
      </c>
      <c r="B1811" s="1832">
        <f>'Tax Sched 23'!E7</f>
        <v>89030</v>
      </c>
      <c r="D1811" s="2" t="str">
        <f t="shared" si="27"/>
        <v>Error?</v>
      </c>
    </row>
    <row r="1812" spans="1:4" x14ac:dyDescent="0.2">
      <c r="A1812" s="5">
        <v>1751</v>
      </c>
      <c r="B1812" s="1832">
        <f>'Tax Sched 23'!E8</f>
        <v>44517</v>
      </c>
      <c r="D1812" s="2" t="str">
        <f t="shared" si="27"/>
        <v>Error?</v>
      </c>
    </row>
    <row r="1813" spans="1:4" x14ac:dyDescent="0.2">
      <c r="A1813" s="5">
        <v>1752</v>
      </c>
      <c r="B1813" s="1832">
        <f>'Tax Sched 23'!E10</f>
        <v>22259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193863</v>
      </c>
      <c r="D1816" s="2" t="str">
        <f t="shared" si="27"/>
        <v>Error?</v>
      </c>
    </row>
    <row r="1817" spans="1:4" x14ac:dyDescent="0.2">
      <c r="A1817" s="5">
        <v>1756</v>
      </c>
      <c r="B1817" s="1832">
        <f>'Tax Sched 23'!E12</f>
        <v>22259</v>
      </c>
      <c r="D1817" s="2" t="str">
        <f t="shared" si="27"/>
        <v>Error?</v>
      </c>
    </row>
    <row r="1818" spans="1:4" x14ac:dyDescent="0.2">
      <c r="A1818" s="5">
        <v>1757</v>
      </c>
      <c r="B1818" s="1832">
        <f>'Tax Sched 23'!E14</f>
        <v>17809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2561262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82000</v>
      </c>
      <c r="C1939" s="2" t="s">
        <v>569</v>
      </c>
      <c r="D1939" s="2" t="str">
        <f t="shared" si="29"/>
        <v>Error?</v>
      </c>
    </row>
    <row r="1940" spans="1:5" x14ac:dyDescent="0.2">
      <c r="A1940" s="5">
        <v>1879</v>
      </c>
      <c r="B1940" s="1832">
        <f>'Short-Term Long-Term Debt 24'!F49</f>
        <v>625000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16846</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16846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16846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5362</v>
      </c>
      <c r="D2008" s="2" t="str">
        <f t="shared" si="30"/>
        <v>Error?</v>
      </c>
    </row>
    <row r="2009" spans="1:4" x14ac:dyDescent="0.2">
      <c r="A2009" s="5">
        <v>1948</v>
      </c>
      <c r="B2009" s="1832">
        <f>'Cap Outlay Deprec 26'!C8</f>
        <v>3068594</v>
      </c>
      <c r="D2009" s="2" t="str">
        <f t="shared" si="30"/>
        <v>Error?</v>
      </c>
    </row>
    <row r="2010" spans="1:4" x14ac:dyDescent="0.2">
      <c r="A2010" s="5">
        <v>1949</v>
      </c>
      <c r="B2010" s="1832">
        <f>'Cap Outlay Deprec 26'!C10</f>
        <v>2075104</v>
      </c>
      <c r="D2010" s="2" t="str">
        <f t="shared" si="30"/>
        <v>Error?</v>
      </c>
    </row>
    <row r="2011" spans="1:4" x14ac:dyDescent="0.2">
      <c r="A2011" s="5">
        <v>1950</v>
      </c>
      <c r="B2011" s="1832">
        <f>'Cap Outlay Deprec 26'!C12</f>
        <v>1838740</v>
      </c>
      <c r="D2011" s="2" t="str">
        <f t="shared" si="30"/>
        <v>Error?</v>
      </c>
    </row>
    <row r="2012" spans="1:4" x14ac:dyDescent="0.2">
      <c r="A2012" s="5">
        <v>1951</v>
      </c>
      <c r="B2012" s="1832">
        <f>'Cap Outlay Deprec 26'!C13</f>
        <v>513268</v>
      </c>
      <c r="D2012" s="2" t="str">
        <f t="shared" si="30"/>
        <v>Error?</v>
      </c>
    </row>
    <row r="2013" spans="1:4" x14ac:dyDescent="0.2">
      <c r="A2013" s="5">
        <v>1952</v>
      </c>
      <c r="B2013" s="1832">
        <f>'Cap Outlay Deprec 26'!C16</f>
        <v>7625210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21317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21317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5362</v>
      </c>
      <c r="C2026" s="2" t="s">
        <v>569</v>
      </c>
      <c r="D2026" s="2" t="str">
        <f t="shared" si="30"/>
        <v>Error?</v>
      </c>
    </row>
    <row r="2027" spans="1:4" x14ac:dyDescent="0.2">
      <c r="A2027" s="5">
        <v>1966</v>
      </c>
      <c r="B2027" s="1832">
        <f>'Cap Outlay Deprec 26'!F8</f>
        <v>3068594</v>
      </c>
      <c r="C2027" s="2" t="s">
        <v>569</v>
      </c>
      <c r="D2027" s="2" t="str">
        <f t="shared" si="30"/>
        <v>Error?</v>
      </c>
    </row>
    <row r="2028" spans="1:4" x14ac:dyDescent="0.2">
      <c r="A2028" s="5">
        <v>1967</v>
      </c>
      <c r="B2028" s="1832">
        <f>'Cap Outlay Deprec 26'!F10</f>
        <v>2075104</v>
      </c>
      <c r="C2028" s="2" t="s">
        <v>569</v>
      </c>
      <c r="D2028" s="2" t="str">
        <f t="shared" si="30"/>
        <v>Error?</v>
      </c>
    </row>
    <row r="2029" spans="1:4" x14ac:dyDescent="0.2">
      <c r="A2029" s="5">
        <v>1968</v>
      </c>
      <c r="B2029" s="1832">
        <f>'Cap Outlay Deprec 26'!F12</f>
        <v>1860057</v>
      </c>
      <c r="C2029" s="2" t="s">
        <v>569</v>
      </c>
      <c r="D2029" s="2" t="str">
        <f t="shared" si="30"/>
        <v>Error?</v>
      </c>
    </row>
    <row r="2030" spans="1:4" x14ac:dyDescent="0.2">
      <c r="A2030" s="5">
        <v>1969</v>
      </c>
      <c r="B2030" s="1832">
        <f>'Cap Outlay Deprec 26'!F13</f>
        <v>513268</v>
      </c>
      <c r="C2030" s="2" t="s">
        <v>569</v>
      </c>
      <c r="D2030" s="2" t="str">
        <f t="shared" si="30"/>
        <v>Error?</v>
      </c>
    </row>
    <row r="2031" spans="1:4" x14ac:dyDescent="0.2">
      <c r="A2031" s="5">
        <v>1970</v>
      </c>
      <c r="B2031" s="1832">
        <f>'Cap Outlay Deprec 26'!F16</f>
        <v>7646527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1938856</v>
      </c>
      <c r="D2033" s="2" t="str">
        <f t="shared" si="30"/>
        <v>Error?</v>
      </c>
    </row>
    <row r="2034" spans="1:4" x14ac:dyDescent="0.2">
      <c r="A2034" s="5">
        <v>1973</v>
      </c>
      <c r="B2034" s="1832">
        <f>'Cap Outlay Deprec 26'!H10</f>
        <v>1536323</v>
      </c>
      <c r="D2034" s="2" t="str">
        <f t="shared" si="30"/>
        <v>Error?</v>
      </c>
    </row>
    <row r="2035" spans="1:4" x14ac:dyDescent="0.2">
      <c r="A2035" s="5">
        <v>1974</v>
      </c>
      <c r="B2035" s="1832">
        <f>'Cap Outlay Deprec 26'!H12</f>
        <v>1507773</v>
      </c>
      <c r="D2035" s="2" t="str">
        <f t="shared" si="30"/>
        <v>Error?</v>
      </c>
    </row>
    <row r="2036" spans="1:4" x14ac:dyDescent="0.2">
      <c r="A2036" s="5">
        <v>1975</v>
      </c>
      <c r="B2036" s="1832">
        <f>'Cap Outlay Deprec 26'!H13</f>
        <v>369233</v>
      </c>
      <c r="D2036" s="2" t="str">
        <f t="shared" si="30"/>
        <v>Error?</v>
      </c>
    </row>
    <row r="2037" spans="1:4" x14ac:dyDescent="0.2">
      <c r="A2037" s="5">
        <v>1976</v>
      </c>
      <c r="B2037" s="1832">
        <f>'Cap Outlay Deprec 26'!H16</f>
        <v>5476327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38315</v>
      </c>
      <c r="D2039" s="2" t="str">
        <f t="shared" si="30"/>
        <v>Error?</v>
      </c>
    </row>
    <row r="2040" spans="1:4" x14ac:dyDescent="0.2">
      <c r="A2040" s="5">
        <v>1979</v>
      </c>
      <c r="B2040" s="1832">
        <f>'Cap Outlay Deprec 26'!I10</f>
        <v>92666</v>
      </c>
      <c r="D2040" s="2" t="str">
        <f t="shared" si="30"/>
        <v>Error?</v>
      </c>
    </row>
    <row r="2041" spans="1:4" x14ac:dyDescent="0.2">
      <c r="A2041" s="5">
        <v>1980</v>
      </c>
      <c r="B2041" s="1832">
        <f>'Cap Outlay Deprec 26'!I12</f>
        <v>59795</v>
      </c>
      <c r="D2041" s="2" t="str">
        <f t="shared" si="30"/>
        <v>Error?</v>
      </c>
    </row>
    <row r="2042" spans="1:4" x14ac:dyDescent="0.2">
      <c r="A2042" s="5">
        <v>1981</v>
      </c>
      <c r="B2042" s="1832">
        <f>'Cap Outlay Deprec 26'!I13</f>
        <v>82152</v>
      </c>
      <c r="D2042" s="2" t="str">
        <f t="shared" si="30"/>
        <v>Error?</v>
      </c>
    </row>
    <row r="2043" spans="1:4" x14ac:dyDescent="0.2">
      <c r="A2043" s="5">
        <v>1982</v>
      </c>
      <c r="B2043" s="1832">
        <f>'Cap Outlay Deprec 26'!I16</f>
        <v>272928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1977171</v>
      </c>
      <c r="C2051" s="2" t="s">
        <v>569</v>
      </c>
      <c r="D2051" s="2" t="str">
        <f t="shared" si="31"/>
        <v>Error?</v>
      </c>
    </row>
    <row r="2052" spans="1:4" x14ac:dyDescent="0.2">
      <c r="A2052" s="5">
        <v>1991</v>
      </c>
      <c r="B2052" s="1832">
        <f>'Cap Outlay Deprec 26'!K10</f>
        <v>1628989</v>
      </c>
      <c r="C2052" s="2" t="s">
        <v>569</v>
      </c>
      <c r="D2052" s="2" t="str">
        <f t="shared" si="31"/>
        <v>Error?</v>
      </c>
    </row>
    <row r="2053" spans="1:4" x14ac:dyDescent="0.2">
      <c r="A2053" s="5">
        <v>1992</v>
      </c>
      <c r="B2053" s="1832">
        <f>'Cap Outlay Deprec 26'!K12</f>
        <v>1567568</v>
      </c>
      <c r="C2053" s="2" t="s">
        <v>569</v>
      </c>
      <c r="D2053" s="2" t="str">
        <f t="shared" si="31"/>
        <v>Error?</v>
      </c>
    </row>
    <row r="2054" spans="1:4" x14ac:dyDescent="0.2">
      <c r="A2054" s="5">
        <v>1993</v>
      </c>
      <c r="B2054" s="1832">
        <f>'Cap Outlay Deprec 26'!K13</f>
        <v>451385</v>
      </c>
      <c r="C2054" s="2" t="s">
        <v>569</v>
      </c>
      <c r="D2054" s="2" t="str">
        <f t="shared" si="31"/>
        <v>Error?</v>
      </c>
    </row>
    <row r="2055" spans="1:4" x14ac:dyDescent="0.2">
      <c r="A2055" s="5">
        <v>1994</v>
      </c>
      <c r="B2055" s="1832">
        <f>'Cap Outlay Deprec 26'!K16</f>
        <v>5749255</v>
      </c>
      <c r="C2055" s="2" t="s">
        <v>569</v>
      </c>
      <c r="D2055" s="2" t="str">
        <f t="shared" si="31"/>
        <v>Error?</v>
      </c>
    </row>
    <row r="2056" spans="1:4" x14ac:dyDescent="0.2">
      <c r="A2056" s="5">
        <v>1995</v>
      </c>
      <c r="B2056" s="1832">
        <f>'Cap Outlay Deprec 26'!L5</f>
        <v>5362</v>
      </c>
      <c r="C2056" s="2" t="s">
        <v>569</v>
      </c>
      <c r="D2056" s="2" t="str">
        <f t="shared" si="31"/>
        <v>Error?</v>
      </c>
    </row>
    <row r="2057" spans="1:4" x14ac:dyDescent="0.2">
      <c r="A2057" s="5">
        <v>1996</v>
      </c>
      <c r="B2057" s="1832">
        <f>'Cap Outlay Deprec 26'!L8</f>
        <v>1091423</v>
      </c>
      <c r="C2057" s="2" t="s">
        <v>569</v>
      </c>
      <c r="D2057" s="2" t="str">
        <f t="shared" si="31"/>
        <v>Error?</v>
      </c>
    </row>
    <row r="2058" spans="1:4" x14ac:dyDescent="0.2">
      <c r="A2058" s="5">
        <v>1997</v>
      </c>
      <c r="B2058" s="1832">
        <f>'Cap Outlay Deprec 26'!L10</f>
        <v>446115</v>
      </c>
      <c r="C2058" s="2" t="s">
        <v>569</v>
      </c>
      <c r="D2058" s="2" t="str">
        <f t="shared" si="31"/>
        <v>Error?</v>
      </c>
    </row>
    <row r="2059" spans="1:4" x14ac:dyDescent="0.2">
      <c r="A2059" s="5">
        <v>1998</v>
      </c>
      <c r="B2059" s="1832">
        <f>'Cap Outlay Deprec 26'!L12</f>
        <v>292489</v>
      </c>
      <c r="C2059" s="2" t="s">
        <v>569</v>
      </c>
      <c r="D2059" s="2" t="str">
        <f t="shared" si="31"/>
        <v>Error?</v>
      </c>
    </row>
    <row r="2060" spans="1:4" x14ac:dyDescent="0.2">
      <c r="A2060" s="5">
        <v>1999</v>
      </c>
      <c r="B2060" s="1832">
        <f>'Cap Outlay Deprec 26'!L13</f>
        <v>61883</v>
      </c>
      <c r="C2060" s="2" t="s">
        <v>569</v>
      </c>
      <c r="D2060" s="2" t="str">
        <f t="shared" si="31"/>
        <v>Error?</v>
      </c>
    </row>
    <row r="2061" spans="1:4" x14ac:dyDescent="0.2">
      <c r="A2061" s="5">
        <v>2000</v>
      </c>
      <c r="B2061" s="1832">
        <f>'Cap Outlay Deprec 26'!L16</f>
        <v>1897272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430812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700000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172834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1764531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1220927</v>
      </c>
      <c r="C2553" s="2" t="s">
        <v>569</v>
      </c>
      <c r="D2553" s="2" t="str">
        <f t="shared" si="38"/>
        <v>Error?</v>
      </c>
    </row>
    <row r="2554" spans="1:4" x14ac:dyDescent="0.2">
      <c r="A2554" s="5">
        <v>2493</v>
      </c>
      <c r="B2554" s="1832">
        <f>'Acct Summary 7-8'!C7</f>
        <v>400491</v>
      </c>
      <c r="C2554" s="2" t="s">
        <v>569</v>
      </c>
      <c r="D2554" s="2" t="str">
        <f t="shared" si="38"/>
        <v>Error?</v>
      </c>
    </row>
    <row r="2555" spans="1:4" x14ac:dyDescent="0.2">
      <c r="A2555" s="5">
        <v>2494</v>
      </c>
      <c r="B2555" s="1832">
        <f>'Acct Summary 7-8'!C8</f>
        <v>3385949</v>
      </c>
      <c r="C2555" s="2" t="s">
        <v>569</v>
      </c>
      <c r="D2555" s="2" t="str">
        <f t="shared" si="38"/>
        <v>Error?</v>
      </c>
    </row>
    <row r="2556" spans="1:4" x14ac:dyDescent="0.2">
      <c r="A2556" s="5">
        <v>2495</v>
      </c>
      <c r="B2556" s="1832">
        <f>'Acct Summary 7-8'!C12</f>
        <v>1472945</v>
      </c>
      <c r="C2556" s="2" t="s">
        <v>569</v>
      </c>
      <c r="D2556" s="2" t="str">
        <f t="shared" si="38"/>
        <v>Error?</v>
      </c>
    </row>
    <row r="2557" spans="1:4" x14ac:dyDescent="0.2">
      <c r="A2557" s="5">
        <v>2496</v>
      </c>
      <c r="B2557" s="1832">
        <f>'Acct Summary 7-8'!C13</f>
        <v>1110705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430812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3014462</v>
      </c>
      <c r="C2561" s="2" t="s">
        <v>569</v>
      </c>
      <c r="D2561" s="2" t="str">
        <f t="shared" si="39"/>
        <v>Error?</v>
      </c>
    </row>
    <row r="2562" spans="1:4" x14ac:dyDescent="0.2">
      <c r="A2562" s="5">
        <v>2501</v>
      </c>
      <c r="B2562" s="1832">
        <f>'Acct Summary 7-8'!C20</f>
        <v>371487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295820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345820</v>
      </c>
      <c r="C2568" s="2" t="s">
        <v>569</v>
      </c>
      <c r="D2568" s="2" t="str">
        <f t="shared" si="39"/>
        <v>Error?</v>
      </c>
    </row>
    <row r="2569" spans="1:4" x14ac:dyDescent="0.2">
      <c r="A2569" s="5">
        <v>2508</v>
      </c>
      <c r="B2569" s="1832">
        <f>'Acct Summary 7-8'!D13</f>
        <v>243065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243065</v>
      </c>
      <c r="C2573" s="2" t="s">
        <v>569</v>
      </c>
      <c r="D2573" s="2" t="str">
        <f t="shared" si="39"/>
        <v>Error?</v>
      </c>
    </row>
    <row r="2574" spans="1:4" x14ac:dyDescent="0.2">
      <c r="A2574" s="5">
        <v>2513</v>
      </c>
      <c r="B2574" s="1832">
        <f>'Acct Summary 7-8'!D20</f>
        <v>102755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86381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158429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244810</v>
      </c>
      <c r="C2595" s="2" t="s">
        <v>569</v>
      </c>
      <c r="D2595" s="2" t="str">
        <f t="shared" si="39"/>
        <v>Error?</v>
      </c>
    </row>
    <row r="2596" spans="1:4" x14ac:dyDescent="0.2">
      <c r="A2596" s="5">
        <v>2535</v>
      </c>
      <c r="B2596" s="1832">
        <f>'Acct Summary 7-8'!F13</f>
        <v>204209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42039</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246248</v>
      </c>
      <c r="C2600" s="2" t="s">
        <v>569</v>
      </c>
      <c r="D2600" s="2" t="str">
        <f t="shared" si="39"/>
        <v>Error?</v>
      </c>
    </row>
    <row r="2601" spans="1:4" x14ac:dyDescent="0.2">
      <c r="A2601" s="5">
        <v>2540</v>
      </c>
      <c r="B2601" s="1832">
        <f>'Acct Summary 7-8'!F20</f>
        <v>-1438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131468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131468</v>
      </c>
      <c r="C2606" s="2" t="s">
        <v>569</v>
      </c>
      <c r="D2606" s="2" t="str">
        <f t="shared" si="39"/>
        <v>Error?</v>
      </c>
    </row>
    <row r="2607" spans="1:4" x14ac:dyDescent="0.2">
      <c r="A2607" s="5">
        <v>2546</v>
      </c>
      <c r="B2607" s="1832">
        <f>'Acct Summary 7-8'!G12</f>
        <v>23912</v>
      </c>
      <c r="C2607" s="2" t="s">
        <v>569</v>
      </c>
      <c r="D2607" s="2" t="str">
        <f t="shared" si="39"/>
        <v>Error?</v>
      </c>
    </row>
    <row r="2608" spans="1:4" x14ac:dyDescent="0.2">
      <c r="A2608" s="5">
        <v>2547</v>
      </c>
      <c r="B2608" s="1832">
        <f>'Acct Summary 7-8'!G13</f>
        <v>102140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126052</v>
      </c>
      <c r="C2612" s="2" t="s">
        <v>569</v>
      </c>
      <c r="D2612" s="2" t="str">
        <f t="shared" si="39"/>
        <v>Error?</v>
      </c>
    </row>
    <row r="2613" spans="1:4" x14ac:dyDescent="0.2">
      <c r="A2613" s="5">
        <v>2552</v>
      </c>
      <c r="B2613" s="1832">
        <f>'Acct Summary 7-8'!G20</f>
        <v>5416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84260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84260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84251</v>
      </c>
      <c r="C2634" s="2" t="s">
        <v>569</v>
      </c>
      <c r="D2634" s="2" t="str">
        <f t="shared" si="40"/>
        <v>Error?</v>
      </c>
    </row>
    <row r="2635" spans="1:4" x14ac:dyDescent="0.2">
      <c r="A2635" s="5">
        <v>2574</v>
      </c>
      <c r="B2635" s="1832">
        <f>'Acct Summary 7-8'!E17</f>
        <v>84251</v>
      </c>
      <c r="C2635" s="2" t="s">
        <v>569</v>
      </c>
      <c r="D2635" s="2" t="str">
        <f t="shared" si="40"/>
        <v>Error?</v>
      </c>
    </row>
    <row r="2636" spans="1:4" x14ac:dyDescent="0.2">
      <c r="A2636" s="5">
        <v>2575</v>
      </c>
      <c r="B2636" s="1832">
        <f>'Acct Summary 7-8'!E20</f>
        <v>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42039</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42039</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803066</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803580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82499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803580</v>
      </c>
      <c r="D2912" s="2" t="str">
        <f t="shared" si="44"/>
        <v>Error?</v>
      </c>
    </row>
    <row r="2913" spans="1:4" x14ac:dyDescent="0.2">
      <c r="A2913" s="5">
        <v>2852</v>
      </c>
      <c r="B2913" s="1832">
        <f>'Assets-Liab 5-6'!I41</f>
        <v>803580</v>
      </c>
      <c r="C2913" s="2" t="s">
        <v>569</v>
      </c>
      <c r="D2913" s="2" t="str">
        <f t="shared" si="44"/>
        <v>Error?</v>
      </c>
    </row>
    <row r="2914" spans="1:4" x14ac:dyDescent="0.2">
      <c r="A2914" s="5">
        <v>2853</v>
      </c>
      <c r="B2914" s="1832">
        <f>'Assets-Liab 5-6'!L33</f>
        <v>82499</v>
      </c>
      <c r="D2914" s="2" t="str">
        <f t="shared" si="44"/>
        <v>Error?</v>
      </c>
    </row>
    <row r="2915" spans="1:4" x14ac:dyDescent="0.2">
      <c r="A2915" s="10">
        <v>2854</v>
      </c>
      <c r="B2915" s="1832"/>
      <c r="D2915" s="2" t="str">
        <f t="shared" si="44"/>
        <v>OK</v>
      </c>
    </row>
    <row r="2916" spans="1:4" x14ac:dyDescent="0.2">
      <c r="A2916" s="5">
        <v>2855</v>
      </c>
      <c r="B2916" s="1832">
        <f>'Assets-Liab 5-6'!L34</f>
        <v>82499</v>
      </c>
      <c r="C2916" s="2" t="s">
        <v>569</v>
      </c>
      <c r="D2916" s="2" t="str">
        <f t="shared" si="44"/>
        <v>Error?</v>
      </c>
    </row>
    <row r="2917" spans="1:4" x14ac:dyDescent="0.2">
      <c r="A2917" s="5">
        <v>2856</v>
      </c>
      <c r="B2917" s="1832">
        <f>'Assets-Liab 5-6'!L41</f>
        <v>82499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42039</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42039</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58510</v>
      </c>
      <c r="D3055" s="2" t="str">
        <f t="shared" si="46"/>
        <v>Error?</v>
      </c>
    </row>
    <row r="3056" spans="1:4" x14ac:dyDescent="0.2">
      <c r="A3056" s="5">
        <v>2995</v>
      </c>
      <c r="B3056" s="1832">
        <f>'Expenditures 15-22'!D10</f>
        <v>17415</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25357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101282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4021</v>
      </c>
      <c r="D3064" s="2" t="str">
        <f t="shared" si="46"/>
        <v>Error?</v>
      </c>
    </row>
    <row r="3065" spans="1:4" x14ac:dyDescent="0.2">
      <c r="A3065" s="5">
        <v>3004</v>
      </c>
      <c r="B3065" s="1832">
        <f>'Expenditures 15-22'!K219</f>
        <v>4021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31299</v>
      </c>
      <c r="C3225" s="2" t="s">
        <v>569</v>
      </c>
      <c r="D3225" s="2" t="str">
        <f t="shared" si="49"/>
        <v>Error?</v>
      </c>
    </row>
    <row r="3226" spans="1:4" x14ac:dyDescent="0.2">
      <c r="A3226" s="5">
        <v>3165</v>
      </c>
      <c r="B3226" s="1832">
        <f>'Acct Summary 7-8'!I8</f>
        <v>31299</v>
      </c>
      <c r="C3226" s="2" t="s">
        <v>569</v>
      </c>
      <c r="D3226" s="2" t="str">
        <f t="shared" si="49"/>
        <v>Error?</v>
      </c>
    </row>
    <row r="3227" spans="1:4" x14ac:dyDescent="0.2">
      <c r="A3227" s="5">
        <v>3166</v>
      </c>
      <c r="B3227" s="1832">
        <f>'Acct Summary 7-8'!I20</f>
        <v>31299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700000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700000</v>
      </c>
      <c r="C3232" s="2" t="s">
        <v>569</v>
      </c>
      <c r="D3232" s="2" t="str">
        <f t="shared" si="49"/>
        <v>Error?</v>
      </c>
    </row>
    <row r="3233" spans="1:4" x14ac:dyDescent="0.2">
      <c r="A3233" s="5">
        <v>3172</v>
      </c>
      <c r="B3233" s="1832">
        <f>'Acct Summary 7-8'!C78</f>
        <v>1071487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102755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-1438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5416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630603</v>
      </c>
      <c r="C3317" s="2" t="s">
        <v>569</v>
      </c>
      <c r="D3317" s="2" t="str">
        <f t="shared" si="50"/>
        <v>Error?</v>
      </c>
    </row>
    <row r="3318" spans="1:4" x14ac:dyDescent="0.2">
      <c r="A3318" s="5">
        <v>3257</v>
      </c>
      <c r="B3318" s="1832">
        <f>'Acct Summary 7-8'!I76</f>
        <v>700000</v>
      </c>
      <c r="C3318" s="2" t="s">
        <v>569</v>
      </c>
      <c r="D3318" s="2" t="str">
        <f t="shared" si="50"/>
        <v>Error?</v>
      </c>
    </row>
    <row r="3319" spans="1:4" x14ac:dyDescent="0.2">
      <c r="A3319" s="5">
        <v>3258</v>
      </c>
      <c r="B3319" s="1832">
        <f>'Acct Summary 7-8'!I77</f>
        <v>-69397</v>
      </c>
      <c r="C3319" s="2" t="s">
        <v>569</v>
      </c>
      <c r="D3319" s="2" t="str">
        <f t="shared" si="50"/>
        <v>Error?</v>
      </c>
    </row>
    <row r="3320" spans="1:4" x14ac:dyDescent="0.2">
      <c r="A3320" s="5">
        <v>3259</v>
      </c>
      <c r="B3320" s="1832">
        <f>'Acct Summary 7-8'!I78</f>
        <v>-38098</v>
      </c>
      <c r="C3320" s="2" t="s">
        <v>569</v>
      </c>
      <c r="D3320" s="2" t="str">
        <f t="shared" si="50"/>
        <v>Error?</v>
      </c>
    </row>
    <row r="3321" spans="1:4" x14ac:dyDescent="0.2">
      <c r="A3321" s="5">
        <v>3260</v>
      </c>
      <c r="B3321" s="1832">
        <f>'Acct Summary 7-8'!I79</f>
        <v>841678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803580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16352</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16352</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592613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1529167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8155</v>
      </c>
      <c r="D3417" s="2" t="str">
        <f t="shared" si="52"/>
        <v>Error?</v>
      </c>
    </row>
    <row r="3418" spans="1:4" x14ac:dyDescent="0.2">
      <c r="A3418" s="10">
        <v>3357</v>
      </c>
      <c r="B3418" s="1832"/>
      <c r="D3418" s="2" t="str">
        <f t="shared" si="52"/>
        <v>OK</v>
      </c>
    </row>
    <row r="3419" spans="1:4" x14ac:dyDescent="0.2">
      <c r="A3419" s="5">
        <v>3358</v>
      </c>
      <c r="B3419" s="1832">
        <f>'Assets-Liab 5-6'!F4</f>
        <v>717664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172834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514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82499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63363</v>
      </c>
      <c r="C3446" s="2" t="s">
        <v>569</v>
      </c>
      <c r="D3446" s="2" t="str">
        <f t="shared" si="52"/>
        <v>Error?</v>
      </c>
    </row>
    <row r="3447" spans="1:4" x14ac:dyDescent="0.2">
      <c r="A3447" s="5">
        <v>3386</v>
      </c>
      <c r="B3447" s="1832">
        <f>'Tax Sched 23'!D16</f>
        <v>63363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44517</v>
      </c>
      <c r="C3449" s="2" t="s">
        <v>569</v>
      </c>
      <c r="D3449" s="2" t="str">
        <f t="shared" si="52"/>
        <v>Error?</v>
      </c>
    </row>
    <row r="3450" spans="1:4" x14ac:dyDescent="0.2">
      <c r="A3450" s="5">
        <v>3389</v>
      </c>
      <c r="B3450" s="1832">
        <f>'Tax Sched 23'!E16</f>
        <v>44517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213847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213847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213847</v>
      </c>
      <c r="D3567" s="2" t="str">
        <f t="shared" si="54"/>
        <v>Error?</v>
      </c>
    </row>
    <row r="3568" spans="1:4" x14ac:dyDescent="0.2">
      <c r="A3568" s="5">
        <v>3507</v>
      </c>
      <c r="B3568" s="1832">
        <f>'Assets-Liab 5-6'!K41</f>
        <v>213847</v>
      </c>
      <c r="C3568" s="2" t="s">
        <v>569</v>
      </c>
      <c r="D3568" s="2" t="str">
        <f t="shared" si="54"/>
        <v>Error?</v>
      </c>
    </row>
    <row r="3569" spans="1:4" x14ac:dyDescent="0.2">
      <c r="A3569" s="5">
        <v>3508</v>
      </c>
      <c r="B3569" s="1832">
        <f>'Acct Summary 7-8'!K4</f>
        <v>654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654</v>
      </c>
      <c r="C3571" s="2" t="s">
        <v>569</v>
      </c>
      <c r="D3571" s="2" t="str">
        <f t="shared" si="54"/>
        <v>Error?</v>
      </c>
    </row>
    <row r="3572" spans="1:4" x14ac:dyDescent="0.2">
      <c r="A3572" s="5">
        <v>3511</v>
      </c>
      <c r="B3572" s="1832">
        <f>'Acct Summary 7-8'!K13</f>
        <v>57328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57328</v>
      </c>
      <c r="C3575" s="2" t="s">
        <v>569</v>
      </c>
      <c r="D3575" s="2" t="str">
        <f t="shared" si="54"/>
        <v>Error?</v>
      </c>
    </row>
    <row r="3576" spans="1:4" x14ac:dyDescent="0.2">
      <c r="A3576" s="5">
        <v>3515</v>
      </c>
      <c r="B3576" s="1832">
        <f>'Acct Summary 7-8'!K20</f>
        <v>-56674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-56674</v>
      </c>
      <c r="C3588" s="2" t="s">
        <v>569</v>
      </c>
      <c r="D3588" s="2" t="str">
        <f t="shared" si="55"/>
        <v>Error?</v>
      </c>
    </row>
    <row r="3589" spans="1:4" x14ac:dyDescent="0.2">
      <c r="A3589" s="5">
        <v>3528</v>
      </c>
      <c r="B3589" s="1832">
        <f>'Acct Summary 7-8'!K79</f>
        <v>270521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213847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15400</v>
      </c>
      <c r="D3631" s="2" t="str">
        <f t="shared" si="55"/>
        <v>Error?</v>
      </c>
    </row>
    <row r="3632" spans="1:4" x14ac:dyDescent="0.2">
      <c r="A3632" s="5">
        <v>3571</v>
      </c>
      <c r="B3632" s="1832">
        <f>'Expenditures 15-22'!E349</f>
        <v>41928</v>
      </c>
      <c r="D3632" s="2" t="str">
        <f t="shared" si="55"/>
        <v>Error?</v>
      </c>
    </row>
    <row r="3633" spans="1:4" x14ac:dyDescent="0.2">
      <c r="A3633" s="5">
        <v>3572</v>
      </c>
      <c r="B3633" s="1832">
        <f>'Expenditures 15-22'!E350</f>
        <v>57328</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57328</v>
      </c>
      <c r="C3635" s="2" t="s">
        <v>569</v>
      </c>
      <c r="D3635" s="2" t="str">
        <f t="shared" si="55"/>
        <v>Error?</v>
      </c>
    </row>
    <row r="3636" spans="1:4" x14ac:dyDescent="0.2">
      <c r="A3636" s="5">
        <v>3575</v>
      </c>
      <c r="B3636" s="1832">
        <f>'Expenditures 15-22'!E367</f>
        <v>57328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15400</v>
      </c>
      <c r="C3668" s="2" t="s">
        <v>569</v>
      </c>
      <c r="D3668" s="2" t="str">
        <f t="shared" si="56"/>
        <v>Error?</v>
      </c>
    </row>
    <row r="3669" spans="1:4" x14ac:dyDescent="0.2">
      <c r="A3669" s="5">
        <v>3608</v>
      </c>
      <c r="B3669" s="1832">
        <f>'Expenditures 15-22'!K349</f>
        <v>41928</v>
      </c>
      <c r="C3669" s="2" t="s">
        <v>569</v>
      </c>
      <c r="D3669" s="2" t="str">
        <f t="shared" si="56"/>
        <v>Error?</v>
      </c>
    </row>
    <row r="3670" spans="1:4" x14ac:dyDescent="0.2">
      <c r="A3670" s="5">
        <v>3609</v>
      </c>
      <c r="B3670" s="1832">
        <f>'Expenditures 15-22'!K350</f>
        <v>57328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57328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57328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-56674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22259</v>
      </c>
      <c r="C3728" s="2" t="s">
        <v>569</v>
      </c>
      <c r="D3728" s="2" t="str">
        <f t="shared" si="57"/>
        <v>Error?</v>
      </c>
    </row>
    <row r="3729" spans="1:4" x14ac:dyDescent="0.2">
      <c r="A3729" s="5">
        <v>3668</v>
      </c>
      <c r="B3729" s="1832">
        <f>'Tax Sched 23'!E13</f>
        <v>22259</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1235856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4621805</v>
      </c>
      <c r="C4122" s="2" t="s">
        <v>569</v>
      </c>
      <c r="D4122" s="2" t="str">
        <f t="shared" si="63"/>
        <v>Error?</v>
      </c>
    </row>
    <row r="4123" spans="1:4" x14ac:dyDescent="0.2">
      <c r="A4123" s="5">
        <v>4062</v>
      </c>
      <c r="B4123" s="1832">
        <f>'Acct Summary 7-8'!D10</f>
        <v>345820</v>
      </c>
      <c r="C4123" s="2" t="s">
        <v>569</v>
      </c>
      <c r="D4123" s="2" t="str">
        <f t="shared" si="63"/>
        <v>Error?</v>
      </c>
    </row>
    <row r="4124" spans="1:4" x14ac:dyDescent="0.2">
      <c r="A4124" s="5">
        <v>4063</v>
      </c>
      <c r="B4124" s="1832">
        <f>'Acct Summary 7-8'!E10</f>
        <v>84260</v>
      </c>
      <c r="C4124" s="2" t="s">
        <v>569</v>
      </c>
      <c r="D4124" s="2" t="str">
        <f t="shared" si="63"/>
        <v>Error?</v>
      </c>
    </row>
    <row r="4125" spans="1:4" x14ac:dyDescent="0.2">
      <c r="A4125" s="5">
        <v>4064</v>
      </c>
      <c r="B4125" s="1832">
        <f>'Acct Summary 7-8'!F10</f>
        <v>244810</v>
      </c>
      <c r="C4125" s="2" t="s">
        <v>569</v>
      </c>
      <c r="D4125" s="2" t="str">
        <f t="shared" si="63"/>
        <v>Error?</v>
      </c>
    </row>
    <row r="4126" spans="1:4" x14ac:dyDescent="0.2">
      <c r="A4126" s="5">
        <v>4065</v>
      </c>
      <c r="B4126" s="1832">
        <f>'Acct Summary 7-8'!G10</f>
        <v>131468</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31299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654</v>
      </c>
      <c r="C4130" s="2" t="s">
        <v>569</v>
      </c>
      <c r="D4130" s="2" t="str">
        <f t="shared" si="63"/>
        <v>Error?</v>
      </c>
    </row>
    <row r="4131" spans="1:4" x14ac:dyDescent="0.2">
      <c r="A4131" s="5">
        <v>4070</v>
      </c>
      <c r="B4131" s="1832">
        <f>'Acct Summary 7-8'!C18</f>
        <v>1235856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4250318</v>
      </c>
      <c r="C4136" s="2" t="s">
        <v>569</v>
      </c>
      <c r="D4136" s="2" t="str">
        <f t="shared" si="63"/>
        <v>Error?</v>
      </c>
    </row>
    <row r="4137" spans="1:4" x14ac:dyDescent="0.2">
      <c r="A4137" s="5">
        <v>4076</v>
      </c>
      <c r="B4137" s="1832">
        <f>'Acct Summary 7-8'!D19</f>
        <v>243065</v>
      </c>
      <c r="C4137" s="2" t="s">
        <v>569</v>
      </c>
      <c r="D4137" s="2" t="str">
        <f t="shared" si="63"/>
        <v>Error?</v>
      </c>
    </row>
    <row r="4138" spans="1:4" x14ac:dyDescent="0.2">
      <c r="A4138" s="5">
        <v>4077</v>
      </c>
      <c r="B4138" s="1832">
        <f>'Acct Summary 7-8'!E19</f>
        <v>84251</v>
      </c>
      <c r="C4138" s="2" t="s">
        <v>569</v>
      </c>
      <c r="D4138" s="2" t="str">
        <f t="shared" si="63"/>
        <v>Error?</v>
      </c>
    </row>
    <row r="4139" spans="1:4" x14ac:dyDescent="0.2">
      <c r="A4139" s="5">
        <v>4078</v>
      </c>
      <c r="B4139" s="1832">
        <f>'Acct Summary 7-8'!F19</f>
        <v>246248</v>
      </c>
      <c r="C4139" s="2" t="s">
        <v>569</v>
      </c>
      <c r="D4139" s="2" t="str">
        <f t="shared" si="63"/>
        <v>Error?</v>
      </c>
    </row>
    <row r="4140" spans="1:4" x14ac:dyDescent="0.2">
      <c r="A4140" s="5">
        <v>4079</v>
      </c>
      <c r="B4140" s="1832">
        <f>'Acct Summary 7-8'!G19</f>
        <v>126052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57328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625000</v>
      </c>
      <c r="C4171" s="2" t="s">
        <v>569</v>
      </c>
      <c r="D4171" s="2" t="str">
        <f t="shared" si="64"/>
        <v>Error?</v>
      </c>
    </row>
    <row r="4172" spans="1:4" x14ac:dyDescent="0.2">
      <c r="A4172" s="5">
        <v>4111</v>
      </c>
      <c r="B4172" s="1832">
        <f>'Short-Term Long-Term Debt 24'!J49</f>
        <v>616845</v>
      </c>
      <c r="C4172" s="2" t="s">
        <v>569</v>
      </c>
      <c r="D4172" s="2" t="str">
        <f t="shared" si="64"/>
        <v>Error?</v>
      </c>
    </row>
    <row r="4173" spans="1:4" x14ac:dyDescent="0.2">
      <c r="A4173" s="5">
        <v>4112</v>
      </c>
      <c r="B4173" s="1832">
        <f>'Short-Term Long-Term Debt 24'!H49</f>
        <v>82000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3817.5</v>
      </c>
      <c r="C4265" s="2" t="s">
        <v>569</v>
      </c>
      <c r="D4265" s="2" t="str">
        <f t="shared" si="65"/>
        <v>Error?</v>
      </c>
      <c r="E4265" s="125"/>
    </row>
    <row r="4266" spans="1:5" x14ac:dyDescent="0.2">
      <c r="A4266" s="12">
        <v>4205</v>
      </c>
      <c r="B4266" s="1832">
        <f>('FP Info 3'!F10)*100000</f>
        <v>495.79999999999995</v>
      </c>
      <c r="C4266" s="2" t="s">
        <v>569</v>
      </c>
      <c r="D4266" s="2" t="str">
        <f t="shared" si="65"/>
        <v>Error?</v>
      </c>
      <c r="E4266" s="125"/>
    </row>
    <row r="4267" spans="1:5" x14ac:dyDescent="0.2">
      <c r="A4267" s="12">
        <v>4206</v>
      </c>
      <c r="B4267" s="1832">
        <f>('FP Info 3'!H10)*100000</f>
        <v>198.29999999999998</v>
      </c>
      <c r="C4267" s="2" t="s">
        <v>569</v>
      </c>
      <c r="D4267" s="2" t="str">
        <f t="shared" si="65"/>
        <v>Error?</v>
      </c>
      <c r="E4267" s="125"/>
    </row>
    <row r="4268" spans="1:5" x14ac:dyDescent="0.2">
      <c r="A4268" s="12">
        <v>4207</v>
      </c>
      <c r="B4268" s="1832">
        <f>('FP Info 3'!J10)*100000</f>
        <v>4512</v>
      </c>
      <c r="C4268" s="2" t="s">
        <v>569</v>
      </c>
      <c r="D4268" s="2" t="str">
        <f t="shared" si="65"/>
        <v>Error?</v>
      </c>
    </row>
    <row r="4269" spans="1:5" x14ac:dyDescent="0.2">
      <c r="A4269" s="12">
        <v>4208</v>
      </c>
      <c r="B4269" s="1832">
        <f>'FP Info 3'!J16</f>
        <v>6282877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16492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19838</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17801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49.6</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44894409</v>
      </c>
      <c r="D4995" s="2" t="str">
        <f t="shared" si="77"/>
        <v>Error?</v>
      </c>
    </row>
    <row r="4996" spans="1:4" x14ac:dyDescent="0.2">
      <c r="A4996" s="12">
        <v>4935</v>
      </c>
      <c r="B4996" s="1832">
        <f>'FP Info 3'!H31</f>
        <v>6195428.4420000007</v>
      </c>
      <c r="D4996" s="2" t="str">
        <f t="shared" si="77"/>
        <v>Error?</v>
      </c>
    </row>
    <row r="4997" spans="1:4" x14ac:dyDescent="0.2">
      <c r="A4997" s="12">
        <v>4936</v>
      </c>
      <c r="B4997" s="1832">
        <f>'FP Info 3'!H37</f>
        <v>625000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1612377</v>
      </c>
      <c r="D5061" s="2" t="str">
        <f t="shared" si="78"/>
        <v>Error?</v>
      </c>
    </row>
    <row r="5062" spans="1:4" x14ac:dyDescent="0.2">
      <c r="A5062" s="10">
        <v>5001</v>
      </c>
      <c r="B5062" s="1832"/>
      <c r="D5062" s="2" t="str">
        <f t="shared" si="78"/>
        <v>OK</v>
      </c>
    </row>
    <row r="5063" spans="1:4" x14ac:dyDescent="0.2">
      <c r="A5063" s="5">
        <v>5002</v>
      </c>
      <c r="B5063" s="1832">
        <f>'Revenues 9-14'!C7</f>
        <v>16846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1629223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22415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22415</v>
      </c>
      <c r="C5090" s="2" t="s">
        <v>569</v>
      </c>
      <c r="D5090" s="2" t="str">
        <f t="shared" si="78"/>
        <v>Error?</v>
      </c>
    </row>
    <row r="5091" spans="1:4" x14ac:dyDescent="0.2">
      <c r="A5091" s="5">
        <v>5030</v>
      </c>
      <c r="B5091" s="1832">
        <f>'Revenues 9-14'!C70</f>
        <v>1206</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946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24568</v>
      </c>
      <c r="C5096" s="2" t="s">
        <v>569</v>
      </c>
      <c r="D5096" s="2" t="str">
        <f t="shared" si="78"/>
        <v>Error?</v>
      </c>
    </row>
    <row r="5097" spans="1:4" x14ac:dyDescent="0.2">
      <c r="A5097" s="5">
        <v>5036</v>
      </c>
      <c r="B5097" s="1832">
        <f>'Revenues 9-14'!C77</f>
        <v>12329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13495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25824</v>
      </c>
      <c r="C5102" s="2" t="s">
        <v>569</v>
      </c>
      <c r="D5102" s="2" t="str">
        <f t="shared" si="78"/>
        <v>Error?</v>
      </c>
    </row>
    <row r="5103" spans="1:4" x14ac:dyDescent="0.2">
      <c r="A5103" s="5">
        <v>5042</v>
      </c>
      <c r="B5103" s="1832">
        <f>'Revenues 9-14'!C84</f>
        <v>6169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6169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55357</v>
      </c>
      <c r="D5119" s="2" t="str">
        <f t="shared" ref="D5119:D5182" si="79">IF(ISBLANK(B5119),"OK",IF(A5119-B5119=0,"OK","Error?"))</f>
        <v>Error?</v>
      </c>
    </row>
    <row r="5120" spans="1:4" x14ac:dyDescent="0.2">
      <c r="A5120" s="5">
        <v>5059</v>
      </c>
      <c r="B5120" s="1832">
        <f>'Revenues 9-14'!C108</f>
        <v>56332</v>
      </c>
      <c r="C5120" s="2" t="s">
        <v>569</v>
      </c>
      <c r="D5120" s="2" t="str">
        <f t="shared" si="79"/>
        <v>Error?</v>
      </c>
    </row>
    <row r="5121" spans="1:4" x14ac:dyDescent="0.2">
      <c r="A5121" s="5">
        <v>5060</v>
      </c>
      <c r="B5121" s="1832">
        <f>'Revenues 9-14'!C109</f>
        <v>1764531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1185966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1185966</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8407</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30625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1141</v>
      </c>
      <c r="D5167" s="2" t="str">
        <f t="shared" si="79"/>
        <v>Error?</v>
      </c>
    </row>
    <row r="5168" spans="1:4" x14ac:dyDescent="0.2">
      <c r="A5168" s="5">
        <v>5107</v>
      </c>
      <c r="B5168" s="1832">
        <f>'Revenues 9-14'!C148</f>
        <v>1695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34961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1220927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80342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77814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158156</v>
      </c>
      <c r="C5246" s="2" t="s">
        <v>569</v>
      </c>
      <c r="D5246" s="2" t="str">
        <f t="shared" si="80"/>
        <v>Error?</v>
      </c>
    </row>
    <row r="5247" spans="1:4" x14ac:dyDescent="0.2">
      <c r="A5247" s="5">
        <v>5186</v>
      </c>
      <c r="B5247" s="1832">
        <f>'Revenues 9-14'!C200</f>
        <v>83524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19838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83524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3432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98102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101534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3146</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3146</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400491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400491</v>
      </c>
      <c r="C5326" s="2" t="s">
        <v>569</v>
      </c>
      <c r="D5326" s="2" t="str">
        <f t="shared" si="82"/>
        <v>Error?</v>
      </c>
    </row>
    <row r="5327" spans="1:5" x14ac:dyDescent="0.2">
      <c r="A5327" s="5">
        <v>5266</v>
      </c>
      <c r="B5327" s="1832">
        <f>'Revenues 9-14'!C268</f>
        <v>3385949</v>
      </c>
      <c r="C5327" s="2" t="s">
        <v>569</v>
      </c>
      <c r="D5327" s="2" t="str">
        <f t="shared" si="82"/>
        <v>Error?</v>
      </c>
    </row>
    <row r="5328" spans="1:5" x14ac:dyDescent="0.2">
      <c r="A5328" s="5">
        <v>5267</v>
      </c>
      <c r="B5328" s="1832">
        <f>'Revenues 9-14'!D5</f>
        <v>207359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207359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84178</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84178</v>
      </c>
      <c r="C5339" s="2" t="s">
        <v>569</v>
      </c>
      <c r="D5339" s="2" t="str">
        <f t="shared" si="82"/>
        <v>Error?</v>
      </c>
    </row>
    <row r="5340" spans="1:4" x14ac:dyDescent="0.2">
      <c r="A5340" s="5">
        <v>5279</v>
      </c>
      <c r="B5340" s="1832">
        <f>'Revenues 9-14'!D65</f>
        <v>4283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4283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295820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345820</v>
      </c>
      <c r="C5508" s="2" t="s">
        <v>569</v>
      </c>
      <c r="D5508" s="2" t="str">
        <f t="shared" si="85"/>
        <v>Error?</v>
      </c>
    </row>
    <row r="5509" spans="1:4" x14ac:dyDescent="0.2">
      <c r="A5509" s="5">
        <v>5448</v>
      </c>
      <c r="B5509" s="1832">
        <f>'Revenues 9-14'!E5</f>
        <v>84227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84227</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84260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84260</v>
      </c>
      <c r="C5552" s="2" t="s">
        <v>569</v>
      </c>
      <c r="D5552" s="2" t="str">
        <f t="shared" si="85"/>
        <v>Error?</v>
      </c>
    </row>
    <row r="5553" spans="1:4" x14ac:dyDescent="0.2">
      <c r="A5553" s="5">
        <v>5492</v>
      </c>
      <c r="B5553" s="1832">
        <f>'Revenues 9-14'!F5</f>
        <v>84236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84236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1929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1929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216</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216</v>
      </c>
      <c r="C5587" s="2" t="s">
        <v>569</v>
      </c>
      <c r="D5587" s="2" t="str">
        <f t="shared" si="86"/>
        <v>Error?</v>
      </c>
    </row>
    <row r="5588" spans="1:4" x14ac:dyDescent="0.2">
      <c r="A5588" s="5">
        <v>5527</v>
      </c>
      <c r="B5588" s="1832">
        <f>'Revenues 9-14'!F109</f>
        <v>86381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126033</v>
      </c>
      <c r="D5615" s="2" t="str">
        <f t="shared" si="86"/>
        <v>Error?</v>
      </c>
    </row>
    <row r="5616" spans="1:4" x14ac:dyDescent="0.2">
      <c r="A5616" s="10">
        <v>5555</v>
      </c>
      <c r="B5616" s="1832"/>
      <c r="D5616" s="2" t="str">
        <f t="shared" si="86"/>
        <v>OK</v>
      </c>
    </row>
    <row r="5617" spans="1:5" x14ac:dyDescent="0.2">
      <c r="A5617" s="5">
        <v>5556</v>
      </c>
      <c r="B5617" s="1832">
        <f>'Revenues 9-14'!F153</f>
        <v>32396</v>
      </c>
      <c r="D5617" s="2" t="str">
        <f t="shared" si="86"/>
        <v>Error?</v>
      </c>
    </row>
    <row r="5618" spans="1:5" x14ac:dyDescent="0.2">
      <c r="A5618" s="5">
        <v>5557</v>
      </c>
      <c r="B5618" s="1832">
        <f>'Revenues 9-14'!F155</f>
        <v>158429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158429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158429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244810</v>
      </c>
      <c r="C5720" s="2" t="s">
        <v>569</v>
      </c>
      <c r="D5720" s="2" t="str">
        <f t="shared" si="88"/>
        <v>Error?</v>
      </c>
    </row>
    <row r="5721" spans="1:4" x14ac:dyDescent="0.2">
      <c r="A5721" s="5">
        <v>5660</v>
      </c>
      <c r="B5721" s="1832">
        <f>'Revenues 9-14'!G5</f>
        <v>63513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63363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126876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4000</v>
      </c>
      <c r="C5730" s="2" t="s">
        <v>569</v>
      </c>
      <c r="D5730" s="2" t="str">
        <f t="shared" si="88"/>
        <v>Error?</v>
      </c>
    </row>
    <row r="5731" spans="1:4" x14ac:dyDescent="0.2">
      <c r="A5731" s="5">
        <v>5670</v>
      </c>
      <c r="B5731" s="1832">
        <f>'Revenues 9-14'!G65</f>
        <v>592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592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131468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21059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21059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10240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10240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31299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654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654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654</v>
      </c>
      <c r="C6023" s="2" t="s">
        <v>569</v>
      </c>
      <c r="D6023" s="2" t="str">
        <f t="shared" si="93"/>
        <v>Error?</v>
      </c>
    </row>
    <row r="6024" spans="1:5" x14ac:dyDescent="0.2">
      <c r="A6024" s="5">
        <v>5963</v>
      </c>
      <c r="B6024" s="1832">
        <f>'Revenues 9-14'!G109</f>
        <v>131468</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31299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654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22416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259.39999999999998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298513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298513</v>
      </c>
      <c r="D6215" s="2" t="str">
        <f t="shared" si="96"/>
        <v>Error?</v>
      </c>
      <c r="E6215" s="2" t="s">
        <v>189</v>
      </c>
    </row>
    <row r="6216" spans="1:5" x14ac:dyDescent="0.2">
      <c r="A6216">
        <v>6155</v>
      </c>
      <c r="B6216" s="1832">
        <f>'Assets-Liab 5-6'!J41</f>
        <v>298513</v>
      </c>
      <c r="D6216" s="2" t="str">
        <f t="shared" si="96"/>
        <v>Error?</v>
      </c>
      <c r="E6216" s="2" t="s">
        <v>189</v>
      </c>
    </row>
    <row r="6217" spans="1:5" x14ac:dyDescent="0.2">
      <c r="A6217">
        <v>6156</v>
      </c>
      <c r="B6217" s="1832">
        <f>'Assets-Liab 5-6'!J4</f>
        <v>298513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196323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196323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196323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196402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196402</v>
      </c>
      <c r="D6229" s="2" t="str">
        <f t="shared" si="96"/>
        <v>Error?</v>
      </c>
      <c r="E6229" s="2" t="s">
        <v>189</v>
      </c>
    </row>
    <row r="6230" spans="1:5" x14ac:dyDescent="0.2">
      <c r="A6230">
        <v>6169</v>
      </c>
      <c r="B6230" s="1832">
        <f>'Acct Summary 7-8'!J20</f>
        <v>-79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-79</v>
      </c>
      <c r="D6263" s="2" t="str">
        <f t="shared" si="96"/>
        <v>Error?</v>
      </c>
      <c r="E6263" s="2" t="s">
        <v>189</v>
      </c>
    </row>
    <row r="6264" spans="1:5" x14ac:dyDescent="0.2">
      <c r="A6264">
        <v>6203</v>
      </c>
      <c r="B6264" s="1832">
        <f>'Acct Summary 7-8'!J79</f>
        <v>298592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298513</v>
      </c>
      <c r="D6266" s="2" t="str">
        <f t="shared" si="96"/>
        <v>Error?</v>
      </c>
      <c r="E6266" s="2" t="s">
        <v>189</v>
      </c>
    </row>
    <row r="6267" spans="1:5" x14ac:dyDescent="0.2">
      <c r="A6267">
        <v>6206</v>
      </c>
      <c r="B6267" s="1832">
        <f>'Acct Summary 7-8'!C82</f>
        <v>1071487</v>
      </c>
      <c r="D6267" s="2" t="str">
        <f t="shared" si="96"/>
        <v>Error?</v>
      </c>
      <c r="E6267" s="2" t="s">
        <v>189</v>
      </c>
    </row>
    <row r="6268" spans="1:5" x14ac:dyDescent="0.2">
      <c r="A6268">
        <v>6207</v>
      </c>
      <c r="B6268" s="1832">
        <f>'Acct Summary 7-8'!D82</f>
        <v>102755</v>
      </c>
      <c r="D6268" s="2" t="str">
        <f t="shared" si="96"/>
        <v>Error?</v>
      </c>
      <c r="E6268" s="2" t="s">
        <v>189</v>
      </c>
    </row>
    <row r="6269" spans="1:5" x14ac:dyDescent="0.2">
      <c r="A6269">
        <v>6208</v>
      </c>
      <c r="B6269" s="1832">
        <f>'Acct Summary 7-8'!E82</f>
        <v>9</v>
      </c>
      <c r="D6269" s="2" t="str">
        <f t="shared" si="96"/>
        <v>Error?</v>
      </c>
      <c r="E6269" s="2" t="s">
        <v>189</v>
      </c>
    </row>
    <row r="6270" spans="1:5" x14ac:dyDescent="0.2">
      <c r="A6270">
        <v>6209</v>
      </c>
      <c r="B6270" s="1832">
        <f>'Acct Summary 7-8'!F82</f>
        <v>-1438</v>
      </c>
      <c r="D6270" s="2" t="str">
        <f t="shared" si="96"/>
        <v>Error?</v>
      </c>
      <c r="E6270" s="2" t="s">
        <v>189</v>
      </c>
    </row>
    <row r="6271" spans="1:5" x14ac:dyDescent="0.2">
      <c r="A6271">
        <v>6210</v>
      </c>
      <c r="B6271" s="1832">
        <f>'Acct Summary 7-8'!G82</f>
        <v>5416</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-38098</v>
      </c>
      <c r="D6273" s="2" t="str">
        <f t="shared" si="97"/>
        <v>Error?</v>
      </c>
      <c r="E6273" s="2" t="s">
        <v>189</v>
      </c>
    </row>
    <row r="6274" spans="1:5" x14ac:dyDescent="0.2">
      <c r="A6274">
        <v>6213</v>
      </c>
      <c r="B6274" s="1832">
        <f>'Acct Summary 7-8'!J82</f>
        <v>-79</v>
      </c>
      <c r="D6274" s="2" t="str">
        <f t="shared" si="97"/>
        <v>Error?</v>
      </c>
      <c r="E6274" s="2" t="s">
        <v>189</v>
      </c>
    </row>
    <row r="6275" spans="1:5" x14ac:dyDescent="0.2">
      <c r="A6275">
        <v>6214</v>
      </c>
      <c r="B6275" s="1832">
        <f>'Acct Summary 7-8'!K82</f>
        <v>-56674</v>
      </c>
      <c r="D6275" s="2" t="str">
        <f t="shared" si="97"/>
        <v>Error?</v>
      </c>
      <c r="E6275" s="2" t="s">
        <v>189</v>
      </c>
    </row>
    <row r="6276" spans="1:5" x14ac:dyDescent="0.2">
      <c r="A6276">
        <v>6215</v>
      </c>
      <c r="B6276" s="1832">
        <f>'Acct Summary 7-8'!C83</f>
        <v>0.33147664971572788</v>
      </c>
      <c r="D6276" s="2" t="str">
        <f t="shared" si="97"/>
        <v>Error?</v>
      </c>
      <c r="E6276" s="2" t="s">
        <v>189</v>
      </c>
    </row>
    <row r="6277" spans="1:5" x14ac:dyDescent="0.2">
      <c r="A6277">
        <v>6216</v>
      </c>
      <c r="B6277" s="1832">
        <f>'Acct Summary 7-8'!D83</f>
        <v>6.7196715597446194E-2</v>
      </c>
      <c r="D6277" s="2" t="str">
        <f t="shared" si="97"/>
        <v>Error?</v>
      </c>
      <c r="E6277" s="2" t="s">
        <v>189</v>
      </c>
    </row>
    <row r="6278" spans="1:5" x14ac:dyDescent="0.2">
      <c r="A6278">
        <v>6217</v>
      </c>
      <c r="B6278" s="1832">
        <f>'Acct Summary 7-8'!E83</f>
        <v>1.1036174126302881E-3</v>
      </c>
      <c r="D6278" s="2" t="str">
        <f t="shared" si="97"/>
        <v>Error?</v>
      </c>
      <c r="E6278" s="2" t="s">
        <v>189</v>
      </c>
    </row>
    <row r="6279" spans="1:5" x14ac:dyDescent="0.2">
      <c r="A6279">
        <v>6218</v>
      </c>
      <c r="B6279" s="1832">
        <f>'Acct Summary 7-8'!F83</f>
        <v>-2.0037231907968074E-3</v>
      </c>
      <c r="D6279" s="2" t="str">
        <f t="shared" si="97"/>
        <v>Error?</v>
      </c>
      <c r="E6279" s="2" t="s">
        <v>189</v>
      </c>
    </row>
    <row r="6280" spans="1:5" x14ac:dyDescent="0.2">
      <c r="A6280">
        <v>6219</v>
      </c>
      <c r="B6280" s="1832">
        <f>'Acct Summary 7-8'!G83</f>
        <v>3.13364268604557E-2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-4.7410338734164614E-2</v>
      </c>
      <c r="D6282" s="2" t="str">
        <f t="shared" si="97"/>
        <v>Error?</v>
      </c>
      <c r="E6282" s="2" t="s">
        <v>189</v>
      </c>
    </row>
    <row r="6283" spans="1:5" x14ac:dyDescent="0.2">
      <c r="A6283">
        <v>6222</v>
      </c>
      <c r="B6283" s="1832">
        <f>'Acct Summary 7-8'!J83</f>
        <v>-2.6464509083356505E-4</v>
      </c>
      <c r="D6283" s="2" t="str">
        <f t="shared" si="97"/>
        <v>Error?</v>
      </c>
      <c r="E6283" s="2" t="s">
        <v>189</v>
      </c>
    </row>
    <row r="6284" spans="1:5" x14ac:dyDescent="0.2">
      <c r="A6284">
        <v>6223</v>
      </c>
      <c r="B6284" s="1832">
        <f>'Acct Summary 7-8'!K83</f>
        <v>-0.26502125351302569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195264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195264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1059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1059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975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196323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22218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5437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7289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13684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392222</v>
      </c>
      <c r="D6983" s="2" t="str">
        <f t="shared" si="108"/>
        <v>Error?</v>
      </c>
    </row>
    <row r="6984" spans="1:4" x14ac:dyDescent="0.2">
      <c r="A6984">
        <v>6923</v>
      </c>
      <c r="B6984" s="1832">
        <f>'Expenditures 15-22'!K86</f>
        <v>392222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38590</v>
      </c>
      <c r="D6987" s="2" t="str">
        <f t="shared" si="108"/>
        <v>Error?</v>
      </c>
    </row>
    <row r="6988" spans="1:4" x14ac:dyDescent="0.2">
      <c r="A6988">
        <v>6927</v>
      </c>
      <c r="B6988" s="1832">
        <f>'Expenditures 15-22'!K88</f>
        <v>38590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430812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196402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196323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1038</v>
      </c>
      <c r="D7073" s="2" t="str">
        <f t="shared" si="109"/>
        <v>Error?</v>
      </c>
    </row>
    <row r="7074" spans="1:4" x14ac:dyDescent="0.2">
      <c r="A7074">
        <v>7013</v>
      </c>
      <c r="B7074" s="1832">
        <f>'Expenditures 15-22'!K216</f>
        <v>1038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115</v>
      </c>
      <c r="D7079" s="2" t="str">
        <f t="shared" si="109"/>
        <v>Error?</v>
      </c>
    </row>
    <row r="7080" spans="1:4" x14ac:dyDescent="0.2">
      <c r="A7080">
        <v>7019</v>
      </c>
      <c r="B7080" s="1832">
        <f>'Expenditures 15-22'!K226</f>
        <v>115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9334</v>
      </c>
      <c r="D7093" s="2" t="str">
        <f t="shared" si="109"/>
        <v>Error?</v>
      </c>
    </row>
    <row r="7094" spans="1:4" x14ac:dyDescent="0.2">
      <c r="A7094">
        <v>7033</v>
      </c>
      <c r="B7094" s="1832">
        <f>'Expenditures 15-22'!K254</f>
        <v>9334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19262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19262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4193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4193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98729</v>
      </c>
      <c r="D7172" s="2" t="str">
        <f t="shared" si="111"/>
        <v>Error?</v>
      </c>
    </row>
    <row r="7173" spans="1:4" x14ac:dyDescent="0.2">
      <c r="A7173">
        <v>7112</v>
      </c>
      <c r="B7173" s="1832">
        <f>'Expenditures 15-22'!D325</f>
        <v>9432</v>
      </c>
      <c r="D7173" s="2" t="str">
        <f t="shared" si="111"/>
        <v>Error?</v>
      </c>
    </row>
    <row r="7174" spans="1:4" x14ac:dyDescent="0.2">
      <c r="A7174">
        <v>7113</v>
      </c>
      <c r="B7174" s="1832">
        <f>'Expenditures 15-22'!E325</f>
        <v>23522</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131683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6788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6788</v>
      </c>
      <c r="D7198" s="2" t="str">
        <f t="shared" si="111"/>
        <v>Error?</v>
      </c>
    </row>
    <row r="7199" spans="1:4" x14ac:dyDescent="0.2">
      <c r="A7199">
        <v>7138</v>
      </c>
      <c r="B7199" s="1832">
        <f>'Expenditures 15-22'!C330</f>
        <v>98729</v>
      </c>
      <c r="D7199" s="2" t="str">
        <f t="shared" si="111"/>
        <v>Error?</v>
      </c>
    </row>
    <row r="7200" spans="1:4" x14ac:dyDescent="0.2">
      <c r="A7200">
        <v>7139</v>
      </c>
      <c r="B7200" s="1832">
        <f>'Expenditures 15-22'!D330</f>
        <v>9432</v>
      </c>
      <c r="D7200" s="2" t="str">
        <f t="shared" si="111"/>
        <v>Error?</v>
      </c>
    </row>
    <row r="7201" spans="1:4" x14ac:dyDescent="0.2">
      <c r="A7201">
        <v>7140</v>
      </c>
      <c r="B7201" s="1832">
        <f>'Expenditures 15-22'!E330</f>
        <v>88241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196402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98729</v>
      </c>
      <c r="D7216" s="2" t="str">
        <f t="shared" si="111"/>
        <v>Error?</v>
      </c>
    </row>
    <row r="7217" spans="1:4" x14ac:dyDescent="0.2">
      <c r="A7217">
        <v>7156</v>
      </c>
      <c r="B7217" s="1832">
        <f>'Expenditures 15-22'!D342</f>
        <v>9432</v>
      </c>
      <c r="D7217" s="2" t="str">
        <f t="shared" si="111"/>
        <v>Error?</v>
      </c>
    </row>
    <row r="7218" spans="1:4" x14ac:dyDescent="0.2">
      <c r="A7218">
        <v>7157</v>
      </c>
      <c r="B7218" s="1832">
        <f>'Expenditures 15-22'!E342</f>
        <v>88241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196402</v>
      </c>
      <c r="D7224" s="2" t="str">
        <f t="shared" si="111"/>
        <v>Error?</v>
      </c>
    </row>
    <row r="7225" spans="1:4" x14ac:dyDescent="0.2">
      <c r="A7225">
        <v>7164</v>
      </c>
      <c r="B7225" s="1832">
        <f>'Expenditures 15-22'!K343</f>
        <v>-79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1707</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145</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7913</v>
      </c>
      <c r="D7263" s="2" t="str">
        <f t="shared" si="112"/>
        <v>Error?</v>
      </c>
    </row>
    <row r="7264" spans="1:4" x14ac:dyDescent="0.2">
      <c r="A7264">
        <f t="shared" si="113"/>
        <v>7203</v>
      </c>
      <c r="B7264" s="1832">
        <f>'Expenditures 15-22'!D17</f>
        <v>1414</v>
      </c>
      <c r="D7264" s="2" t="str">
        <f t="shared" si="112"/>
        <v>Error?</v>
      </c>
    </row>
    <row r="7265" spans="1:5" x14ac:dyDescent="0.2">
      <c r="A7265">
        <f t="shared" si="113"/>
        <v>7204</v>
      </c>
      <c r="B7265" s="1832">
        <f>'Expenditures 15-22'!E17</f>
        <v>4357</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124142</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124142</v>
      </c>
      <c r="D7618" s="2" t="str">
        <f t="shared" si="124"/>
        <v>Error?</v>
      </c>
      <c r="E7618" s="2" t="s">
        <v>19</v>
      </c>
    </row>
    <row r="7619" spans="1:5" x14ac:dyDescent="0.2">
      <c r="A7619">
        <f t="shared" si="123"/>
        <v>7558</v>
      </c>
      <c r="B7619" s="1832">
        <f>'Cap Outlay Deprec 26'!H14</f>
        <v>124142</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124142</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272928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34476</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34476</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975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1695</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2670</v>
      </c>
      <c r="D7719" s="2" t="str">
        <f t="shared" si="126"/>
        <v>Error?</v>
      </c>
      <c r="E7719" s="2" t="s">
        <v>822</v>
      </c>
    </row>
    <row r="7720" spans="1:6" x14ac:dyDescent="0.2">
      <c r="A7720">
        <v>7659</v>
      </c>
      <c r="B7720" s="1832">
        <f>'Rest Tax Levies-Tort Im 25'!H14</f>
        <v>16846</v>
      </c>
      <c r="D7720" s="2" t="str">
        <f t="shared" si="126"/>
        <v>Error?</v>
      </c>
      <c r="E7720" s="2" t="s">
        <v>822</v>
      </c>
    </row>
    <row r="7721" spans="1:6" x14ac:dyDescent="0.2">
      <c r="A7721">
        <v>7660</v>
      </c>
      <c r="B7721" s="1832">
        <f>'Rest Tax Levies-Tort Im 25'!K14</f>
        <v>2670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2670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825000</v>
      </c>
      <c r="D7817" s="2" t="str">
        <f t="shared" si="128"/>
        <v>Error?</v>
      </c>
      <c r="E7817" s="4" t="s">
        <v>1966</v>
      </c>
    </row>
    <row r="7818" spans="1:5" x14ac:dyDescent="0.2">
      <c r="A7818">
        <v>7757</v>
      </c>
      <c r="B7818" s="1832">
        <f>'PCTC-OEPP 27-28'!F172</f>
        <v>48408</v>
      </c>
      <c r="D7818" s="2" t="str">
        <f t="shared" si="128"/>
        <v>Error?</v>
      </c>
      <c r="E7818" s="4" t="s">
        <v>1980</v>
      </c>
    </row>
    <row r="7819" spans="1:5" x14ac:dyDescent="0.2">
      <c r="A7819">
        <v>7758</v>
      </c>
      <c r="B7819" s="1832">
        <f>'PCTC-OEPP 27-28'!F173</f>
        <v>22</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3910480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7289</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584495</v>
      </c>
      <c r="D7834" s="2" t="str">
        <f t="shared" si="129"/>
        <v>Error?</v>
      </c>
      <c r="E7834" s="4" t="s">
        <v>1998</v>
      </c>
    </row>
    <row r="7835" spans="1:5" x14ac:dyDescent="0.2">
      <c r="A7835">
        <v>7774</v>
      </c>
      <c r="B7835" s="1832">
        <f>'PCTC-OEPP 27-28'!F78</f>
        <v>3325985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12821.838858905166</v>
      </c>
      <c r="D7837" s="2" t="str">
        <f t="shared" si="129"/>
        <v>Error?</v>
      </c>
      <c r="E7837" s="4" t="s">
        <v>1998</v>
      </c>
    </row>
    <row r="7838" spans="1:5" x14ac:dyDescent="0.2">
      <c r="A7838">
        <v>7777</v>
      </c>
      <c r="B7838" s="1832">
        <f>'PCTC-OEPP 27-28'!F96</f>
        <v>25824</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30625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1695</v>
      </c>
      <c r="D7846" s="2" t="str">
        <f t="shared" si="129"/>
        <v>Error?</v>
      </c>
      <c r="E7846" s="4" t="s">
        <v>1998</v>
      </c>
    </row>
    <row r="7847" spans="1:5" x14ac:dyDescent="0.2">
      <c r="A7847">
        <v>7786</v>
      </c>
      <c r="B7847" s="1832">
        <f>'PCTC-OEPP 27-28'!F112</f>
        <v>158429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158156</v>
      </c>
      <c r="D7858" s="2" t="str">
        <f t="shared" si="129"/>
        <v>Error?</v>
      </c>
      <c r="E7858" s="4" t="s">
        <v>1998</v>
      </c>
    </row>
    <row r="7859" spans="1:5" x14ac:dyDescent="0.2">
      <c r="A7859">
        <v>7798</v>
      </c>
      <c r="B7859" s="1832">
        <f>'PCTC-OEPP 27-28'!F127</f>
        <v>83524</v>
      </c>
      <c r="D7859" s="2" t="str">
        <f t="shared" si="129"/>
        <v>Error?</v>
      </c>
      <c r="E7859" s="4" t="s">
        <v>1998</v>
      </c>
    </row>
    <row r="7860" spans="1:5" x14ac:dyDescent="0.2">
      <c r="A7860">
        <v>7799</v>
      </c>
      <c r="B7860" s="1832">
        <f>'PCTC-OEPP 27-28'!F128</f>
        <v>19838</v>
      </c>
      <c r="D7860" s="2" t="str">
        <f t="shared" si="129"/>
        <v>Error?</v>
      </c>
      <c r="E7860" s="4" t="s">
        <v>1998</v>
      </c>
    </row>
    <row r="7861" spans="1:5" x14ac:dyDescent="0.2">
      <c r="A7861">
        <v>7800</v>
      </c>
      <c r="B7861" s="1832">
        <f>'PCTC-OEPP 27-28'!F129</f>
        <v>98102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3146</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17801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16492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745440</v>
      </c>
      <c r="D7877" s="2" t="str">
        <f t="shared" si="129"/>
        <v>Error?</v>
      </c>
      <c r="E7877" s="4" t="s">
        <v>1998</v>
      </c>
    </row>
    <row r="7878" spans="1:5" x14ac:dyDescent="0.2">
      <c r="A7878">
        <v>7817</v>
      </c>
      <c r="B7878" s="1832">
        <f>'PCTC-OEPP 27-28'!F176</f>
        <v>2580545</v>
      </c>
      <c r="D7878" s="2" t="str">
        <f t="shared" si="129"/>
        <v>Error?</v>
      </c>
      <c r="E7878" s="4" t="s">
        <v>1998</v>
      </c>
    </row>
    <row r="7879" spans="1:5" x14ac:dyDescent="0.2">
      <c r="A7879">
        <v>7818</v>
      </c>
      <c r="B7879" s="1832">
        <f>'PCTC-OEPP 27-28'!F178</f>
        <v>2853473</v>
      </c>
      <c r="D7879" s="2" t="str">
        <f t="shared" si="129"/>
        <v>Error?</v>
      </c>
      <c r="E7879" s="4" t="s">
        <v>1998</v>
      </c>
    </row>
    <row r="7880" spans="1:5" x14ac:dyDescent="0.2">
      <c r="A7880">
        <v>7819</v>
      </c>
      <c r="B7880" s="1832">
        <f>'PCTC-OEPP 27-28'!F180</f>
        <v>11000.281418658444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1181</v>
      </c>
      <c r="B2" s="2514"/>
      <c r="C2" s="2514"/>
      <c r="D2" s="2514"/>
      <c r="E2" s="2514"/>
      <c r="F2" s="2514"/>
      <c r="G2" s="2514"/>
      <c r="H2" s="2514"/>
      <c r="I2" s="2514"/>
      <c r="J2" s="2514"/>
      <c r="K2" s="2514"/>
      <c r="L2" s="2514"/>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Donovan CUSD 3</v>
      </c>
      <c r="B7" s="2538"/>
      <c r="C7" s="2538"/>
      <c r="D7" s="2539"/>
      <c r="E7" s="2540">
        <f>COVER!A13</f>
        <v>32038003026</v>
      </c>
      <c r="F7" s="2541"/>
      <c r="G7" s="2547">
        <f>COVER!T23</f>
        <v>65.018319000000005</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20" t="str">
        <f>COVER!T13</f>
        <v>RUSSELL LEIGH &amp; ASSOCIATES LLC</v>
      </c>
      <c r="H9" s="2553"/>
      <c r="I9" s="2553"/>
      <c r="J9" s="2553"/>
      <c r="K9" s="2553"/>
      <c r="L9" s="2554"/>
    </row>
    <row r="10" spans="1:29" ht="13.5" customHeight="1" x14ac:dyDescent="0.2">
      <c r="A10" s="2526" t="str">
        <f>COVER!A38</f>
        <v>Toby Coates</v>
      </c>
      <c r="B10" s="2527"/>
      <c r="C10" s="2527"/>
      <c r="D10" s="2527"/>
      <c r="E10" s="2527"/>
      <c r="F10" s="2528"/>
      <c r="G10" s="2520" t="str">
        <f>COVER!T17</f>
        <v>228 E MAIN ST</v>
      </c>
      <c r="H10" s="2521"/>
      <c r="I10" s="2521"/>
      <c r="J10" s="2521"/>
      <c r="K10" s="2521"/>
      <c r="L10" s="2522"/>
    </row>
    <row r="11" spans="1:29" ht="13.5" customHeight="1" x14ac:dyDescent="0.2">
      <c r="A11" s="963" t="s">
        <v>1502</v>
      </c>
      <c r="B11" s="964"/>
      <c r="C11" s="965"/>
      <c r="D11" s="970"/>
      <c r="E11" s="965"/>
      <c r="F11" s="969"/>
      <c r="G11" s="2520" t="str">
        <f>COVER!T19</f>
        <v>HOOPESTON</v>
      </c>
      <c r="H11" s="2521"/>
      <c r="I11" s="2521"/>
      <c r="J11" s="2521"/>
      <c r="K11" s="2521"/>
      <c r="L11" s="2522"/>
    </row>
    <row r="12" spans="1:29" ht="13.5" customHeight="1" x14ac:dyDescent="0.2">
      <c r="A12" s="2529" t="s">
        <v>1501</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1503</v>
      </c>
      <c r="H13" s="2516"/>
      <c r="I13" s="2532" t="str">
        <f>COVER!T25</f>
        <v>admin@russleigh.com</v>
      </c>
      <c r="J13" s="2533"/>
      <c r="K13" s="2533"/>
      <c r="L13" s="2534"/>
    </row>
    <row r="14" spans="1:29" ht="13.5" customHeight="1" x14ac:dyDescent="0.2">
      <c r="A14" s="2520" t="str">
        <f>COVER!A19</f>
        <v>600 NORTH ST, PO BOX 186</v>
      </c>
      <c r="B14" s="2521"/>
      <c r="C14" s="2521"/>
      <c r="D14" s="2521"/>
      <c r="E14" s="2521"/>
      <c r="F14" s="2522"/>
      <c r="G14" s="974" t="s">
        <v>1175</v>
      </c>
      <c r="H14" s="972"/>
      <c r="I14" s="972"/>
      <c r="J14" s="972"/>
      <c r="K14" s="972"/>
      <c r="L14" s="973"/>
    </row>
    <row r="15" spans="1:29" ht="13.5" customHeight="1" x14ac:dyDescent="0.2">
      <c r="A15" s="2520" t="str">
        <f>COVER!A21</f>
        <v>DONOVAN</v>
      </c>
      <c r="B15" s="2521"/>
      <c r="C15" s="2521"/>
      <c r="D15" s="2521"/>
      <c r="E15" s="2521"/>
      <c r="F15" s="2522"/>
      <c r="G15" s="2517" t="str">
        <f>COVER!T15</f>
        <v>RUSS LEIGH</v>
      </c>
      <c r="H15" s="2518"/>
      <c r="I15" s="2518"/>
      <c r="J15" s="2518"/>
      <c r="K15" s="2518"/>
      <c r="L15" s="2519"/>
    </row>
    <row r="16" spans="1:29" ht="12.2" customHeight="1" x14ac:dyDescent="0.2">
      <c r="A16" s="2543">
        <f>COVER!A25</f>
        <v>60931</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1174</v>
      </c>
      <c r="H17" s="972"/>
      <c r="I17" s="972"/>
      <c r="J17" s="972"/>
      <c r="K17" s="976" t="s">
        <v>1173</v>
      </c>
      <c r="L17" s="969"/>
      <c r="M17" s="962"/>
    </row>
    <row r="18" spans="1:13" ht="12.2" customHeight="1" x14ac:dyDescent="0.2">
      <c r="A18" s="2526"/>
      <c r="B18" s="2527"/>
      <c r="C18" s="2527"/>
      <c r="D18" s="2527"/>
      <c r="E18" s="2527"/>
      <c r="F18" s="2528"/>
      <c r="G18" s="2537" t="str">
        <f>COVER!T21</f>
        <v>217-283-9336</v>
      </c>
      <c r="H18" s="2538"/>
      <c r="I18" s="2538"/>
      <c r="J18" s="2538"/>
      <c r="K18" s="2537" t="str">
        <f>COVER!X21</f>
        <v>217-283-9736</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Donovan CUSD 3</v>
      </c>
      <c r="B1" s="2560"/>
      <c r="C1" s="2560"/>
      <c r="D1" s="2560"/>
    </row>
    <row r="2" spans="1:11" s="991" customFormat="1" ht="12.75" x14ac:dyDescent="0.2">
      <c r="A2" s="2561">
        <f>'Single Audit Cover'!E7</f>
        <v>32038003026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Donovan CUSD 3</v>
      </c>
      <c r="B1" s="2564"/>
      <c r="C1" s="2564"/>
      <c r="D1" s="2564"/>
      <c r="E1" s="2564"/>
    </row>
    <row r="2" spans="1:5" x14ac:dyDescent="0.2">
      <c r="A2" s="2565">
        <f>'Single Audit Cover'!E7</f>
        <v>32038003026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400491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-16492</v>
      </c>
    </row>
    <row r="19" spans="1:4" ht="13.5" thickBot="1" x14ac:dyDescent="0.25">
      <c r="A19" s="1041" t="s">
        <v>1224</v>
      </c>
      <c r="D19" s="1042">
        <f>SUM(D10:D17)</f>
        <v>383999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383999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383999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Donovan CUSD 3</v>
      </c>
      <c r="C1" s="2568"/>
      <c r="D1" s="2568"/>
      <c r="E1" s="2568"/>
      <c r="F1" s="2568"/>
      <c r="G1" s="2568"/>
      <c r="H1" s="2568"/>
      <c r="I1" s="2568"/>
      <c r="J1" s="2568"/>
      <c r="K1" s="2568"/>
      <c r="L1" s="2568"/>
      <c r="M1" s="2568"/>
    </row>
    <row r="2" spans="2:14" ht="15" x14ac:dyDescent="0.2">
      <c r="B2" s="2569">
        <f>'Single Audit Cover'!E7</f>
        <v>32038003026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Donovan CUSD 3</v>
      </c>
      <c r="B1" s="2581"/>
      <c r="C1" s="2581"/>
      <c r="D1" s="2581"/>
      <c r="E1" s="2581"/>
      <c r="F1" s="2581"/>
    </row>
    <row r="2" spans="1:7" ht="13.5" customHeight="1" x14ac:dyDescent="0.2">
      <c r="A2" s="2569">
        <f>'Single Audit Cover'!E7</f>
        <v>32038003026</v>
      </c>
      <c r="B2" s="2569"/>
      <c r="C2" s="2569"/>
      <c r="D2" s="2569"/>
      <c r="E2" s="2569"/>
      <c r="F2" s="2569"/>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1706</v>
      </c>
      <c r="B7" s="2580"/>
      <c r="C7" s="2580"/>
      <c r="D7" s="2580"/>
      <c r="E7" s="2580"/>
      <c r="F7" s="258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1708</v>
      </c>
      <c r="B13" s="2580"/>
      <c r="C13" s="2580"/>
      <c r="D13" s="2580"/>
      <c r="E13" s="2580"/>
      <c r="F13" s="2580"/>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4" t="s">
        <v>1709</v>
      </c>
      <c r="B32" s="2574"/>
      <c r="C32" s="2574"/>
      <c r="D32" s="2574"/>
      <c r="E32" s="2574"/>
      <c r="F32" s="257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5">
        <f>+C33+C34</f>
        <v>0</v>
      </c>
      <c r="F34" s="257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Donovan CUSD 3</v>
      </c>
      <c r="C1" s="2596"/>
      <c r="D1" s="2596"/>
      <c r="E1" s="2596"/>
      <c r="F1" s="2596"/>
      <c r="G1" s="2596"/>
      <c r="H1" s="2596"/>
      <c r="I1" s="2596"/>
      <c r="J1" s="1178"/>
    </row>
    <row r="2" spans="2:10" s="295" customFormat="1" ht="12.75" customHeight="1" x14ac:dyDescent="0.2">
      <c r="B2" s="2597">
        <f>'Single Audit Cover'!E7</f>
        <v>32038003026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1576</v>
      </c>
      <c r="D43" s="2585"/>
      <c r="E43" s="2585"/>
      <c r="F43" s="2586"/>
      <c r="G43" s="2587">
        <f>SUM(G38:I42)</f>
        <v>0</v>
      </c>
      <c r="H43" s="2587"/>
      <c r="I43" s="2587"/>
    </row>
    <row r="44" spans="2:9" ht="12.75" customHeight="1" x14ac:dyDescent="0.2"/>
    <row r="45" spans="2:9" ht="12.75" customHeight="1" x14ac:dyDescent="0.2">
      <c r="B45" s="1918" t="str">
        <f>"Total Federal Expenditures for 7/1/"&amp;MID('AFR20'!E2,3,2)-1&amp;"-6/30/"&amp;MID('AFR20'!E2,3,2)</f>
        <v>Total Federal Expenditures for 7/1/19-6/30/20</v>
      </c>
      <c r="C45" s="1919"/>
      <c r="D45" s="2588">
        <v>0</v>
      </c>
      <c r="E45" s="258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0"/>
      <c r="F49" s="2590"/>
      <c r="G49" s="259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Donovan CUSD 3</v>
      </c>
      <c r="C1" s="2595"/>
      <c r="D1" s="2595"/>
      <c r="E1" s="2595"/>
      <c r="F1" s="2595"/>
      <c r="G1" s="2595"/>
      <c r="H1" s="2595"/>
      <c r="I1" s="2595"/>
      <c r="J1" s="2595"/>
      <c r="K1" s="2595"/>
      <c r="L1" s="1144"/>
      <c r="M1" s="1144"/>
    </row>
    <row r="2" spans="1:13" ht="12" customHeight="1" x14ac:dyDescent="0.2">
      <c r="B2" s="2597">
        <f>'Single Audit Cover'!E7</f>
        <v>32038003026</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Donovan CUSD 3</v>
      </c>
      <c r="C1" s="2618"/>
      <c r="D1" s="2618"/>
      <c r="E1" s="2618"/>
      <c r="F1" s="2618"/>
      <c r="G1" s="2618"/>
      <c r="H1" s="2618"/>
      <c r="I1" s="2618"/>
      <c r="J1" s="2618"/>
      <c r="K1" s="2618"/>
      <c r="L1" s="1221"/>
    </row>
    <row r="2" spans="1:12" ht="12.75" customHeight="1" x14ac:dyDescent="0.2">
      <c r="B2" s="2619">
        <f>'Single Audit Cover'!E7</f>
        <v>32038003026</v>
      </c>
      <c r="C2" s="2619"/>
      <c r="D2" s="2619"/>
      <c r="E2" s="2619"/>
      <c r="F2" s="2619"/>
      <c r="G2" s="2619"/>
      <c r="H2" s="2619"/>
      <c r="I2" s="2619"/>
      <c r="J2" s="2619"/>
      <c r="K2" s="2619"/>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Donovan CUSD 3</v>
      </c>
      <c r="C1" s="2595"/>
      <c r="D1" s="2595"/>
      <c r="E1" s="1240"/>
    </row>
    <row r="2" spans="2:5" s="1058" customFormat="1" ht="12.75" customHeight="1" x14ac:dyDescent="0.2">
      <c r="B2" s="2597">
        <f>'Single Audit Cover'!E7</f>
        <v>32038003026</v>
      </c>
      <c r="C2" s="2597"/>
      <c r="D2" s="2597"/>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Sheet1</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2020-11-16T15:33:56Z</cp:lastPrinted>
  <dcterms:created xsi:type="dcterms:W3CDTF">2003-10-29T19:06:34Z</dcterms:created>
  <dcterms:modified xsi:type="dcterms:W3CDTF">2020-11-17T22:40:00Z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