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D7504D5-525D-40A5-BCA8-59EB171A061F}" xr6:coauthVersionLast="36" xr6:coauthVersionMax="36" xr10:uidLastSave="{00000000-0000-0000-0000-000000000000}"/>
  <bookViews>
    <workbookView xWindow="19080" yWindow="-900" windowWidth="20730" windowHeight="11160" tabRatio="87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C33" i="173" l="1"/>
  <c r="F15" i="186"/>
  <c r="F21" i="186" s="1"/>
  <c r="F22" i="186" s="1"/>
  <c r="L28" i="186"/>
  <c r="F31" i="186"/>
  <c r="F32" i="186" s="1"/>
  <c r="I46" i="186"/>
  <c r="I31" i="186"/>
  <c r="K52" i="186"/>
  <c r="J52" i="186"/>
  <c r="I52" i="186"/>
  <c r="H52" i="186"/>
  <c r="G52" i="186"/>
  <c r="F52" i="186"/>
  <c r="E52" i="186"/>
  <c r="L50" i="186"/>
  <c r="K46" i="186"/>
  <c r="K53" i="186" s="1"/>
  <c r="J46" i="186"/>
  <c r="J53" i="186" s="1"/>
  <c r="H46" i="186"/>
  <c r="H53" i="186" s="1"/>
  <c r="G46" i="186"/>
  <c r="F46" i="186"/>
  <c r="F53" i="186" s="1"/>
  <c r="E46" i="186"/>
  <c r="L42" i="186"/>
  <c r="L41" i="186"/>
  <c r="L40" i="186"/>
  <c r="L39" i="186"/>
  <c r="L38" i="186"/>
  <c r="L37" i="186"/>
  <c r="K31" i="186"/>
  <c r="K32" i="186" s="1"/>
  <c r="J31" i="186"/>
  <c r="J32" i="186" s="1"/>
  <c r="H31" i="186"/>
  <c r="H32" i="186" s="1"/>
  <c r="G31" i="186"/>
  <c r="G32" i="186" s="1"/>
  <c r="E31" i="186"/>
  <c r="E32" i="186" s="1"/>
  <c r="L29" i="186"/>
  <c r="L27" i="186"/>
  <c r="K21" i="186"/>
  <c r="K22" i="186" s="1"/>
  <c r="J21" i="186"/>
  <c r="J22" i="186" s="1"/>
  <c r="I21" i="186"/>
  <c r="I22" i="186" s="1"/>
  <c r="H21" i="186"/>
  <c r="H22" i="186" s="1"/>
  <c r="G21" i="186"/>
  <c r="E21" i="186"/>
  <c r="E22" i="186" s="1"/>
  <c r="L19" i="186"/>
  <c r="L18" i="186"/>
  <c r="L17" i="186"/>
  <c r="L15" i="186"/>
  <c r="L14" i="186"/>
  <c r="L31" i="186" l="1"/>
  <c r="I53" i="186"/>
  <c r="E53" i="186"/>
  <c r="E55" i="186" s="1"/>
  <c r="L46" i="186"/>
  <c r="L52" i="186"/>
  <c r="H55" i="186"/>
  <c r="L21" i="186"/>
  <c r="F55" i="186"/>
  <c r="D35" i="171" s="1"/>
  <c r="I32" i="186"/>
  <c r="J55" i="186"/>
  <c r="K55" i="186"/>
  <c r="G22" i="186"/>
  <c r="L22" i="186" s="1"/>
  <c r="G53" i="186"/>
  <c r="D81" i="185"/>
  <c r="D80" i="185"/>
  <c r="D79" i="185"/>
  <c r="D78" i="185"/>
  <c r="D73" i="185"/>
  <c r="D72" i="185"/>
  <c r="D71" i="185"/>
  <c r="D42" i="185"/>
  <c r="D41" i="185"/>
  <c r="D40" i="185"/>
  <c r="D39" i="185"/>
  <c r="D38" i="185"/>
  <c r="D37" i="185"/>
  <c r="D36" i="185"/>
  <c r="D32" i="185"/>
  <c r="D26" i="185"/>
  <c r="D25" i="185"/>
  <c r="I55" i="186" l="1"/>
  <c r="D45" i="174" s="1"/>
  <c r="L32" i="186"/>
  <c r="L53" i="186"/>
  <c r="G55" i="186"/>
  <c r="L55" i="186" s="1"/>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G17" i="184" s="1"/>
  <c r="K68" i="184"/>
  <c r="G16" i="184" s="1"/>
  <c r="J68" i="184"/>
  <c r="G15" i="184" s="1"/>
  <c r="I68" i="184"/>
  <c r="H68" i="184"/>
  <c r="G13" i="184" s="1"/>
  <c r="G68" i="184"/>
  <c r="G12" i="184" s="1"/>
  <c r="K19" i="184"/>
  <c r="J19" i="184"/>
  <c r="I19" i="184"/>
  <c r="L18" i="184"/>
  <c r="H18" i="184"/>
  <c r="L17" i="184"/>
  <c r="L16" i="184"/>
  <c r="L15" i="184"/>
  <c r="L14" i="184"/>
  <c r="G14" i="184"/>
  <c r="L13" i="184"/>
  <c r="L12" i="184"/>
  <c r="G19" i="184" l="1"/>
  <c r="L19" i="184"/>
  <c r="D84" i="185" s="1"/>
  <c r="B77" i="185"/>
  <c r="B79" i="185"/>
  <c r="D124" i="29"/>
  <c r="D17" i="29"/>
  <c r="D5" i="29"/>
  <c r="D8" i="29"/>
  <c r="D9" i="29"/>
  <c r="D13" i="29"/>
  <c r="D38" i="3"/>
  <c r="C39" i="3"/>
  <c r="L79" i="29" l="1"/>
  <c r="E40" i="183" l="1"/>
  <c r="F40" i="183" s="1"/>
  <c r="D4" i="3" l="1"/>
  <c r="D35" i="185" s="1"/>
  <c r="D79" i="4"/>
  <c r="C79" i="4"/>
  <c r="D75" i="29"/>
  <c r="D70" i="29"/>
  <c r="D68" i="29"/>
  <c r="D63" i="29"/>
  <c r="D61" i="29"/>
  <c r="D60" i="29"/>
  <c r="D59" i="29"/>
  <c r="D55" i="29"/>
  <c r="D51" i="29"/>
  <c r="D50" i="29"/>
  <c r="D46" i="29"/>
  <c r="D45" i="29"/>
  <c r="D44" i="29"/>
  <c r="D40" i="29"/>
  <c r="D39" i="29"/>
  <c r="D38" i="29"/>
  <c r="D37" i="29"/>
  <c r="D36" i="29"/>
  <c r="D18" i="29"/>
  <c r="D15" i="29"/>
  <c r="C4" i="3"/>
  <c r="D34" i="185" s="1"/>
  <c r="D65" i="5"/>
  <c r="K7" i="12" l="1"/>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D24" i="185" s="1"/>
  <c r="B7819" i="106"/>
  <c r="D7819" i="106" s="1"/>
  <c r="B7818" i="106"/>
  <c r="D7818" i="106" s="1"/>
  <c r="D141" i="183" l="1"/>
  <c r="D82" i="185" s="1"/>
  <c r="A15" i="183"/>
  <c r="F141" i="183" l="1"/>
  <c r="E141" i="183"/>
  <c r="E40" i="108" l="1"/>
  <c r="B7820" i="106" s="1"/>
  <c r="D7820" i="106" s="1"/>
  <c r="G40" i="108"/>
  <c r="B7821" i="106" s="1"/>
  <c r="D7821" i="106" s="1"/>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G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4268" i="106"/>
  <c r="D4268" i="106" s="1"/>
  <c r="D31" i="185"/>
  <c r="D31" i="108"/>
  <c r="E16" i="184"/>
  <c r="H16" i="184" s="1"/>
  <c r="H12" i="184"/>
  <c r="H19" i="184" s="1"/>
  <c r="L20"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B4173" i="106"/>
  <c r="D4173" i="106" s="1"/>
  <c r="D69" i="185"/>
  <c r="B1940" i="106"/>
  <c r="D1940" i="106" s="1"/>
  <c r="D68" i="185"/>
  <c r="B2888" i="106"/>
  <c r="D2888" i="106" s="1"/>
  <c r="B131" i="106"/>
  <c r="D131" i="106" s="1"/>
  <c r="B3552" i="106"/>
  <c r="D3552" i="106" s="1"/>
  <c r="B180" i="106"/>
  <c r="D180" i="106" s="1"/>
  <c r="B157" i="106"/>
  <c r="D157" i="106" s="1"/>
  <c r="B281" i="106"/>
  <c r="D281" i="106" s="1"/>
  <c r="B203" i="106"/>
  <c r="D203" i="106" s="1"/>
  <c r="B77" i="106"/>
  <c r="D77" i="106" s="1"/>
  <c r="B6124" i="106"/>
  <c r="D6124" i="106" s="1"/>
  <c r="B109" i="106"/>
  <c r="D109" i="106" s="1"/>
  <c r="B4211" i="106"/>
  <c r="D4211" i="106" s="1"/>
  <c r="F69" i="34"/>
  <c r="F34" i="34"/>
  <c r="B7826" i="106" s="1"/>
  <c r="D7826" i="106" s="1"/>
  <c r="G35" i="108"/>
  <c r="F31" i="108"/>
  <c r="B7076" i="106"/>
  <c r="D7076" i="106" s="1"/>
  <c r="F71" i="34"/>
  <c r="B2836" i="106"/>
  <c r="D2836" i="106" s="1"/>
  <c r="G39" i="108"/>
  <c r="H28" i="118"/>
  <c r="H76" i="4"/>
  <c r="B3298" i="106" s="1"/>
  <c r="D3298" i="106" s="1"/>
  <c r="F95" i="34"/>
  <c r="E10" i="108"/>
  <c r="E30" i="108" s="1"/>
  <c r="F70" i="34"/>
  <c r="D36" i="108"/>
  <c r="F36" i="108"/>
  <c r="E34" i="108"/>
  <c r="I129" i="29"/>
  <c r="B7037" i="106" s="1"/>
  <c r="D7037" i="106" s="1"/>
  <c r="C342" i="29"/>
  <c r="B7216" i="106" s="1"/>
  <c r="D7216" i="106" s="1"/>
  <c r="I210" i="29"/>
  <c r="B7071" i="106" s="1"/>
  <c r="D7071" i="106" s="1"/>
  <c r="L22" i="37"/>
  <c r="J210" i="29"/>
  <c r="B7072" i="106" s="1"/>
  <c r="D7072" i="106" s="1"/>
  <c r="J129" i="29"/>
  <c r="B7038" i="106" s="1"/>
  <c r="D7038" i="106" s="1"/>
  <c r="H342" i="29"/>
  <c r="H33" i="118"/>
  <c r="F77" i="4"/>
  <c r="B3255" i="106" s="1"/>
  <c r="D3255" i="106" s="1"/>
  <c r="D24" i="37"/>
  <c r="B4270" i="106" s="1"/>
  <c r="D4270" i="106" s="1"/>
  <c r="F36" i="34"/>
  <c r="B7828" i="106" s="1"/>
  <c r="D7828" i="106" s="1"/>
  <c r="B6289" i="106"/>
  <c r="D6289" i="106" s="1"/>
  <c r="C129" i="29"/>
  <c r="C151" i="29" s="1"/>
  <c r="B1226" i="106" s="1"/>
  <c r="D1226" i="106" s="1"/>
  <c r="C352" i="29"/>
  <c r="C367" i="29"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D53"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B139" i="106"/>
  <c r="D139" i="106" s="1"/>
  <c r="L151" i="29"/>
  <c r="C266" i="5"/>
  <c r="J24" i="12"/>
  <c r="B7730" i="106"/>
  <c r="D7730" i="106" s="1"/>
  <c r="N57" i="184" l="1"/>
  <c r="N68" i="184" s="1"/>
  <c r="E68" i="184"/>
  <c r="E19" i="184"/>
  <c r="K77" i="4"/>
  <c r="B3587" i="106" s="1"/>
  <c r="D3587" i="106" s="1"/>
  <c r="H77" i="4"/>
  <c r="B3299" i="106" s="1"/>
  <c r="D3299" i="106" s="1"/>
  <c r="J16" i="4"/>
  <c r="B6226" i="106" s="1"/>
  <c r="D6226" i="106" s="1"/>
  <c r="B2059" i="106"/>
  <c r="D2059" i="106" s="1"/>
  <c r="M19" i="3"/>
  <c r="B276" i="106" s="1"/>
  <c r="D276" i="106" s="1"/>
  <c r="B3621" i="106"/>
  <c r="D3621" i="106" s="1"/>
  <c r="K28" i="118"/>
  <c r="O27" i="118" s="1"/>
  <c r="O29" i="118" s="1"/>
  <c r="B1328" i="106"/>
  <c r="D1328" i="106" s="1"/>
  <c r="B2057" i="106"/>
  <c r="D2057" i="106" s="1"/>
  <c r="M17" i="3"/>
  <c r="B274" i="106" s="1"/>
  <c r="D274" i="106" s="1"/>
  <c r="B2058" i="106"/>
  <c r="D2058" i="106" s="1"/>
  <c r="M18" i="3"/>
  <c r="B275" i="106" s="1"/>
  <c r="D275" i="106" s="1"/>
  <c r="B2056" i="106"/>
  <c r="D2056" i="106" s="1"/>
  <c r="M16" i="3"/>
  <c r="K365" i="29"/>
  <c r="B7243" i="106" s="1"/>
  <c r="D7243" i="106" s="1"/>
  <c r="I7" i="4"/>
  <c r="B4444" i="106" s="1"/>
  <c r="D4444" i="106" s="1"/>
  <c r="B5527" i="106"/>
  <c r="D5527" i="106" s="1"/>
  <c r="I151" i="29"/>
  <c r="F59" i="34" s="1"/>
  <c r="B7235" i="106"/>
  <c r="D7235" i="106" s="1"/>
  <c r="L114" i="29"/>
  <c r="B6216" i="106"/>
  <c r="D6216" i="106" s="1"/>
  <c r="B3730" i="106"/>
  <c r="D3730" i="106" s="1"/>
  <c r="G30" i="108"/>
  <c r="F66" i="34"/>
  <c r="B1381" i="106"/>
  <c r="D1381" i="106" s="1"/>
  <c r="H151" i="29"/>
  <c r="B1273" i="106" s="1"/>
  <c r="D1273" i="106" s="1"/>
  <c r="F41" i="108"/>
  <c r="G43" i="108" s="1"/>
  <c r="J151" i="29"/>
  <c r="B7052" i="106" s="1"/>
  <c r="D7052" i="106" s="1"/>
  <c r="L16" i="11"/>
  <c r="B2061" i="106" s="1"/>
  <c r="D2061" i="106" s="1"/>
  <c r="B2031" i="106"/>
  <c r="D2031" i="106" s="1"/>
  <c r="B5770" i="106"/>
  <c r="D5770"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K16" i="4"/>
  <c r="B3574" i="106" s="1"/>
  <c r="D3574" i="106" s="1"/>
  <c r="B273" i="106"/>
  <c r="D273" i="106" s="1"/>
  <c r="M23" i="3"/>
  <c r="D54" i="185" s="1"/>
  <c r="B7051" i="106"/>
  <c r="D7051" i="106" s="1"/>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6223" i="106"/>
  <c r="D6223" i="106" s="1"/>
  <c r="F8" i="4"/>
  <c r="B2595" i="106" s="1"/>
  <c r="D2595" i="106" s="1"/>
  <c r="K17" i="4"/>
  <c r="B3575" i="106" s="1"/>
  <c r="D3575" i="106" s="1"/>
  <c r="J20" i="4"/>
  <c r="J78" i="4"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K78" i="4" s="1"/>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64" i="185" s="1"/>
  <c r="B6263" i="106"/>
  <c r="D6263" i="106" s="1"/>
  <c r="B3576" i="106" l="1"/>
  <c r="D3576" i="106" s="1"/>
  <c r="F8" i="146"/>
  <c r="D10" i="146"/>
  <c r="D78" i="4"/>
  <c r="D81" i="4" s="1"/>
  <c r="D58" i="185" s="1"/>
  <c r="F78" i="34"/>
  <c r="F80" i="34" s="1"/>
  <c r="B7837" i="106" s="1"/>
  <c r="D7837" i="106" s="1"/>
  <c r="B7822" i="106"/>
  <c r="B3588" i="106"/>
  <c r="D3588" i="106" s="1"/>
  <c r="K81" i="4"/>
  <c r="D65" i="185" s="1"/>
  <c r="F78" i="4"/>
  <c r="B2601" i="106"/>
  <c r="D2601" i="106" s="1"/>
  <c r="B3320" i="106"/>
  <c r="D3320" i="106" s="1"/>
  <c r="I81" i="4"/>
  <c r="I39" i="3" s="1"/>
  <c r="K17" i="118"/>
  <c r="B3300" i="106"/>
  <c r="D3300" i="106" s="1"/>
  <c r="H81" i="4"/>
  <c r="D62" i="185" s="1"/>
  <c r="B7631" i="106"/>
  <c r="F177" i="34"/>
  <c r="A7262" i="106"/>
  <c r="D7261" i="106"/>
  <c r="H16" i="37"/>
  <c r="G78" i="4"/>
  <c r="B2613" i="106"/>
  <c r="D2613" i="106" s="1"/>
  <c r="B2562" i="106"/>
  <c r="D2562" i="106" s="1"/>
  <c r="C78" i="4"/>
  <c r="B10" i="146"/>
  <c r="F9" i="146"/>
  <c r="E78" i="4"/>
  <c r="B2636" i="106"/>
  <c r="D2636" i="106" s="1"/>
  <c r="J82" i="4"/>
  <c r="B6266" i="106"/>
  <c r="D6266" i="106" s="1"/>
  <c r="D63" i="185" l="1"/>
  <c r="D76" i="185"/>
  <c r="F10" i="146"/>
  <c r="B2912" i="106"/>
  <c r="D2912" i="106" s="1"/>
  <c r="I41" i="3"/>
  <c r="D50" i="185" s="1"/>
  <c r="B2437" i="106"/>
  <c r="D2437" i="106" s="1"/>
  <c r="D41" i="3"/>
  <c r="D45" i="185" s="1"/>
  <c r="B3239" i="106"/>
  <c r="D3239" i="106" s="1"/>
  <c r="F176" i="34"/>
  <c r="B7878" i="106" s="1"/>
  <c r="D7878" i="106" s="1"/>
  <c r="B7835" i="106"/>
  <c r="D7835" i="106" s="1"/>
  <c r="B3278" i="106"/>
  <c r="D3278" i="106" s="1"/>
  <c r="E81" i="4"/>
  <c r="E38" i="3" s="1"/>
  <c r="N21" i="3" s="1"/>
  <c r="J31" i="8" s="1"/>
  <c r="J49" i="8" s="1"/>
  <c r="B3233" i="106"/>
  <c r="D3233" i="106" s="1"/>
  <c r="C81" i="4"/>
  <c r="D57" i="185" s="1"/>
  <c r="A7263" i="106"/>
  <c r="D7262" i="106"/>
  <c r="B1700" i="106"/>
  <c r="D1700" i="106" s="1"/>
  <c r="H82" i="4"/>
  <c r="O16" i="118"/>
  <c r="F81" i="4"/>
  <c r="D60" i="185" s="1"/>
  <c r="B3256" i="106"/>
  <c r="D3256" i="106" s="1"/>
  <c r="G81" i="4"/>
  <c r="G38" i="3" s="1"/>
  <c r="D61" i="185" s="1"/>
  <c r="B3262" i="106"/>
  <c r="D3262" i="106" s="1"/>
  <c r="B3323" i="106"/>
  <c r="D3323" i="106" s="1"/>
  <c r="I82" i="4"/>
  <c r="E11" i="146"/>
  <c r="B3591" i="106"/>
  <c r="D3591" i="106" s="1"/>
  <c r="K82" i="4"/>
  <c r="J83" i="4"/>
  <c r="B6283" i="106" s="1"/>
  <c r="D6283" i="106" s="1"/>
  <c r="B6274" i="106"/>
  <c r="D6274" i="106" s="1"/>
  <c r="D82" i="4"/>
  <c r="B1644" i="106"/>
  <c r="D1644" i="106" s="1"/>
  <c r="C11" i="146"/>
  <c r="B4172" i="106" l="1"/>
  <c r="D4172" i="106" s="1"/>
  <c r="N22" i="3"/>
  <c r="B283" i="106" s="1"/>
  <c r="D283" i="106" s="1"/>
  <c r="D59" i="185"/>
  <c r="D75" i="185"/>
  <c r="B2477" i="106"/>
  <c r="D2477" i="106" s="1"/>
  <c r="G41" i="3"/>
  <c r="D48" i="185" s="1"/>
  <c r="B124" i="106"/>
  <c r="D124" i="106" s="1"/>
  <c r="B2475" i="106"/>
  <c r="D2475" i="106" s="1"/>
  <c r="F41" i="3"/>
  <c r="D47" i="185" s="1"/>
  <c r="B2913" i="106"/>
  <c r="D2913" i="106" s="1"/>
  <c r="B2504" i="106"/>
  <c r="D2504" i="106" s="1"/>
  <c r="E41" i="3"/>
  <c r="D46" i="185" s="1"/>
  <c r="B92" i="106"/>
  <c r="D92" i="106" s="1"/>
  <c r="C41" i="3"/>
  <c r="D44" i="185" s="1"/>
  <c r="J16" i="37"/>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B282" i="106" l="1"/>
  <c r="D282" i="106" s="1"/>
  <c r="N23" i="3"/>
  <c r="D55" i="185" s="1"/>
  <c r="B171" i="106"/>
  <c r="D171" i="106" s="1"/>
  <c r="B190" i="106"/>
  <c r="D190" i="106" s="1"/>
  <c r="B141" i="106"/>
  <c r="D141" i="106" s="1"/>
  <c r="B93" i="106"/>
  <c r="D93" i="106" s="1"/>
  <c r="O11" i="118"/>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B284" i="106"/>
  <c r="D284" i="106" s="1"/>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<sst xmlns="http://schemas.openxmlformats.org/spreadsheetml/2006/main" count="5393" uniqueCount="2185">
  <si>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</si>
  <si>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</si>
  <si>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</si>
  <si>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</si>
  <si>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</si>
  <si>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</si>
  <si>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</si>
  <si>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</si>
  <si>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</si>
  <si>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</si>
  <si>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</si>
  <si>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</si>
  <si>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</si>
  <si>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</si>
  <si>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</si>
  <si>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</si>
  <si>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</si>
  <si>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</si>
  <si>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</si>
  <si>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</si>
  <si>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</si>
  <si>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</si>
  <si>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</si>
  <si>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</si>
  <si>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</si>
  <si>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</si>
  <si>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</si>
  <si>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</si>
  <si>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</si>
  <si>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</si>
  <si>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</si>
  <si>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</si>
  <si>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</si>
  <si>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</si>
  <si>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</si>
  <si>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</si>
  <si>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</si>
  <si>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</si>
  <si>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</si>
  <si>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</si>
  <si>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</si>
  <si>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</si>
  <si>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</si>
  <si>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</si>
  <si>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</si>
  <si>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</si>
  <si>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</si>
  <si>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</si>
  <si>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</si>
  <si>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</si>
  <si>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</si>
  <si>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</si>
  <si>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</si>
  <si>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</si>
  <si>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</si>
  <si>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</si>
  <si>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</si>
  <si>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</si>
  <si>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</si>
  <si>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</si>
  <si>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</si>
  <si>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</si>
  <si>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</si>
  <si>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</si>
  <si>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</si>
  <si>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</si>
  <si>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</si>
  <si>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</si>
  <si>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</si>
  <si>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</si>
  <si>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</si>
  <si>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</si>
  <si>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</si>
  <si>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</si>
  <si>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</si>
  <si>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</si>
  <si>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</si>
  <si>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</si>
  <si>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</si>
  <si>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</si>
  <si>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</si>
  <si>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</si>
  <si>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</si>
  <si>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</si>
  <si>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</si>
  <si>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</si>
  <si>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</si>
  <si>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</si>
  <si>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</si>
  <si>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</si>
  <si>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</si>
  <si>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</si>
  <si>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</si>
  <si>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</si>
  <si>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</si>
  <si>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</si>
  <si>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</si>
  <si>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</si>
  <si>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</si>
  <si>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</si>
  <si>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</si>
  <si>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</si>
  <si>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</si>
  <si>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</si>
  <si>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</si>
  <si>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</si>
  <si>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</si>
  <si>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</si>
  <si>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</si>
  <si>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</si>
  <si>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</si>
  <si>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</si>
  <si>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</si>
  <si>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</si>
  <si>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</si>
  <si>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</si>
  <si>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</si>
  <si>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</si>
  <si>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</si>
  <si>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</si>
  <si>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</si>
  <si>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</si>
  <si>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</si>
  <si>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</si>
  <si>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</si>
  <si>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</si>
  <si>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</si>
  <si>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</si>
  <si>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</si>
  <si>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</si>
  <si>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</si>
  <si>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</si>
  <si>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</si>
  <si>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</si>
  <si>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</si>
  <si>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</si>
  <si>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</si>
  <si>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</si>
  <si>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</si>
  <si>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</si>
  <si>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</si>
  <si>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</si>
  <si>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</si>
  <si>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</si>
  <si>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</si>
  <si>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</si>
  <si>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</si>
  <si>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</si>
  <si>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</si>
  <si>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</si>
  <si>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</si>
  <si>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</si>
  <si>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</si>
  <si>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</si>
  <si>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</si>
  <si>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</si>
  <si>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</si>
  <si>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</si>
  <si>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</si>
  <si>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</si>
  <si>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</si>
  <si>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</si>
  <si>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</si>
  <si>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</si>
  <si>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</si>
  <si>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</si>
  <si>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</si>
  <si>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</si>
  <si>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</si>
  <si>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</si>
  <si>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</si>
  <si>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</si>
  <si>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</si>
  <si>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</si>
  <si>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</si>
  <si>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</si>
  <si>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</si>
  <si>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</si>
  <si>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</si>
  <si>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</si>
  <si>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</si>
  <si>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</si>
  <si>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</si>
  <si>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</si>
  <si>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</si>
  <si>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</si>
  <si>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</si>
  <si>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</si>
  <si>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</si>
  <si>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</si>
  <si>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</si>
  <si>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</si>
  <si>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</si>
  <si>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</si>
  <si>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</si>
  <si>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</si>
  <si>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</si>
  <si>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</si>
  <si>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</si>
  <si>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</si>
  <si>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</si>
  <si>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</si>
  <si>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</si>
  <si>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</si>
  <si>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</si>
  <si>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</si>
  <si>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</si>
  <si>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</si>
  <si>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</si>
  <si>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</si>
  <si>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</si>
  <si>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</si>
  <si>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</si>
  <si>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</si>
  <si>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</si>
  <si>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</si>
  <si>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</si>
  <si>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</si>
  <si>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</si>
  <si>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</si>
  <si>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</si>
  <si>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</si>
  <si>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</si>
  <si>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</si>
  <si>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</si>
  <si>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</si>
  <si>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</si>
  <si>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</si>
  <si>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</si>
  <si>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</si>
  <si>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</si>
  <si>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</si>
  <si>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</si>
  <si>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</si>
  <si>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</si>
  <si>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</si>
  <si>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</si>
  <si>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</si>
  <si>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</si>
  <si>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</si>
  <si>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</si>
  <si>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</si>
  <si>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</si>
  <si>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</si>
  <si>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</si>
  <si>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</si>
  <si>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</si>
  <si>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</si>
  <si>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</si>
  <si>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</si>
  <si>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</si>
  <si>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</si>
  <si>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</si>
  <si>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</si>
  <si>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</si>
  <si>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</si>
  <si>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</si>
  <si>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</si>
  <si>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</si>
  <si>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</si>
  <si>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</si>
  <si>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</si>
  <si>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</si>
  <si>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</si>
  <si>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</si>
  <si>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</si>
  <si>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</si>
  <si>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</si>
  <si>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</si>
  <si>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</si>
  <si>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</si>
  <si>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</si>
  <si>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</si>
  <si>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</si>
  <si>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</si>
  <si>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</si>
  <si>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</si>
  <si>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</si>
  <si>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</si>
  <si>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</si>
  <si>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</si>
  <si>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</si>
  <si>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</si>
  <si>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</si>
  <si>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</si>
  <si>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</si>
  <si>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</si>
  <si>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</si>
  <si>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</si>
  <si>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</si>
  <si>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</si>
  <si>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</si>
  <si>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</si>
  <si>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</si>
  <si>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</si>
  <si>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</si>
  <si>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</si>
  <si>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</si>
  <si>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</si>
  <si>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</si>
  <si>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</si>
  <si>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</si>
  <si>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</si>
  <si>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</si>
  <si>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</si>
  <si>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</si>
  <si>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</si>
  <si>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</si>
  <si>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</si>
  <si>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</si>
  <si>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</si>
  <si>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</si>
  <si>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</si>
  <si>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</si>
  <si>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</si>
  <si>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</si>
  <si>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</si>
  <si>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</si>
  <si>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</si>
  <si>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</si>
  <si>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</si>
  <si>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</si>
  <si>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</si>
  <si>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</si>
  <si>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</si>
  <si>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</si>
  <si>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</si>
  <si>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</si>
  <si>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</si>
  <si>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</si>
  <si>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</si>
  <si>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</si>
  <si>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</si>
  <si>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</si>
  <si>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</si>
  <si>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</si>
  <si>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</si>
  <si>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</si>
  <si>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</si>
  <si>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</si>
  <si>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</si>
  <si>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</si>
  <si>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</si>
  <si>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</si>
  <si>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</si>
  <si>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</si>
  <si>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</si>
  <si>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</si>
  <si>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</si>
  <si>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</si>
  <si>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</si>
  <si>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</si>
  <si>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</si>
  <si>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</si>
  <si>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</si>
  <si>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</si>
  <si>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</si>
  <si>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</si>
  <si>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</si>
  <si>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</si>
  <si>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</si>
  <si>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</si>
  <si>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</si>
  <si>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</si>
  <si>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</si>
  <si>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</si>
  <si>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</si>
  <si>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</si>
  <si>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</si>
  <si>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</si>
  <si>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</si>
  <si>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</si>
  <si>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</si>
  <si>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</si>
  <si>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</si>
  <si>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</si>
  <si>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</si>
  <si>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</si>
  <si>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</si>
  <si>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</si>
  <si>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</si>
  <si>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</si>
  <si>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</si>
  <si>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</si>
  <si>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</si>
  <si>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</si>
  <si>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</si>
  <si>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</si>
  <si>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</si>
  <si>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</si>
  <si>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</si>
  <si>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</si>
  <si>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</si>
  <si>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</si>
  <si>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</si>
  <si>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</si>
  <si>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</si>
  <si>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</si>
  <si>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</si>
  <si>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</si>
  <si>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</si>
  <si>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</si>
  <si>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</si>
  <si>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</si>
  <si>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</si>
  <si>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</si>
  <si>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</si>
  <si>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</si>
  <si>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</si>
  <si>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</si>
  <si>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</si>
  <si>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</si>
  <si>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</si>
  <si>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</si>
  <si>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</si>
  <si>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</si>
  <si>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</si>
  <si>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</si>
  <si>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</si>
  <si>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</si>
  <si>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</si>
  <si>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</si>
  <si>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</si>
  <si>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</si>
  <si>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</si>
  <si>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</si>
  <si>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</si>
  <si>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</si>
  <si>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</si>
  <si>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</si>
  <si>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</si>
  <si>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</si>
  <si>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</si>
  <si>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</si>
  <si>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</si>
  <si>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</si>
  <si>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</si>
  <si>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</si>
  <si>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</si>
  <si>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</si>
  <si>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</si>
  <si>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</si>
  <si>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</si>
  <si>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</si>
  <si>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</si>
  <si>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</si>
  <si>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</si>
  <si>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</si>
  <si>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</si>
  <si>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</si>
  <si>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</si>
  <si>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</si>
  <si>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</si>
  <si>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</si>
  <si>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</si>
  <si>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</si>
  <si>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</si>
  <si>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</si>
  <si>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</si>
  <si>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</si>
  <si>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</si>
  <si>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</si>
  <si>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</si>
  <si>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</si>
  <si>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</si>
  <si>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</si>
  <si>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</si>
  <si>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</si>
  <si>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</si>
  <si>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</si>
  <si>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</si>
  <si>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</si>
  <si>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</si>
  <si>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</si>
  <si>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</si>
  <si>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</si>
  <si>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</si>
  <si>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</si>
  <si>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</si>
  <si>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</si>
  <si>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</si>
  <si>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</si>
  <si>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</si>
  <si>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</si>
  <si>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</si>
  <si>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</si>
  <si>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</si>
  <si>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</si>
  <si>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</si>
  <si>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</si>
  <si>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</si>
  <si>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</si>
  <si>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</si>
  <si>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</si>
  <si>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</si>
  <si>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</si>
  <si>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</si>
  <si>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</si>
  <si>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</si>
  <si>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</si>
  <si>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</si>
  <si>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</si>
  <si>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</si>
  <si>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</si>
  <si>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</si>
  <si>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</si>
  <si>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</si>
  <si>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</si>
  <si>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</si>
  <si>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</si>
  <si>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</si>
  <si>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</si>
  <si>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</si>
  <si>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</si>
  <si>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</si>
  <si>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</si>
  <si>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</si>
  <si>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</si>
  <si>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</si>
  <si>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</si>
  <si>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</si>
  <si>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</si>
  <si>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</si>
  <si>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</si>
  <si>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</si>
  <si>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</si>
  <si>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</si>
  <si>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</si>
  <si>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</si>
  <si>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</si>
  <si>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</si>
  <si>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</si>
  <si>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</si>
  <si>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</si>
  <si>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</si>
  <si>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</si>
  <si>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</si>
  <si>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</si>
  <si>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</si>
  <si>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</si>
  <si>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</si>
  <si>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</si>
  <si>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</si>
  <si>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</si>
  <si>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</si>
  <si>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</si>
  <si>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</si>
  <si>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</si>
  <si>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</si>
  <si>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</si>
  <si>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</si>
  <si>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</si>
  <si>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</si>
  <si>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</si>
  <si>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</si>
  <si>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</si>
  <si>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</si>
  <si>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</si>
  <si>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</si>
  <si>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</si>
  <si>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</si>
  <si>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</si>
  <si>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</si>
  <si>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</si>
  <si>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</si>
  <si>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</si>
  <si>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</si>
  <si>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</si>
  <si>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</si>
  <si>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</si>
  <si>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</si>
  <si>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</si>
  <si>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</si>
  <si>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</si>
  <si>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</si>
  <si>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</si>
  <si>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</si>
  <si>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</si>
  <si>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</si>
  <si>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</si>
  <si>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</si>
  <si>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</si>
  <si>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</si>
  <si>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</si>
  <si>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</si>
  <si>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</si>
  <si>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</si>
  <si>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</si>
  <si>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</si>
  <si>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</si>
  <si>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</si>
  <si>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</si>
  <si>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</si>
  <si>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</si>
  <si>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</si>
  <si>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</si>
  <si>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</si>
  <si>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</si>
  <si>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</si>
  <si>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</si>
  <si>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</si>
  <si>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</si>
  <si>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</si>
  <si>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</si>
  <si>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</si>
  <si>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</si>
  <si>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</si>
  <si>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</si>
  <si>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</si>
  <si>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</si>
  <si>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</si>
  <si>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</si>
  <si>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</si>
  <si>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</si>
  <si>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</si>
  <si>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</si>
  <si>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</si>
  <si>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</si>
  <si>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</si>
  <si>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</si>
  <si>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</si>
  <si>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</si>
  <si>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</si>
  <si>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</si>
  <si>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</si>
  <si>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</si>
  <si>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</si>
  <si>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</si>
  <si>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</si>
  <si>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</si>
  <si>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</si>
  <si>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</si>
  <si>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</si>
  <si>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</si>
  <si>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</si>
  <si>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</si>
  <si>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</si>
  <si>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</si>
  <si>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</si>
  <si>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</si>
  <si>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</si>
  <si>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</si>
  <si>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</si>
  <si>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</si>
  <si>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</si>
  <si>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</si>
  <si>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</si>
  <si>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</si>
  <si>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</si>
  <si>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</si>
  <si>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</si>
  <si>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</si>
  <si>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</si>
  <si>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</si>
  <si>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</si>
  <si>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</si>
  <si>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</si>
  <si>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</si>
  <si>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</si>
  <si>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</si>
  <si>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</si>
  <si>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</si>
  <si>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</si>
  <si>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</si>
  <si>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</si>
  <si>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</si>
  <si>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</si>
  <si>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</si>
  <si>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</si>
  <si>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</si>
  <si>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</si>
  <si>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</si>
  <si>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</si>
  <si>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</si>
  <si>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</si>
  <si>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</si>
  <si>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</si>
  <si>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</si>
  <si>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</si>
  <si>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</si>
  <si>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</si>
  <si>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</si>
  <si>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</si>
  <si>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</si>
  <si>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</si>
  <si>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</si>
  <si>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</si>
  <si>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</si>
  <si>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</si>
  <si>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</si>
  <si>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</si>
  <si>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</si>
  <si>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</si>
  <si>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</si>
  <si>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</si>
  <si>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</si>
  <si>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</si>
  <si>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</si>
  <si>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</si>
  <si>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</si>
  <si>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</si>
  <si>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</si>
  <si>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</si>
  <si>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</si>
  <si>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</si>
  <si>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</si>
  <si>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</si>
  <si>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</si>
  <si>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</si>
  <si>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</si>
  <si>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</si>
  <si>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</si>
  <si>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</si>
  <si>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</si>
  <si>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</si>
  <si>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</si>
  <si>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</si>
  <si>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</si>
  <si>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</si>
  <si>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</si>
  <si>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</si>
  <si>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</si>
  <si>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</si>
  <si>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</si>
  <si>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</si>
  <si>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</si>
  <si>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</si>
  <si>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</si>
  <si>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</si>
  <si>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</si>
  <si>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</si>
  <si>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</si>
  <si>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</si>
  <si>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</si>
  <si>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</si>
  <si>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</si>
  <si>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</si>
  <si>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</si>
  <si>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</si>
  <si>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</si>
  <si>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</si>
  <si>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</si>
  <si>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</si>
  <si>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</si>
  <si>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</si>
  <si>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</si>
  <si>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</si>
  <si>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</si>
  <si>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</si>
  <si>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</si>
  <si>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</si>
  <si>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</si>
  <si>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</si>
  <si>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</si>
  <si>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</si>
  <si>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</si>
  <si>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</si>
  <si>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</si>
  <si>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</si>
  <si>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</si>
  <si>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</si>
  <si>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</si>
  <si>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</si>
  <si>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</si>
  <si>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</si>
  <si>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</si>
  <si>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</si>
  <si>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</si>
  <si>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</si>
  <si>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</si>
  <si>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</si>
  <si>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</si>
  <si>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</si>
  <si>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</si>
  <si>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</si>
  <si>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</si>
  <si>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</si>
  <si>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</si>
  <si>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</si>
  <si>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</si>
  <si>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</si>
  <si>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</si>
  <si>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</si>
  <si>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</si>
  <si>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</si>
  <si>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</si>
  <si>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</si>
  <si>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</si>
  <si>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</si>
  <si>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</si>
  <si>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</si>
  <si>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</si>
  <si>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</si>
  <si>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</si>
  <si>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</si>
  <si>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</si>
  <si>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</si>
  <si>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</si>
  <si>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</si>
  <si>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</si>
  <si>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</si>
  <si>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</si>
  <si>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</si>
  <si>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</si>
  <si>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</si>
  <si>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</si>
  <si>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</si>
  <si>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</si>
  <si>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</si>
  <si>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</si>
  <si>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</si>
  <si>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</si>
  <si>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</si>
  <si>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</si>
  <si>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</si>
  <si>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</si>
  <si>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</si>
  <si>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</si>
  <si>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</si>
  <si>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</si>
  <si>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</si>
  <si>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</si>
  <si>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</si>
  <si>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</si>
  <si>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</si>
  <si>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</si>
  <si>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</si>
  <si>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</si>
  <si>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</si>
  <si>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</si>
  <si>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</si>
  <si>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</si>
  <si>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</si>
  <si>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</si>
  <si>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</si>
  <si>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</si>
  <si>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</si>
  <si>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</si>
  <si>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</si>
  <si>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</si>
  <si>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</si>
  <si>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</si>
  <si>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</si>
  <si>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</si>
  <si>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</si>
  <si>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</si>
  <si>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</si>
  <si>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</si>
  <si>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</si>
  <si>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</si>
  <si>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</si>
  <si>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</si>
  <si>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</si>
  <si>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</si>
  <si>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</si>
  <si>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</si>
  <si>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</si>
  <si>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</si>
  <si>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</si>
  <si>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</si>
  <si>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</si>
  <si>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</si>
  <si>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</si>
  <si>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</si>
  <si>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</si>
  <si>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</si>
  <si>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</si>
  <si>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</si>
  <si>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</si>
  <si>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</si>
  <si>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</si>
  <si>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</si>
  <si>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</si>
  <si>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</si>
  <si>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</si>
  <si>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</si>
  <si>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</si>
  <si>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</si>
  <si>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</si>
  <si>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</si>
  <si>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</si>
  <si>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</si>
  <si>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</si>
  <si>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</si>
  <si>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</si>
  <si>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</si>
  <si>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</si>
  <si>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</si>
  <si>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</si>
  <si>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</si>
  <si>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</si>
  <si>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</si>
  <si>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</si>
  <si>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</si>
  <si>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</si>
  <si>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</si>
  <si>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</si>
  <si>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</si>
  <si>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</si>
  <si>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</si>
  <si>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</si>
  <si>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</si>
  <si>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</si>
  <si>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</si>
  <si>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</si>
  <si>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</si>
  <si>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</si>
  <si>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</si>
  <si>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</si>
  <si>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</si>
  <si>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</si>
  <si>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</si>
  <si>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</si>
  <si>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</si>
  <si>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</si>
  <si>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</si>
  <si>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</si>
  <si>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</si>
  <si>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</si>
  <si>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</si>
  <si>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</si>
  <si>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</si>
  <si>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</si>
  <si>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</si>
  <si>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</si>
  <si>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</si>
  <si>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</si>
  <si>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</si>
  <si>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</si>
  <si>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</si>
  <si>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</si>
  <si>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</si>
  <si>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</si>
  <si>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</si>
  <si>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</si>
  <si>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</si>
  <si>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</si>
  <si>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</si>
  <si>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</si>
  <si>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</si>
  <si>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</si>
  <si>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</si>
  <si>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</si>
  <si>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</si>
  <si>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</si>
  <si>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</si>
  <si>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</si>
  <si>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</si>
  <si>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</si>
  <si>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</si>
  <si>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</si>
  <si>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</si>
  <si>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</si>
  <si>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</si>
  <si>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</si>
  <si>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</si>
  <si>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</si>
  <si>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</si>
  <si>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</si>
  <si>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</si>
  <si>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</si>
  <si>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</si>
  <si>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</si>
  <si>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</si>
  <si>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</si>
  <si>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</si>
  <si>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</si>
  <si>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</si>
  <si>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</si>
  <si>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</si>
  <si>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</si>
  <si>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</si>
  <si>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</si>
  <si>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</si>
  <si>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</si>
  <si>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</si>
  <si>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</si>
  <si>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</si>
  <si>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</si>
  <si>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</si>
  <si>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</si>
  <si>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</si>
  <si>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</si>
  <si>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</si>
  <si>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</si>
  <si>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</si>
  <si>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</si>
  <si>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</si>
  <si>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</si>
  <si>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</si>
  <si>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</si>
  <si>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</si>
  <si>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</si>
  <si>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</si>
  <si>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</si>
  <si>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</si>
  <si>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</si>
  <si>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</si>
  <si>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</si>
  <si>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</si>
  <si>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</si>
  <si>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</si>
  <si>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</si>
  <si>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</si>
  <si>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</si>
  <si>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</si>
  <si>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</si>
  <si>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</si>
  <si>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</si>
  <si>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</si>
  <si>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</si>
  <si>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</si>
  <si>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</si>
  <si>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</si>
  <si>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</si>
  <si>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</si>
  <si>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</si>
  <si>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</si>
  <si>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</si>
  <si>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</si>
  <si>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</si>
  <si>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</si>
  <si>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</si>
  <si>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</si>
  <si>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</si>
  <si>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</si>
  <si>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</si>
  <si>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</si>
  <si>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</si>
  <si>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</si>
  <si>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</si>
  <si>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</si>
  <si>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</si>
  <si>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</si>
  <si>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</si>
  <si>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</si>
  <si>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</si>
  <si>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</si>
  <si>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</si>
  <si>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</si>
  <si>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</si>
  <si>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</si>
  <si>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</si>
  <si>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</si>
  <si>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</si>
  <si>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</si>
  <si>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</si>
  <si>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</si>
  <si>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</si>
  <si>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</si>
  <si>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</si>
  <si>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</si>
  <si>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</si>
  <si>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</si>
  <si>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</si>
  <si>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</si>
  <si>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</si>
  <si>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</si>
  <si>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</si>
  <si>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</si>
  <si>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</si>
  <si>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</si>
  <si>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</si>
  <si>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</si>
  <si>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</si>
  <si>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</si>
  <si>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</si>
  <si>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</si>
  <si>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</si>
  <si>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</si>
  <si>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</si>
  <si>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</si>
  <si>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</si>
  <si>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</si>
  <si>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</si>
  <si>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</si>
  <si>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</si>
  <si>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</si>
  <si>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</si>
  <si>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</si>
  <si>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</si>
  <si>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</si>
  <si>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</si>
  <si>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</si>
  <si>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</si>
  <si>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</si>
  <si>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</si>
  <si>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</si>
  <si>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</si>
  <si>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</si>
  <si>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</si>
  <si>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</si>
  <si>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</si>
  <si>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</si>
  <si>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</si>
  <si>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</si>
  <si>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</si>
  <si>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</si>
  <si>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</si>
  <si>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</si>
  <si>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</si>
  <si>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</si>
  <si>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</si>
  <si>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</si>
  <si>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</si>
  <si>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</si>
  <si>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</si>
  <si>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</si>
  <si>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</si>
  <si>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</si>
  <si>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</si>
  <si>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</si>
  <si>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</si>
  <si>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</si>
  <si>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</si>
  <si>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</si>
  <si>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</si>
  <si>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</si>
  <si>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</si>
  <si>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</si>
  <si>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</si>
  <si>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</si>
  <si>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</si>
  <si>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</si>
  <si>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</si>
  <si>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</si>
  <si>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</si>
  <si>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</si>
  <si>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</si>
  <si>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</si>
  <si>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</si>
  <si>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</si>
  <si>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</si>
  <si>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</si>
  <si>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</si>
  <si>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</si>
  <si>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</si>
  <si>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</si>
  <si>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</si>
  <si>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</si>
  <si>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</si>
  <si>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</si>
  <si>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</si>
  <si>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</si>
  <si>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</si>
  <si>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</si>
  <si>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</si>
  <si>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</si>
  <si>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</si>
  <si>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</si>
  <si>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</si>
  <si>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</si>
  <si>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</si>
  <si>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</si>
  <si>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</si>
  <si>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</si>
  <si>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</si>
  <si>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</si>
  <si>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</si>
  <si>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</si>
  <si>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</si>
  <si>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</si>
  <si>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</si>
  <si>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</si>
  <si>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</si>
  <si>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</si>
  <si>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</si>
  <si>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</si>
  <si>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</si>
  <si>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</si>
  <si>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</si>
  <si>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</si>
  <si>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</si>
  <si>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</si>
  <si>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</si>
  <si>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</si>
  <si>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</si>
  <si>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</si>
  <si>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</si>
  <si>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</si>
  <si>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</si>
  <si>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</si>
  <si>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</si>
  <si>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</si>
  <si>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</si>
  <si>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</si>
  <si>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</si>
  <si>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</si>
  <si>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</si>
  <si>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</si>
  <si>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</si>
  <si>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</si>
  <si>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</si>
  <si>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</si>
  <si>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</si>
  <si>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</si>
  <si>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</si>
  <si>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</si>
  <si>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</si>
  <si>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</si>
  <si>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</si>
  <si>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</si>
  <si>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</si>
  <si>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</si>
  <si>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</si>
  <si>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</si>
  <si>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</si>
  <si>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</si>
  <si>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</si>
  <si>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</si>
  <si>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</si>
  <si>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</si>
  <si>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</si>
  <si>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</si>
  <si>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</si>
  <si>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</si>
  <si>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</si>
  <si>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</si>
  <si>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</si>
  <si>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</si>
  <si>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</si>
  <si>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</si>
  <si>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</si>
  <si>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</si>
  <si>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</si>
  <si>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</si>
  <si>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</si>
  <si>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</si>
  <si>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</si>
  <si>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</si>
  <si>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</si>
  <si>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</si>
  <si>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</si>
  <si>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</si>
  <si>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</si>
  <si>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</si>
  <si>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</si>
  <si>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</si>
  <si>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</si>
  <si>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</si>
  <si>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</si>
  <si>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</si>
  <si>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</si>
  <si>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</si>
  <si>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</si>
  <si>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</si>
  <si>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</si>
  <si>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</si>
  <si>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</si>
  <si>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</si>
  <si>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</si>
  <si>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</si>
  <si>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</si>
  <si>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</si>
  <si>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</si>
  <si>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</si>
  <si>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</si>
  <si>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</si>
  <si>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</si>
  <si>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</si>
  <si>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</si>
  <si>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</si>
  <si>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</si>
  <si>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</si>
  <si>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</si>
  <si>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</si>
  <si>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</si>
  <si>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</si>
  <si>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</si>
  <si>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</si>
  <si>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</si>
  <si>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</si>
  <si>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</si>
  <si>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</si>
  <si>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</si>
  <si>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</si>
  <si>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</si>
  <si>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</si>
  <si>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</si>
  <si>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</si>
  <si>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</si>
  <si>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</si>
  <si>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</si>
  <si>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</si>
  <si>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</si>
  <si>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</si>
  <si>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</si>
  <si>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</si>
  <si>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</si>
  <si>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</si>
  <si>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</si>
  <si>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</si>
  <si>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</si>
  <si>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</si>
  <si>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</si>
  <si>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</si>
  <si>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</si>
  <si>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</si>
  <si>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</si>
  <si>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</si>
  <si>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</si>
  <si>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</si>
  <si>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</si>
  <si>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</si>
  <si>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</si>
  <si>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</si>
  <si>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</si>
  <si>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</si>
  <si>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</si>
  <si>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</si>
  <si>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</si>
  <si>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</si>
  <si>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</si>
  <si>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</si>
  <si>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</si>
  <si>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</si>
  <si>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</si>
  <si>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</si>
  <si>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</si>
  <si>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</si>
  <si>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</si>
  <si>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</si>
  <si>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</si>
  <si>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</si>
  <si>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</si>
  <si>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</si>
  <si>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</si>
  <si>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</si>
  <si>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</si>
  <si>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</si>
  <si>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</si>
  <si>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</si>
  <si>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</si>
  <si>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</si>
  <si>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</si>
  <si>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</si>
  <si>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</si>
  <si>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</si>
  <si>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</si>
  <si>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</si>
  <si>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</si>
  <si>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</si>
  <si>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</si>
  <si>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</si>
  <si>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</si>
  <si>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</si>
  <si>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</si>
  <si>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</si>
  <si>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</si>
  <si>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</si>
  <si>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</si>
  <si>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</si>
  <si>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</si>
  <si>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</si>
  <si>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</si>
  <si>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</si>
  <si>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</si>
  <si>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</si>
  <si>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</si>
  <si>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</si>
  <si>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</si>
  <si>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</si>
  <si>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</si>
  <si>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</si>
  <si>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</si>
  <si>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</si>
  <si>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</si>
  <si>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</si>
  <si>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</si>
  <si>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</si>
  <si>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</si>
  <si>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</si>
  <si>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</si>
  <si>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</si>
  <si>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</si>
  <si>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</si>
  <si>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</si>
  <si>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</si>
  <si>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</si>
  <si>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</si>
  <si>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</si>
  <si>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</si>
  <si>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</si>
  <si>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</si>
  <si>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</si>
  <si>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</si>
  <si>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</si>
  <si>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</si>
  <si>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</si>
  <si>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</si>
  <si>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</si>
  <si>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</si>
  <si>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</si>
  <si>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</si>
  <si>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</si>
  <si>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</si>
  <si>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</si>
  <si>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</si>
  <si>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</si>
  <si>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</si>
  <si>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</si>
  <si>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</si>
  <si>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</si>
  <si>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</si>
  <si>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</si>
  <si>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</si>
  <si>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</si>
  <si>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</si>
  <si>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</si>
  <si>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</si>
  <si>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</si>
  <si>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</si>
  <si>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</si>
  <si>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</si>
  <si>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</si>
  <si>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</si>
  <si>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</si>
  <si>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</si>
  <si>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</si>
  <si>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</si>
  <si>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</si>
  <si>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</si>
  <si>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</si>
  <si>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</si>
  <si>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</si>
  <si>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</si>
  <si>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</si>
  <si>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</si>
  <si>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</si>
  <si>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</si>
  <si>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</si>
  <si>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</si>
  <si>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</si>
  <si>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</si>
  <si>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</si>
  <si>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</si>
  <si>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</si>
  <si>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</si>
  <si>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</si>
  <si>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</si>
  <si>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</si>
  <si>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</si>
  <si>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</si>
  <si>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</si>
  <si>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</si>
  <si>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</si>
  <si>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</si>
  <si>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</si>
  <si>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</si>
  <si>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</si>
  <si>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</si>
  <si>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</si>
  <si>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</si>
  <si>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</si>
  <si>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</si>
  <si>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</si>
  <si>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</si>
  <si>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</si>
  <si>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</si>
  <si>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</si>
  <si>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</si>
  <si>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</si>
  <si>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</si>
  <si>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</si>
  <si>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</si>
  <si>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</si>
  <si>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</si>
  <si>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</si>
  <si>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</si>
  <si>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</si>
  <si>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</si>
  <si>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</si>
  <si>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</si>
  <si>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</si>
  <si>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</si>
  <si>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</si>
  <si>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</si>
  <si>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</si>
  <si>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</si>
  <si>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</si>
  <si>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</si>
  <si>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</si>
  <si>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</si>
  <si>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</si>
  <si>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</si>
  <si>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</si>
  <si>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</si>
  <si>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</si>
  <si>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</si>
  <si>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</si>
  <si>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</si>
  <si>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</si>
  <si>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</si>
  <si>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</si>
  <si>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</si>
  <si>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</si>
  <si>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</si>
  <si>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</si>
  <si>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</si>
  <si>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</si>
  <si>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</si>
  <si>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</si>
  <si>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</si>
  <si>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</si>
  <si>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</si>
  <si>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</si>
  <si>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</si>
  <si>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</si>
  <si>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</si>
  <si>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</si>
  <si>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</si>
  <si>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</si>
  <si>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</si>
  <si>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</si>
  <si>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</si>
  <si>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</si>
  <si>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</si>
  <si>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</si>
  <si>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</si>
  <si>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</si>
  <si>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</si>
  <si>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</si>
  <si>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</si>
  <si>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</si>
  <si>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</si>
  <si>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</si>
  <si>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</si>
  <si>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</si>
  <si>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</si>
  <si>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</si>
  <si>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</si>
  <si>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</si>
  <si>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</si>
  <si>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</si>
  <si>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</si>
  <si>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</si>
  <si>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</si>
  <si>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</si>
  <si>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</si>
  <si>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</si>
  <si>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</si>
  <si>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</si>
  <si>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</si>
  <si>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</si>
  <si>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</si>
  <si>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</si>
  <si>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</si>
  <si>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</si>
  <si>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</si>
  <si>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</si>
  <si>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</si>
  <si>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</si>
  <si>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</si>
  <si>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</si>
  <si>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</si>
  <si>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</si>
  <si>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</si>
  <si>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</si>
  <si>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</si>
  <si>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</si>
  <si>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</si>
  <si>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</si>
  <si>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</si>
  <si>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</si>
  <si>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</si>
  <si>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</si>
  <si>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</si>
  <si>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</si>
  <si>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</si>
  <si>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</si>
  <si>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</si>
  <si>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</si>
  <si>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</si>
  <si>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</si>
  <si>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</si>
  <si>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</si>
  <si>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</si>
  <si>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</si>
  <si>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</si>
  <si>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</si>
  <si>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</si>
  <si>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</si>
  <si>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</si>
  <si>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</si>
  <si>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</si>
  <si>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</si>
  <si>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</si>
  <si>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</si>
  <si>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</si>
  <si>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</si>
  <si>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</si>
  <si>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</si>
  <si>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</si>
  <si>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</si>
  <si>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</si>
  <si>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</si>
  <si>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</si>
  <si>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</si>
  <si>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</si>
  <si>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</si>
  <si>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</si>
  <si>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</si>
  <si>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</si>
  <si>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</si>
  <si>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</si>
  <si>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</si>
  <si>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</si>
  <si>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</si>
  <si>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</si>
  <si>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</si>
  <si>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</si>
  <si>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</si>
  <si>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</si>
  <si>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</si>
  <si>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</si>
  <si>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</si>
  <si>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</si>
  <si>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</si>
  <si>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</si>
  <si>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</si>
  <si>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</si>
  <si>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</si>
  <si>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</si>
  <si>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</si>
  <si>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</si>
  <si>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</si>
  <si>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</si>
  <si>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</si>
  <si>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</si>
  <si>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</si>
  <si>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</si>
  <si>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</si>
  <si>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</si>
  <si>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</si>
  <si>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</si>
  <si>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</si>
  <si>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</si>
  <si>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</si>
  <si>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</si>
  <si>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</si>
  <si>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</si>
  <si>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</si>
  <si>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</si>
  <si>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</si>
  <si>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</si>
  <si>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</si>
  <si>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</si>
  <si>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</si>
  <si>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</si>
  <si>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</si>
  <si>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</si>
  <si>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</si>
  <si>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</si>
  <si>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</si>
  <si>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</si>
  <si>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</si>
  <si>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</si>
  <si>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</si>
  <si>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</si>
  <si>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</si>
  <si>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</si>
  <si>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</si>
  <si>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</si>
  <si>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</si>
  <si>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</si>
  <si>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</si>
  <si>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</si>
  <si>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</si>
  <si>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</si>
  <si>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</si>
  <si>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</si>
  <si>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</si>
  <si>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</si>
  <si>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</si>
  <si>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</si>
  <si>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</si>
  <si>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</si>
  <si>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</si>
  <si>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</si>
  <si>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</si>
  <si>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</si>
  <si>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</si>
  <si>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</si>
  <si>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</si>
  <si>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</si>
  <si>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</si>
  <si>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</si>
  <si>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</si>
  <si>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</si>
  <si>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</si>
  <si>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</si>
  <si>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</si>
  <si>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</si>
  <si>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</si>
  <si>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</si>
  <si>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</si>
  <si>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</si>
  <si>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</si>
  <si>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</si>
  <si>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</si>
  <si>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</si>
  <si>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</si>
  <si>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</si>
  <si>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</si>
  <si>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</si>
  <si>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</si>
  <si>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</si>
  <si>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</si>
  <si>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</si>
  <si>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</si>
  <si>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</si>
  <si>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</si>
  <si>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</si>
  <si>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</si>
  <si>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</si>
  <si>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</si>
  <si>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</si>
  <si>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</si>
  <si>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</si>
  <si>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</si>
  <si>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</si>
  <si>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</si>
  <si>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</si>
  <si>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</si>
  <si>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</si>
  <si>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</si>
  <si>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</si>
  <si>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</si>
  <si>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</si>
  <si>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</si>
  <si>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</si>
  <si>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</si>
  <si>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</si>
  <si>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</si>
  <si>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</si>
  <si>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</si>
  <si>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</si>
  <si>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</si>
  <si>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</si>
  <si>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</si>
  <si>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</si>
  <si>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</si>
  <si>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</si>
  <si>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</si>
  <si>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</si>
  <si>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</si>
  <si>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</si>
  <si>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</si>
  <si>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</si>
  <si>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</si>
  <si>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</si>
  <si>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</si>
  <si>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</si>
  <si>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</si>
  <si>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</si>
  <si>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</si>
  <si>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</si>
  <si>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</si>
  <si>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</si>
  <si>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</si>
  <si>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</si>
  <si>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</si>
  <si>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</si>
  <si>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</si>
  <si>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</si>
  <si>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</si>
  <si>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</si>
  <si>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</si>
  <si>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</si>
  <si>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</si>
  <si>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</si>
  <si>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</si>
  <si>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</si>
  <si>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</si>
  <si>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</si>
  <si>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</si>
  <si>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</si>
  <si>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</si>
  <si>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</si>
  <si>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</si>
  <si>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</si>
  <si>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</si>
  <si>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</si>
  <si>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</si>
  <si>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</si>
  <si>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</si>
  <si>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</si>
  <si>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</si>
  <si>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</si>
  <si>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</si>
  <si>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</si>
  <si>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</si>
  <si>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</si>
  <si>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</si>
  <si>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</si>
  <si>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</si>
  <si>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</si>
  <si>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</si>
  <si>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</si>
  <si>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</si>
  <si>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</si>
  <si>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</si>
  <si>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</si>
  <si>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</si>
  <si>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</si>
  <si>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</si>
  <si>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</si>
  <si>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</si>
  <si>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</si>
  <si>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</si>
  <si>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</si>
  <si>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</si>
  <si>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</si>
  <si>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</si>
  <si>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</si>
  <si>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</si>
  <si>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</si>
  <si>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</si>
  <si>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</si>
  <si>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</si>
  <si>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</si>
  <si>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</si>
  <si>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</si>
  <si>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</si>
  <si>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</si>
  <si>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</si>
  <si>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</si>
  <si>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</si>
  <si>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</si>
  <si>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</si>
  <si>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</si>
  <si>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</si>
  <si>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</si>
  <si>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</si>
  <si>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</si>
  <si>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</si>
  <si>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</si>
  <si>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</si>
  <si>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</si>
  <si>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</si>
  <si>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</si>
  <si>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</si>
  <si>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</si>
  <si>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</si>
  <si>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</si>
  <si>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</si>
  <si>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</si>
  <si>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</si>
  <si>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</si>
  <si>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</si>
  <si>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</si>
  <si>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</si>
  <si>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</si>
  <si>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</si>
  <si>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</si>
  <si>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</si>
  <si>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</si>
  <si>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</si>
  <si>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</si>
  <si>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</si>
  <si>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</si>
  <si>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</si>
  <si>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</si>
  <si>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</si>
  <si>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</si>
  <si>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</si>
  <si>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</si>
  <si>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</si>
  <si>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</si>
  <si>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</si>
  <si>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</si>
  <si>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</si>
  <si>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</si>
  <si>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</si>
  <si>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</si>
  <si>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</si>
  <si>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</si>
  <si>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</si>
  <si>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</si>
  <si>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</si>
  <si>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</si>
  <si>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</si>
  <si>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</si>
  <si>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</si>
  <si>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</si>
  <si>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</si>
  <si>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</si>
  <si>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</si>
  <si>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</si>
  <si>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</si>
  <si>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</si>
  <si>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</si>
  <si>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</si>
  <si>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</si>
  <si>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</si>
  <si>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</si>
  <si>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</si>
  <si>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</si>
  <si>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</si>
  <si>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</si>
  <si>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</si>
  <si>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</si>
  <si>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</si>
  <si>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</si>
  <si>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</si>
  <si>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</si>
  <si>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</si>
  <si>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</si>
  <si>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</si>
  <si>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</si>
  <si>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</si>
  <si>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</si>
  <si>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</si>
  <si>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</si>
  <si>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</si>
  <si>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</si>
  <si>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</si>
  <si>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</si>
  <si>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</si>
  <si>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</si>
  <si>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</si>
  <si>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</si>
  <si>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</si>
  <si>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</si>
  <si>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</si>
  <si>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</si>
  <si>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</si>
  <si>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</si>
  <si>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</si>
  <si>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</si>
  <si>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</si>
  <si>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</si>
  <si>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</si>
  <si>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</si>
  <si>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</si>
  <si>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</si>
  <si>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</si>
  <si>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</si>
  <si>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</si>
  <si>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</si>
  <si>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</si>
  <si>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</si>
  <si>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</si>
  <si>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</si>
  <si>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</si>
  <si>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</si>
  <si>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</si>
  <si>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</si>
  <si>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</si>
  <si>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</si>
  <si>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</si>
  <si>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</si>
  <si>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</si>
  <si>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</si>
  <si>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</si>
  <si>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</si>
  <si>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</si>
  <si>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</si>
  <si>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</si>
  <si>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</si>
  <si>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</si>
  <si>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</si>
  <si>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</si>
  <si>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</si>
  <si>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</si>
  <si>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</si>
  <si>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</si>
  <si>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</si>
  <si>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</si>
  <si>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</si>
  <si>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</si>
  <si>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</si>
  <si>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</si>
  <si>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</si>
  <si>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</si>
  <si>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</si>
  <si>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</si>
  <si>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</si>
  <si>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</si>
  <si>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</si>
  <si>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</si>
  <si>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</si>
  <si>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</si>
  <si>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</si>
  <si>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</si>
  <si>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</si>
  <si>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</si>
  <si>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</si>
  <si>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</si>
  <si>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</si>
  <si>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</si>
  <si>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</si>
  <si>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</si>
  <si>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</si>
  <si>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</si>
  <si>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</si>
  <si>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</si>
  <si>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</si>
  <si>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</si>
  <si>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</si>
  <si>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</si>
  <si>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</si>
  <si>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</si>
  <si>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</si>
  <si>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</si>
  <si>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</si>
  <si>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</si>
  <si>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</si>
  <si>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</si>
  <si>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</si>
  <si>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</si>
  <si>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</si>
  <si>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</si>
  <si>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</si>
  <si>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</si>
  <si>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</si>
  <si>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</si>
  <si>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</si>
  <si>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</si>
  <si>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</si>
  <si>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Lauterbach &amp; Amen, LLP</t>
  </si>
  <si>
    <t>KANE</t>
  </si>
  <si>
    <t>Matt Beran</t>
  </si>
  <si>
    <t>668 N. River Road</t>
  </si>
  <si>
    <t>47W326 Keslinger Road</t>
  </si>
  <si>
    <t>Naperville</t>
  </si>
  <si>
    <t>IL</t>
  </si>
  <si>
    <t>Maple Park</t>
  </si>
  <si>
    <t>10161@kaneland.org</t>
  </si>
  <si>
    <t>065-037815</t>
  </si>
  <si>
    <t>mberan@lauterbachamen.com</t>
  </si>
  <si>
    <t>Dr. Todd Leden</t>
  </si>
  <si>
    <t>todd.leden@kaneland.org</t>
  </si>
  <si>
    <t>Lauterbach and Amen, LLP</t>
  </si>
  <si>
    <t>General Obligation Refunding Bonds, Series 2015A</t>
  </si>
  <si>
    <t>General Obligation Refunding Bonds, Series 2015B</t>
  </si>
  <si>
    <t>General Obligation Refunding Bonds, Series 2016</t>
  </si>
  <si>
    <t>GO Capital Appreciation Bonds, Series 2004</t>
  </si>
  <si>
    <t>GO Capital Appreciation Bonds, Series 2009B</t>
  </si>
  <si>
    <t>GO Capital Appreciation Bonds, Series 2009C</t>
  </si>
  <si>
    <t>General Obligation Refunding Bonds, Series 2018</t>
  </si>
  <si>
    <t>N/A</t>
  </si>
  <si>
    <t>Prairie State Insurance Cooperative (PSIC)</t>
  </si>
  <si>
    <t>Illinois School District Liquid Asset Fund (ISDLAF)</t>
  </si>
  <si>
    <t>Kane County Human Resources Consortium (KCHRC)</t>
  </si>
  <si>
    <t>Mid-Valley Special Education Cooperative (MVSEC)</t>
  </si>
  <si>
    <t>Educational and Institutional Cooperative Purchasing (E&amp;I)</t>
  </si>
  <si>
    <t>Fox Valley Career Center</t>
  </si>
  <si>
    <t>Valley Education for Employment System (VALEES)</t>
  </si>
  <si>
    <t>Northwestern Illinois Association Regional SPED Coop (NIA)</t>
  </si>
  <si>
    <t>Revenues 9-14: Line 107, Acct #1999 - parking stickers; indirect cafeteria reimbursements, land cash revenues</t>
  </si>
  <si>
    <t>Revenues 9-14: Line 168, Acct #3999 - Other State Grant Revenues</t>
  </si>
  <si>
    <t>Short-Term Long-Term Debt 24 - Additions for Capital Appreciation of Interest $2,240,191</t>
  </si>
  <si>
    <t>O&amp;M-SUPPORT SERVICES-OTHER</t>
  </si>
  <si>
    <t>ED-INSTRUCTIONAL-OTHER</t>
  </si>
  <si>
    <t>TRANSPORTATION-SUPPORT SERVICES-OTHER</t>
  </si>
  <si>
    <t>ED-SUPPORT SERVICES-OTHER</t>
  </si>
  <si>
    <t>ABM</t>
  </si>
  <si>
    <t>ALLOFE SOLUTIONS</t>
  </si>
  <si>
    <t>CALL ONE</t>
  </si>
  <si>
    <t>CANON FINANCIAL SERVICES INC</t>
  </si>
  <si>
    <t>CDW GOVERNMENT INC</t>
  </si>
  <si>
    <t>CENGAGE LEARNING</t>
  </si>
  <si>
    <t>CHG ALTERNATIVE EDUCATION INC</t>
  </si>
  <si>
    <t>CLARE WOODS ACADEMY</t>
  </si>
  <si>
    <t>CURRICULUM ASSOCIATES LLC</t>
  </si>
  <si>
    <t>FIRST STUDENT INC</t>
  </si>
  <si>
    <t>GAGGLE NET INC</t>
  </si>
  <si>
    <t>GIANT STEPS</t>
  </si>
  <si>
    <t>GLEN OAKS THERAPEUTIC DAY SCHOOL</t>
  </si>
  <si>
    <t>GOVERNMENT LEASING &amp; FINANCE INC</t>
  </si>
  <si>
    <t>HAPARA INC</t>
  </si>
  <si>
    <t>HOUGHTON MIFFLIN HARCOURT PUBLISHING CO</t>
  </si>
  <si>
    <t>ILLINOIS CENTRAL SCHOOL BUS</t>
  </si>
  <si>
    <t>INSTRUCTURE</t>
  </si>
  <si>
    <t>INTERSTATE BILLING SERVICES INC</t>
  </si>
  <si>
    <t>KANE COUNTY ROE #31</t>
  </si>
  <si>
    <t>KANE COUNTY SHERIFFS OFFICE</t>
  </si>
  <si>
    <t>LAUTERBACH &amp; AMEN LLP</t>
  </si>
  <si>
    <t>LEARNING FORWARD</t>
  </si>
  <si>
    <t>MAPLE PARK TRUCKING</t>
  </si>
  <si>
    <t>MARKLUND</t>
  </si>
  <si>
    <t>MECHANICAL INC</t>
  </si>
  <si>
    <t>NEURO RESTORATIVE</t>
  </si>
  <si>
    <t>NORTHERN IL UNIVERSITY</t>
  </si>
  <si>
    <t>OTIS ELEVATOR</t>
  </si>
  <si>
    <t>OTTOSEN DINOLFO HASENBALG &amp; CASTALDO LTD</t>
  </si>
  <si>
    <t>PARKLAND PREPARATORY ACADEMY INC</t>
  </si>
  <si>
    <t>PARTITION PROS INC</t>
  </si>
  <si>
    <t>PENTEGRA SYSTEMS</t>
  </si>
  <si>
    <t>PSIC (PRAIRIE STATE INSURANCE COOP)</t>
  </si>
  <si>
    <t>R J KUHN INC</t>
  </si>
  <si>
    <t>SAFE-WAY TUCKPOINTING CO</t>
  </si>
  <si>
    <t>SEAL SOUTH INC</t>
  </si>
  <si>
    <t>SOUND INCORPORATED</t>
  </si>
  <si>
    <t>SPARE WHEELS TRANSPORT INC</t>
  </si>
  <si>
    <t>SPECIAL EDUCATION SERVICES</t>
  </si>
  <si>
    <t>SPECIAL EDUCATION SYSTEMS INC</t>
  </si>
  <si>
    <t>SPECIALTY FLOORS INC</t>
  </si>
  <si>
    <t>STEWART &amp; ASSOCIATES INC</t>
  </si>
  <si>
    <t>SUMMIT SCHOOL INC</t>
  </si>
  <si>
    <t>TRANE</t>
  </si>
  <si>
    <t>TURNING POINTE AUTISM FOUNDATION</t>
  </si>
  <si>
    <t>TYLER TECHNOLOGIES INC</t>
  </si>
  <si>
    <t>VERIZON WIRELESS CO</t>
  </si>
  <si>
    <t>VILLAGE OF ELBURN</t>
  </si>
  <si>
    <t>WASTE MANAGEMENT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</si>
  <si>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</si>
  <si>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</si>
  <si>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</si>
  <si>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</si>
  <si>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</si>
  <si>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</si>
  <si>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</si>
  <si>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</si>
  <si>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</si>
  <si>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</si>
  <si>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</si>
  <si>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</si>
  <si>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</si>
  <si>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</si>
  <si>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</si>
  <si>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</si>
  <si>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</si>
  <si>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</si>
  <si>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</si>
  <si>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</si>
  <si>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</si>
  <si>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</si>
  <si>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</si>
  <si>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</si>
  <si>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</si>
  <si>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</si>
  <si>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</si>
  <si>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</si>
  <si>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</si>
  <si>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</si>
  <si>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x</t>
  </si>
  <si>
    <t>7/1/18-6/30/19</t>
  </si>
  <si>
    <t>7/1/19-6/30/20</t>
  </si>
  <si>
    <t>Child Nutrition Cluster</t>
  </si>
  <si>
    <t>US Department of Agriculture</t>
  </si>
  <si>
    <t>Illinois State Board of Education</t>
  </si>
  <si>
    <t>2019-4210</t>
  </si>
  <si>
    <t>2020-4210</t>
  </si>
  <si>
    <t>2019-4215</t>
  </si>
  <si>
    <t>2020-4215</t>
  </si>
  <si>
    <t>Commodities (Non-Cash)</t>
  </si>
  <si>
    <t>2020-4225</t>
  </si>
  <si>
    <t>Total US Department of Agriculture</t>
  </si>
  <si>
    <t>Total Child Nutrition Cluster</t>
  </si>
  <si>
    <t>Special Education (IDEA) Cluster</t>
  </si>
  <si>
    <t>Department of Education</t>
  </si>
  <si>
    <t>2020-4620</t>
  </si>
  <si>
    <t>2020-4600</t>
  </si>
  <si>
    <t>Total Department of Education</t>
  </si>
  <si>
    <t>Total Special Education (IDEA) Cluster</t>
  </si>
  <si>
    <t>Other Programs</t>
  </si>
  <si>
    <t>2020-4300</t>
  </si>
  <si>
    <t>2020-4932</t>
  </si>
  <si>
    <t>Title III - Language Instruction</t>
  </si>
  <si>
    <t>2020-4905</t>
  </si>
  <si>
    <t>2019-4909</t>
  </si>
  <si>
    <t>2020-4909</t>
  </si>
  <si>
    <t>Title IVa - Student Support and Academic Enrichment</t>
  </si>
  <si>
    <t>2020-4400</t>
  </si>
  <si>
    <t>Passed Through the Valley Education for Employment System</t>
  </si>
  <si>
    <t>CTE - Perkins - Secondary</t>
  </si>
  <si>
    <t>84.048A</t>
  </si>
  <si>
    <t>2020-4745</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</si>
  <si>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</si>
  <si>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</si>
  <si>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</si>
  <si>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</si>
  <si>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</si>
  <si>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</si>
  <si>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2019-4600</t>
  </si>
  <si>
    <r>
      <t xml:space="preserve">The accompanying Schedule of Expenditures of Federal Awards includes the federal grant activity of </t>
    </r>
    <r>
      <rPr>
        <b/>
        <sz val="9"/>
        <rFont val="Calibri"/>
        <family val="2"/>
        <scheme val="minor"/>
      </rPr>
      <t>Kaneland CUSD 302</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</si>
  <si>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Kaneland CUSD 302 provided federal awards to subrecipients as follows:</t>
  </si>
  <si>
    <t>None</t>
  </si>
  <si>
    <t>Unmodified</t>
  </si>
  <si>
    <t>84.027/84.0173</t>
  </si>
  <si>
    <t>Special Education - Grants to States (IDEA Flow Through) (M)</t>
  </si>
  <si>
    <t>Special Education - Preschool Grants (IDEA Preschool) (M)</t>
  </si>
  <si>
    <t xml:space="preserve"> Kaneland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</si>
</sst>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2" fillId="0" borderId="0"/>
    <xf numFmtId="43" fontId="144" fillId="0" borderId="0" applyFont="0" applyFill="0" applyBorder="0" applyAlignment="0" applyProtection="0"/>
  </cellStyleXfs>
  <cellXfs count="261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0" fontId="56" fillId="0" borderId="0" xfId="0" applyFont="1" applyAlignment="1">
      <alignment horizontal="centerContinuous" vertical="top"/>
    </xf>
    <xf numFmtId="0" fontId="56" fillId="0" borderId="0" xfId="0" applyFont="1" applyAlignment="1">
      <alignment horizontal="centerContinuous" vertical="top" wrapText="1"/>
    </xf>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17" xfId="0" applyFont="1" applyBorder="1" applyAlignment="1">
      <alignment horizontal="lef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116" fillId="0" borderId="17" xfId="0" applyFont="1" applyBorder="1" applyAlignment="1">
      <alignment horizontal="right" vertical="top"/>
    </xf>
    <xf numFmtId="0" fontId="63" fillId="0" borderId="14" xfId="0" applyFont="1" applyBorder="1" applyAlignment="1">
      <alignment vertical="top" wrapText="1"/>
    </xf>
    <xf numFmtId="0" fontId="114" fillId="0" borderId="21" xfId="0" applyFont="1" applyBorder="1" applyAlignment="1">
      <alignment vertical="top"/>
    </xf>
    <xf numFmtId="0" fontId="86" fillId="0" borderId="14" xfId="0" applyFont="1" applyBorder="1" applyAlignment="1">
      <alignment vertical="top" wrapText="1"/>
    </xf>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114" fillId="0" borderId="126" xfId="0" applyFont="1" applyBorder="1" applyAlignment="1">
      <alignment vertical="top"/>
    </xf>
    <xf numFmtId="0" fontId="114" fillId="0" borderId="126" xfId="0" applyFont="1" applyBorder="1" applyAlignment="1">
      <alignment horizontal="left" vertical="top"/>
    </xf>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0" fontId="56" fillId="0" borderId="0" xfId="0" applyFont="1" applyAlignment="1">
      <alignment horizontal="left"/>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6" fillId="0" borderId="0" xfId="0" applyFont="1" applyAlignment="1">
      <alignment horizontal="left" vertical="center"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101" fillId="0" borderId="0" xfId="20" applyFont="1"/>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16" borderId="185" xfId="20" applyNumberFormat="1" applyFont="1" applyFill="1" applyBorder="1" applyAlignment="1">
      <alignment horizontal="center"/>
    </xf>
    <xf numFmtId="38" fontId="58" fillId="26"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16" borderId="190" xfId="20" applyNumberFormat="1" applyFont="1" applyFill="1" applyBorder="1" applyAlignment="1">
      <alignment horizontal="center"/>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16" borderId="194" xfId="20" applyNumberFormat="1" applyFont="1" applyFill="1" applyBorder="1" applyAlignment="1">
      <alignment horizontal="center"/>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49" fontId="112" fillId="0" borderId="0" xfId="0" applyNumberFormat="1" applyFont="1" applyAlignment="1">
      <alignment horizontal="centerContinuous" vertical="top"/>
    </xf>
    <xf numFmtId="0" fontId="65" fillId="0" borderId="0" xfId="0" applyFont="1" applyAlignment="1">
      <alignment horizontal="centerContinuous" vertical="top"/>
    </xf>
    <xf numFmtId="0" fontId="56" fillId="0" borderId="123" xfId="0" applyFont="1" applyBorder="1"/>
    <xf numFmtId="164" fontId="114" fillId="0" borderId="126" xfId="0" applyNumberFormat="1" applyFont="1" applyBorder="1"/>
    <xf numFmtId="0" fontId="56" fillId="0" borderId="126" xfId="0" applyFont="1" applyBorder="1"/>
    <xf numFmtId="0" fontId="63" fillId="0" borderId="124" xfId="0" applyFont="1" applyBorder="1"/>
    <xf numFmtId="0" fontId="56" fillId="0" borderId="21" xfId="0" applyFont="1" applyBorder="1"/>
    <xf numFmtId="49" fontId="84" fillId="0" borderId="12" xfId="0" applyNumberFormat="1" applyFont="1" applyBorder="1" applyAlignment="1">
      <alignment horizontal="left" vertical="center"/>
    </xf>
    <xf numFmtId="49" fontId="56" fillId="0" borderId="16" xfId="0" applyNumberFormat="1" applyFont="1" applyBorder="1" applyAlignment="1">
      <alignment horizontal="left" vertical="center"/>
    </xf>
    <xf numFmtId="0" fontId="56" fillId="0" borderId="16" xfId="0" applyFont="1" applyBorder="1" applyAlignment="1">
      <alignment horizontal="left" vertical="center"/>
    </xf>
    <xf numFmtId="0" fontId="63" fillId="0" borderId="152" xfId="0" applyFont="1" applyBorder="1" applyAlignment="1" applyProtection="1">
      <alignment horizontal="left" vertical="center"/>
      <protection locked="0"/>
    </xf>
    <xf numFmtId="49" fontId="84" fillId="0" borderId="17" xfId="0" applyNumberFormat="1" applyFont="1" applyBorder="1" applyAlignment="1">
      <alignment horizontal="left" vertical="center"/>
    </xf>
    <xf numFmtId="49" fontId="56" fillId="0" borderId="0" xfId="0" applyNumberFormat="1" applyFont="1" applyAlignment="1">
      <alignment horizontal="left" vertical="center"/>
    </xf>
    <xf numFmtId="0" fontId="56" fillId="0" borderId="0" xfId="0" applyFont="1" applyAlignment="1">
      <alignment horizontal="left" vertical="center"/>
    </xf>
    <xf numFmtId="0" fontId="63" fillId="0" borderId="63" xfId="0" applyFont="1" applyBorder="1" applyAlignment="1">
      <alignment horizontal="left" vertical="center"/>
    </xf>
    <xf numFmtId="0" fontId="56" fillId="0" borderId="55" xfId="0" applyFont="1" applyBorder="1" applyAlignment="1">
      <alignment horizontal="left" vertical="center"/>
    </xf>
    <xf numFmtId="0" fontId="56" fillId="0" borderId="24" xfId="0" applyFont="1" applyBorder="1" applyAlignment="1">
      <alignment horizontal="left" vertical="center"/>
    </xf>
    <xf numFmtId="0" fontId="56" fillId="0" borderId="24" xfId="0" applyFont="1" applyBorder="1" applyAlignment="1">
      <alignment horizontal="left" vertical="center" indent="2"/>
    </xf>
    <xf numFmtId="0" fontId="65" fillId="0" borderId="64" xfId="0" applyFont="1" applyBorder="1" applyAlignment="1">
      <alignment horizontal="left" vertical="center"/>
    </xf>
    <xf numFmtId="0" fontId="55" fillId="0" borderId="123" xfId="0" applyFont="1" applyBorder="1"/>
    <xf numFmtId="0" fontId="55" fillId="0" borderId="126" xfId="0" applyFont="1" applyBorder="1" applyAlignment="1">
      <alignment horizontal="left" vertical="top"/>
    </xf>
    <xf numFmtId="0" fontId="55" fillId="0" borderId="124" xfId="0" applyFont="1" applyBorder="1" applyAlignment="1">
      <alignment horizontal="left"/>
    </xf>
    <xf numFmtId="0" fontId="55" fillId="0" borderId="124" xfId="0" applyFont="1" applyBorder="1" applyAlignment="1">
      <alignment horizontal="center" vertical="center"/>
    </xf>
    <xf numFmtId="0" fontId="55" fillId="0" borderId="0" xfId="0" applyFont="1"/>
    <xf numFmtId="164" fontId="114" fillId="0" borderId="0" xfId="0" applyNumberFormat="1" applyFont="1" applyAlignment="1">
      <alignment horizontal="right" vertical="top"/>
    </xf>
    <xf numFmtId="0" fontId="56" fillId="0" borderId="126" xfId="0" applyFont="1" applyBorder="1" applyAlignment="1">
      <alignment horizontal="left" vertical="center" wrapText="1" indent="1"/>
    </xf>
    <xf numFmtId="0" fontId="86" fillId="0" borderId="65" xfId="12" applyFont="1" applyBorder="1" applyAlignment="1">
      <alignment vertical="center"/>
    </xf>
    <xf numFmtId="0" fontId="86" fillId="0" borderId="10" xfId="12" applyFont="1" applyBorder="1" applyAlignment="1">
      <alignment vertical="center" wrapText="1"/>
    </xf>
    <xf numFmtId="0" fontId="114" fillId="0" borderId="21" xfId="0" applyFont="1" applyBorder="1" applyAlignment="1">
      <alignment horizontal="left" vertical="center"/>
    </xf>
    <xf numFmtId="0" fontId="116" fillId="0" borderId="21" xfId="0" applyFont="1" applyBorder="1" applyAlignment="1">
      <alignment horizontal="left" vertical="center"/>
    </xf>
    <xf numFmtId="0" fontId="56" fillId="0" borderId="0" xfId="0" applyFont="1" applyAlignment="1">
      <alignment vertical="top"/>
    </xf>
    <xf numFmtId="0" fontId="86" fillId="0" borderId="2" xfId="0" applyFont="1" applyBorder="1" applyAlignment="1">
      <alignment horizontal="left" vertical="center" wrapText="1"/>
    </xf>
    <xf numFmtId="0" fontId="116" fillId="0" borderId="126" xfId="0" applyFont="1" applyBorder="1" applyAlignment="1">
      <alignment horizontal="left" vertical="center"/>
    </xf>
    <xf numFmtId="0" fontId="70" fillId="0" borderId="17" xfId="0" applyFont="1" applyBorder="1"/>
    <xf numFmtId="0" fontId="70" fillId="0" borderId="0" xfId="0" applyFont="1"/>
    <xf numFmtId="0" fontId="70" fillId="0" borderId="13" xfId="0" applyFont="1" applyBorder="1"/>
    <xf numFmtId="0" fontId="56" fillId="0" borderId="21" xfId="0" applyFont="1" applyBorder="1" applyAlignment="1">
      <alignment horizontal="left" vertical="center" wrapText="1" indent="1"/>
    </xf>
    <xf numFmtId="0" fontId="73" fillId="0" borderId="0" xfId="3" applyFont="1" applyAlignment="1">
      <alignment horizontal="center" vertic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85" fontId="63" fillId="0" borderId="8" xfId="21"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2"/>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85" fontId="63" fillId="0" borderId="22" xfId="21"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indent="3"/>
      <protection locked="0"/>
    </xf>
    <xf numFmtId="3" fontId="65" fillId="0" borderId="22" xfId="3" applyNumberFormat="1" applyFont="1" applyBorder="1" applyAlignment="1" applyProtection="1">
      <alignment horizontal="left" vertical="center" wrapText="1" indent="1"/>
      <protection locked="0"/>
    </xf>
    <xf numFmtId="185" fontId="65" fillId="0" borderId="22" xfId="21" applyNumberFormat="1" applyFont="1" applyBorder="1" applyAlignment="1" applyProtection="1">
      <alignment horizontal="center"/>
      <protection locked="0"/>
    </xf>
    <xf numFmtId="185" fontId="65" fillId="0" borderId="8" xfId="21"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0" fontId="66" fillId="0" borderId="0" xfId="3" applyFont="1"/>
    <xf numFmtId="169" fontId="63" fillId="0" borderId="22" xfId="3" applyNumberFormat="1" applyFont="1" applyBorder="1" applyAlignment="1" applyProtection="1">
      <alignment horizontal="left" indent="1"/>
      <protection locked="0"/>
    </xf>
    <xf numFmtId="1" fontId="63" fillId="0" borderId="22" xfId="3" applyNumberFormat="1" applyFont="1" applyBorder="1" applyAlignment="1" applyProtection="1">
      <alignment horizontal="left" indent="1"/>
      <protection locked="0"/>
    </xf>
    <xf numFmtId="185" fontId="63" fillId="0" borderId="22" xfId="21" applyNumberFormat="1" applyFont="1" applyBorder="1" applyAlignment="1" applyProtection="1">
      <alignment horizontal="left" indent="1"/>
      <protection locked="0"/>
    </xf>
    <xf numFmtId="0" fontId="58" fillId="0" borderId="0" xfId="3" applyFont="1" applyAlignment="1">
      <alignment horizontal="left" inden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0" fontId="58" fillId="0" borderId="0" xfId="3" applyFont="1" applyAlignment="1">
      <alignment textRotation="180" wrapText="1"/>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8" fillId="0" borderId="0" xfId="3" applyFont="1" applyAlignment="1">
      <alignment horizontal="center"/>
    </xf>
    <xf numFmtId="0" fontId="55" fillId="0" borderId="0" xfId="3" applyFont="1"/>
    <xf numFmtId="169" fontId="58" fillId="0" borderId="0" xfId="3" applyNumberFormat="1" applyFont="1"/>
    <xf numFmtId="1" fontId="58" fillId="0" borderId="0" xfId="3" applyNumberFormat="1"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81" fillId="0" borderId="131" xfId="3" applyFont="1" applyBorder="1" applyAlignment="1">
      <alignment horizontal="center"/>
    </xf>
    <xf numFmtId="0" fontId="58" fillId="0" borderId="126" xfId="3" applyFont="1" applyBorder="1" applyAlignment="1">
      <alignment horizontal="left" vertical="center" indent="1"/>
    </xf>
    <xf numFmtId="0" fontId="58" fillId="0" borderId="126" xfId="3" applyFont="1" applyBorder="1" applyAlignment="1">
      <alignment horizontal="left" vertical="center"/>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58" fillId="0" borderId="188" xfId="20" applyFont="1" applyBorder="1" applyAlignment="1">
      <alignment wrapText="1"/>
    </xf>
    <xf numFmtId="0" fontId="58" fillId="0" borderId="189" xfId="20" applyFont="1" applyBorder="1" applyAlignment="1">
      <alignment wrapText="1"/>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78" xfId="3" applyFont="1" applyBorder="1" applyAlignment="1">
      <alignment horizontal="left" vertical="center"/>
    </xf>
    <xf numFmtId="166" fontId="58" fillId="0" borderId="179" xfId="3" applyNumberFormat="1" applyFont="1" applyBorder="1" applyAlignment="1">
      <alignment horizontal="left" vertical="center" indent="1"/>
    </xf>
    <xf numFmtId="0" fontId="58" fillId="26" borderId="180" xfId="20" applyFont="1" applyFill="1" applyBorder="1"/>
    <xf numFmtId="0" fontId="58" fillId="26"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4" fillId="0" borderId="21" xfId="0" applyFont="1" applyBorder="1" applyAlignment="1">
      <alignment horizontal="left" vertical="center" wrapText="1"/>
    </xf>
    <xf numFmtId="0" fontId="56" fillId="0" borderId="14" xfId="0" applyFont="1" applyBorder="1"/>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0" fontId="56" fillId="0" borderId="21" xfId="0" applyFont="1" applyBorder="1" applyAlignment="1">
      <alignment vertical="top" wrapText="1"/>
    </xf>
    <xf numFmtId="0" fontId="58" fillId="0" borderId="14" xfId="0" applyFont="1" applyBorder="1" applyAlignment="1">
      <alignment wrapText="1"/>
    </xf>
    <xf numFmtId="164" fontId="113" fillId="12" borderId="17" xfId="0" applyNumberFormat="1" applyFont="1" applyFill="1" applyBorder="1" applyAlignment="1">
      <alignment horizontal="center" vertical="center"/>
    </xf>
    <xf numFmtId="164" fontId="113" fillId="12" borderId="0" xfId="0" applyNumberFormat="1" applyFont="1" applyFill="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0" xfId="0" applyFont="1" applyAlignment="1">
      <alignment horizontal="left" vertical="center" wrapText="1"/>
    </xf>
    <xf numFmtId="0" fontId="56" fillId="0" borderId="18" xfId="0" applyFont="1" applyBorder="1" applyAlignment="1">
      <alignment vertical="center" wrapText="1"/>
    </xf>
    <xf numFmtId="0" fontId="114" fillId="0" borderId="126" xfId="0" applyFont="1" applyBorder="1" applyAlignment="1">
      <alignment horizontal="left" vertical="center" wrapText="1"/>
    </xf>
    <xf numFmtId="0" fontId="58" fillId="0" borderId="124" xfId="0" applyFont="1" applyBorder="1" applyAlignment="1">
      <alignment horizontal="left" vertical="center" wrapText="1"/>
    </xf>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omma 2" xfId="21" xr:uid="{C9A4330B-0314-410C-8798-6BD15398024B}"/>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C6C1EA3B-F414-4315-8E23-D33274BCC75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1885084</xdr:colOff>
          <xdr:row>0</xdr:row>
          <xdr:rowOff>138546</xdr:rowOff>
        </xdr:from>
        <xdr:to>
          <xdr:col>1</xdr:col>
          <xdr:colOff>2799484</xdr:colOff>
          <xdr:row>5</xdr:row>
          <xdr:rowOff>97848</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J26" sqref="J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713" t="str">
        <f>"Due to ISBE on "</f>
        <v xml:space="preserve">Due to ISBE on </v>
      </c>
      <c r="B2" s="2121">
        <f>+'AFR20'!F4</f>
        <v>44151</v>
      </c>
      <c r="C2" s="2121"/>
      <c r="D2" s="2122"/>
      <c r="I2" s="2080" t="s">
        <v>2004</v>
      </c>
      <c r="J2" s="2079"/>
      <c r="K2" s="2079"/>
      <c r="L2" s="2079"/>
      <c r="M2" s="2079"/>
      <c r="N2" s="2079"/>
      <c r="O2" s="2079"/>
      <c r="P2" s="2079"/>
      <c r="Q2" s="2079"/>
      <c r="R2" s="2079"/>
      <c r="S2" s="2079"/>
    </row>
    <row r="3" spans="1:32" ht="12" customHeight="1" x14ac:dyDescent="0.2">
      <c r="A3" s="1716"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2019</v>
      </c>
      <c r="C5" s="26" t="s">
        <v>904</v>
      </c>
      <c r="D5" s="81"/>
      <c r="E5" s="81"/>
      <c r="H5" s="38"/>
      <c r="I5" s="2088" t="s">
        <v>675</v>
      </c>
      <c r="J5" s="2087"/>
      <c r="K5" s="2087"/>
      <c r="L5" s="2087"/>
      <c r="M5" s="2087"/>
      <c r="N5" s="2087"/>
      <c r="O5" s="2087"/>
      <c r="P5" s="2087"/>
      <c r="Q5" s="2087"/>
      <c r="R5" s="2087"/>
      <c r="S5" s="2087"/>
      <c r="AF5" s="1709"/>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t="s">
        <v>2019</v>
      </c>
      <c r="P12" s="97" t="s">
        <v>200</v>
      </c>
      <c r="Q12" s="71"/>
      <c r="R12" s="30"/>
      <c r="S12" s="30"/>
      <c r="T12" s="82" t="s">
        <v>263</v>
      </c>
      <c r="U12" s="48"/>
      <c r="V12" s="48"/>
      <c r="W12" s="48"/>
      <c r="X12" s="48"/>
      <c r="Y12" s="43"/>
      <c r="Z12" s="43"/>
      <c r="AA12" s="44"/>
    </row>
    <row r="13" spans="1:32" ht="13.5" customHeight="1" x14ac:dyDescent="0.2">
      <c r="A13" s="2099">
        <v>31045302026</v>
      </c>
      <c r="B13" s="2100"/>
      <c r="C13" s="2100"/>
      <c r="D13" s="2100"/>
      <c r="E13" s="2100"/>
      <c r="F13" s="2100"/>
      <c r="G13" s="2100"/>
      <c r="H13" s="2101"/>
      <c r="I13" s="31"/>
      <c r="J13" s="30"/>
      <c r="K13" s="28"/>
      <c r="L13" s="30"/>
      <c r="M13" s="30"/>
      <c r="N13" s="30"/>
      <c r="O13" s="30"/>
      <c r="P13" s="30"/>
      <c r="Q13" s="30"/>
      <c r="R13" s="30"/>
      <c r="S13" s="30"/>
      <c r="T13" s="2105" t="s">
        <v>2020</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2" t="s">
        <v>2021</v>
      </c>
      <c r="B15" s="2103"/>
      <c r="C15" s="2103"/>
      <c r="D15" s="2103"/>
      <c r="E15" s="2103"/>
      <c r="F15" s="2103"/>
      <c r="G15" s="2103"/>
      <c r="H15" s="2104"/>
      <c r="T15" s="2109" t="s">
        <v>2022</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2184</v>
      </c>
      <c r="B17" s="2073"/>
      <c r="C17" s="2073"/>
      <c r="D17" s="2073"/>
      <c r="E17" s="2073"/>
      <c r="F17" s="2073"/>
      <c r="G17" s="2073"/>
      <c r="H17" s="2098"/>
      <c r="T17" s="2116" t="s">
        <v>2023</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2024</v>
      </c>
      <c r="B19" s="2058"/>
      <c r="C19" s="2058"/>
      <c r="D19" s="2058"/>
      <c r="E19" s="2058"/>
      <c r="F19" s="2058"/>
      <c r="G19" s="2058"/>
      <c r="H19" s="2038"/>
      <c r="I19" s="30"/>
      <c r="J19" s="96"/>
      <c r="K19" s="40"/>
      <c r="L19" s="38"/>
      <c r="M19" s="109" t="s">
        <v>312</v>
      </c>
      <c r="P19" s="27"/>
      <c r="Q19" s="27"/>
      <c r="R19" s="27"/>
      <c r="S19" s="31"/>
      <c r="T19" s="2102" t="s">
        <v>2025</v>
      </c>
      <c r="U19" s="2037"/>
      <c r="V19" s="2037"/>
      <c r="W19" s="2038"/>
      <c r="X19" s="2114" t="s">
        <v>2026</v>
      </c>
      <c r="Y19" s="2115"/>
      <c r="Z19" s="2112">
        <v>60563</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2027</v>
      </c>
      <c r="B21" s="2037"/>
      <c r="C21" s="2037"/>
      <c r="D21" s="2037"/>
      <c r="E21" s="2037"/>
      <c r="F21" s="2037"/>
      <c r="G21" s="2037"/>
      <c r="H21" s="2038"/>
      <c r="I21" s="2092" t="s">
        <v>673</v>
      </c>
      <c r="J21" s="2087"/>
      <c r="K21" s="2087"/>
      <c r="L21" s="2087"/>
      <c r="M21" s="2087"/>
      <c r="N21" s="2087"/>
      <c r="O21" s="2087"/>
      <c r="P21" s="2087"/>
      <c r="Q21" s="2087"/>
      <c r="R21" s="2087"/>
      <c r="S21" s="2093"/>
      <c r="T21" s="2127">
        <v>6303931483</v>
      </c>
      <c r="U21" s="2128"/>
      <c r="V21" s="2128"/>
      <c r="W21" s="2128"/>
      <c r="X21" s="2133">
        <v>6303932516</v>
      </c>
      <c r="Y21" s="2134"/>
      <c r="Z21" s="2134"/>
      <c r="AA21" s="2135"/>
    </row>
    <row r="22" spans="1:27" ht="13.5" customHeight="1" x14ac:dyDescent="0.2">
      <c r="A22" s="84" t="s">
        <v>528</v>
      </c>
      <c r="B22" s="56"/>
      <c r="C22" s="56"/>
      <c r="D22" s="56"/>
      <c r="E22" s="56"/>
      <c r="F22" s="56"/>
      <c r="G22" s="56"/>
      <c r="H22" s="57"/>
      <c r="I22" s="2094" t="s">
        <v>1415</v>
      </c>
      <c r="J22" s="2095"/>
      <c r="K22" s="2095"/>
      <c r="L22" s="2095"/>
      <c r="M22" s="2095"/>
      <c r="N22" s="2095"/>
      <c r="O22" s="2095"/>
      <c r="P22" s="2095"/>
      <c r="Q22" s="2095"/>
      <c r="R22" s="2095"/>
      <c r="S22" s="2096"/>
      <c r="T22" s="82" t="s">
        <v>1502</v>
      </c>
      <c r="U22" s="48"/>
      <c r="V22" s="69"/>
      <c r="W22" s="48"/>
      <c r="X22" s="155" t="s">
        <v>1309</v>
      </c>
      <c r="Z22" s="43"/>
      <c r="AA22" s="44"/>
    </row>
    <row r="23" spans="1:27" ht="13.5" customHeight="1" x14ac:dyDescent="0.2">
      <c r="A23" s="2089" t="s">
        <v>2028</v>
      </c>
      <c r="B23" s="2090"/>
      <c r="C23" s="2090"/>
      <c r="D23" s="2090"/>
      <c r="E23" s="2090"/>
      <c r="F23" s="2090"/>
      <c r="G23" s="2090"/>
      <c r="H23" s="2091"/>
      <c r="T23" s="2072" t="s">
        <v>2029</v>
      </c>
      <c r="U23" s="2126"/>
      <c r="V23" s="2126"/>
      <c r="W23" s="2126"/>
      <c r="X23" s="2130">
        <v>44469</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60151</v>
      </c>
      <c r="B25" s="2037"/>
      <c r="C25" s="2037"/>
      <c r="D25" s="2037"/>
      <c r="E25" s="2037"/>
      <c r="F25" s="2037"/>
      <c r="G25" s="2037"/>
      <c r="H25" s="2038"/>
      <c r="I25" s="110"/>
      <c r="J25" s="2061"/>
      <c r="K25" s="2061"/>
      <c r="L25" s="2061"/>
      <c r="M25" s="2061"/>
      <c r="N25" s="2061"/>
      <c r="O25" s="2061"/>
      <c r="P25" s="2061"/>
      <c r="Q25" s="2061"/>
      <c r="R25" s="2061"/>
      <c r="S25" s="2062"/>
      <c r="T25" s="2123" t="s">
        <v>2030</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7" t="s">
        <v>1497</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2019</v>
      </c>
      <c r="F29" s="137" t="s">
        <v>1307</v>
      </c>
      <c r="G29" s="111"/>
      <c r="I29" s="51"/>
      <c r="J29" s="144" t="s">
        <v>2019</v>
      </c>
      <c r="K29" s="28" t="s">
        <v>572</v>
      </c>
      <c r="L29" s="144"/>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2031</v>
      </c>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2032</v>
      </c>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c r="B42" s="2056"/>
      <c r="C42" s="2057"/>
      <c r="D42" s="2055"/>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Y7x9LF2gNy7evIvgTdNbqNn5P7m1RYzBtM8ckxD35oqvQIrQd1zTlM09kSRu6ytwqDL5jnVx4QA4MdFntUj6Ww==" saltValue="DXhFWDYmcsnJHXokIr8LI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52"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360" t="s">
        <v>1597</v>
      </c>
    </row>
    <row r="23" spans="1:5" x14ac:dyDescent="0.2">
      <c r="A23" s="163"/>
      <c r="B23" s="157" t="s">
        <v>1829</v>
      </c>
      <c r="D23" s="162" t="s">
        <v>632</v>
      </c>
      <c r="E23" s="1360"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2" t="s">
        <v>1058</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1594</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147" t="s">
        <v>1754</v>
      </c>
    </row>
    <row r="60" spans="1:3" x14ac:dyDescent="0.2">
      <c r="A60" s="191"/>
      <c r="B60" s="114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1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14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9"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3" t="s">
        <v>1990</v>
      </c>
      <c r="B85" s="2183"/>
      <c r="C85" s="2183"/>
      <c r="D85" s="2184"/>
      <c r="E85" s="1434">
        <v>171918</v>
      </c>
      <c r="F85" s="1434"/>
      <c r="G85" s="1434">
        <v>461267</v>
      </c>
      <c r="H85" s="1434">
        <v>359627</v>
      </c>
      <c r="I85" s="1782"/>
      <c r="J85" s="1617">
        <f>SUM(E85:I85)</f>
        <v>992812</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5" t="s">
        <v>1990</v>
      </c>
      <c r="B88" s="2186"/>
      <c r="C88" s="2186"/>
      <c r="D88" s="2187"/>
      <c r="E88" s="1434">
        <v>695847</v>
      </c>
      <c r="F88" s="1434"/>
      <c r="G88" s="1434">
        <v>1834167</v>
      </c>
      <c r="H88" s="1434">
        <v>1501254</v>
      </c>
      <c r="I88" s="1782"/>
      <c r="J88" s="1617">
        <f>SUM(E88:I88)</f>
        <v>4031268</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3"/>
      <c r="J90" s="1619">
        <f>SUM(J85:J89)</f>
        <v>5024080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2033</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1874</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K11" sqref="K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887714578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3.8995780000000001E-2</v>
      </c>
      <c r="E10" s="333" t="s">
        <v>998</v>
      </c>
      <c r="F10" s="332">
        <v>6.5735699999999999E-3</v>
      </c>
      <c r="G10" s="333" t="s">
        <v>998</v>
      </c>
      <c r="H10" s="332">
        <v>2.0054999999999999E-3</v>
      </c>
      <c r="I10" s="333" t="s">
        <v>999</v>
      </c>
      <c r="J10" s="1314">
        <f>ROUND(D10+F10+H10,5)</f>
        <v>4.7570000000000001E-2</v>
      </c>
      <c r="K10" s="217"/>
      <c r="L10" s="332">
        <v>1.1142E-4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61413783</v>
      </c>
      <c r="E16" s="1437"/>
      <c r="F16" s="1436">
        <f>SUM('Acct Summary 7-8'!C17,'Acct Summary 7-8'!D17,'Acct Summary 7-8'!F17)</f>
        <v>60284857</v>
      </c>
      <c r="G16" s="1437"/>
      <c r="H16" s="1436">
        <f>SUM(D16-F16)</f>
        <v>1128926</v>
      </c>
      <c r="I16" s="1438"/>
      <c r="J16" s="1436">
        <f>SUM('Acct Summary 7-8'!C81,'Acct Summary 7-8'!D81,'Acct Summary 7-8'!F81,'Acct Summary 7-8'!I81)</f>
        <v>12483479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315">
        <f>IF(B31="X",(J7*0.069),IF(B32="X",(J7*0.138),"Enter x in a.or b."))</f>
        <v>122504611.76400001</v>
      </c>
      <c r="I31" s="345"/>
      <c r="J31" s="217"/>
      <c r="K31" s="217"/>
      <c r="L31" s="217"/>
      <c r="M31" s="217"/>
    </row>
    <row r="32" spans="1:13" ht="13.35" customHeight="1" x14ac:dyDescent="0.2">
      <c r="B32" s="346" t="s">
        <v>2019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87623261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1399</v>
      </c>
      <c r="B3" s="2208"/>
      <c r="C3" s="2208"/>
      <c r="D3" s="2208"/>
      <c r="E3" s="2208"/>
      <c r="F3" s="2208"/>
      <c r="G3" s="2208"/>
      <c r="H3" s="2208"/>
      <c r="I3" s="2208"/>
      <c r="J3" s="2208"/>
      <c r="K3" s="2208"/>
      <c r="L3" s="2208"/>
      <c r="M3" s="2208"/>
      <c r="N3" s="2208"/>
      <c r="O3" s="2208"/>
      <c r="P3" s="2208"/>
      <c r="Q3" s="2208"/>
      <c r="R3" s="2208"/>
    </row>
    <row r="4" spans="1:18" x14ac:dyDescent="0.2">
      <c r="A4" s="2209" t="s">
        <v>1540</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Kaneland CUSD 302</v>
      </c>
      <c r="E7" s="368"/>
      <c r="G7" s="247"/>
      <c r="H7" s="364"/>
      <c r="I7" s="364"/>
      <c r="J7" s="364"/>
      <c r="K7" s="364"/>
      <c r="L7" s="307"/>
      <c r="M7" s="307"/>
      <c r="N7" s="307"/>
      <c r="O7" s="307"/>
      <c r="P7" s="307"/>
    </row>
    <row r="8" spans="1:18" ht="12.75" x14ac:dyDescent="0.2">
      <c r="A8" s="307"/>
      <c r="B8" s="307"/>
      <c r="C8" s="366" t="s">
        <v>1117</v>
      </c>
      <c r="D8" s="369">
        <f>COVER!A13</f>
        <v>31045302026</v>
      </c>
      <c r="E8" s="370"/>
      <c r="G8" s="307"/>
      <c r="H8" s="307"/>
      <c r="I8" s="307"/>
      <c r="J8" s="307"/>
      <c r="K8" s="307"/>
      <c r="L8" s="307"/>
      <c r="M8" s="307"/>
      <c r="N8" s="307"/>
      <c r="O8" s="307"/>
      <c r="P8" s="307"/>
    </row>
    <row r="9" spans="1:18" ht="12.75" x14ac:dyDescent="0.2">
      <c r="A9" s="307"/>
      <c r="B9" s="307"/>
      <c r="C9" s="366" t="s">
        <v>708</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3</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12483479</v>
      </c>
      <c r="I12" s="380"/>
      <c r="J12" s="380"/>
      <c r="K12" s="1449">
        <f>TRUNC((H12/H13*100000),5)/100000</f>
        <v>0.20326836070000001</v>
      </c>
      <c r="L12" s="381"/>
      <c r="M12" s="337" t="s">
        <v>1136</v>
      </c>
      <c r="N12" s="337"/>
      <c r="O12" s="1452">
        <v>0.35</v>
      </c>
      <c r="P12" s="213"/>
      <c r="Q12" s="213"/>
    </row>
    <row r="13" spans="1:18" s="382" customFormat="1" ht="12.75" x14ac:dyDescent="0.2">
      <c r="A13" s="213"/>
      <c r="B13" s="377"/>
      <c r="C13" s="2205" t="s">
        <v>1315</v>
      </c>
      <c r="D13" s="2206"/>
      <c r="E13" s="213"/>
      <c r="F13" s="383" t="s">
        <v>788</v>
      </c>
      <c r="G13" s="378"/>
      <c r="H13" s="1441">
        <f>SUM('Acct Summary 7-8'!C8+'Acct Summary 7-8'!D8+'Acct Summary 7-8'!F8+'Acct Summary 7-8'!I8)+H14</f>
        <v>61413783</v>
      </c>
      <c r="I13" s="380"/>
      <c r="J13" s="380"/>
      <c r="K13" s="1448"/>
      <c r="L13" s="213"/>
      <c r="M13" s="337" t="s">
        <v>1137</v>
      </c>
      <c r="N13" s="337"/>
      <c r="O13" s="1453">
        <f>(O11*O12)</f>
        <v>1.0499999999999998</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0</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f>IF(K17&gt;1.2,"1",IF(K17&gt;1.1,"2",IF(K17&gt;1,"3",4)))</f>
        <v>4</v>
      </c>
      <c r="P16" s="211"/>
      <c r="R16" s="361"/>
    </row>
    <row r="17" spans="1:18" s="382" customFormat="1" ht="11.25" x14ac:dyDescent="0.2">
      <c r="A17" s="213"/>
      <c r="B17" s="377"/>
      <c r="C17" s="213" t="s">
        <v>792</v>
      </c>
      <c r="D17" s="213"/>
      <c r="E17" s="213"/>
      <c r="F17" s="213" t="s">
        <v>441</v>
      </c>
      <c r="G17" s="378"/>
      <c r="H17" s="1441">
        <f>SUM('Acct Summary 7-8'!C17+'Acct Summary 7-8'!D17+'Acct Summary 7-8'!F17)</f>
        <v>60284857</v>
      </c>
      <c r="I17" s="380"/>
      <c r="J17" s="389"/>
      <c r="K17" s="1449">
        <f>TRUNC((H17/H18*100000),5)/100000</f>
        <v>0.98161770940000004</v>
      </c>
      <c r="L17" s="381"/>
      <c r="M17" s="390" t="s">
        <v>1163</v>
      </c>
      <c r="O17" s="1455" t="str">
        <f>IF(AND(O16="2", J20 &gt; 2),"1",IF(AND(O16 = "1", J20 &gt; 2),"2",IF(AND(O16="1", J20 &gt;1),"1","0")))</f>
        <v>0</v>
      </c>
      <c r="P17" s="213"/>
    </row>
    <row r="18" spans="1:18" s="382" customFormat="1" ht="11.25" x14ac:dyDescent="0.2">
      <c r="A18" s="213"/>
      <c r="B18" s="377"/>
      <c r="C18" s="2205" t="s">
        <v>1308</v>
      </c>
      <c r="D18" s="2206"/>
      <c r="E18" s="213"/>
      <c r="F18" s="391" t="s">
        <v>789</v>
      </c>
      <c r="G18" s="378"/>
      <c r="H18" s="1441">
        <f>SUM('Acct Summary 7-8'!C8+'Acct Summary 7-8'!D8+'Acct Summary 7-8'!F8+'Acct Summary 7-8'!I8)+H19</f>
        <v>61413783</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0</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1137</v>
      </c>
      <c r="N20" s="337"/>
      <c r="O20" s="1453">
        <f>(O16+O17)*O18</f>
        <v>1.4</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4</v>
      </c>
      <c r="P23" s="211"/>
      <c r="R23" s="361"/>
    </row>
    <row r="24" spans="1:18" s="382" customFormat="1" ht="11.25" x14ac:dyDescent="0.2">
      <c r="A24" s="213"/>
      <c r="B24" s="377"/>
      <c r="C24" s="2202" t="s">
        <v>1398</v>
      </c>
      <c r="D24" s="2202"/>
      <c r="E24" s="213"/>
      <c r="F24" s="213" t="s">
        <v>442</v>
      </c>
      <c r="G24" s="378"/>
      <c r="H24" s="1441">
        <f>SUM('Assets-Liab 5-6'!C4+'Assets-Liab 5-6'!D4+'Assets-Liab 5-6'!F4+'Assets-Liab 5-6'!I4+'Assets-Liab 5-6'!C5+'Assets-Liab 5-6'!D5+'Assets-Liab 5-6'!F5+'Assets-Liab 5-6'!I5)</f>
        <v>36278021</v>
      </c>
      <c r="I24" s="394"/>
      <c r="J24" s="394"/>
      <c r="K24" s="1445">
        <f>TRUNC(((H24/H25*100000)/100000),2)</f>
        <v>216.63</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167457.93611000001</v>
      </c>
      <c r="I25" s="396"/>
      <c r="J25" s="396"/>
      <c r="K25" s="1448"/>
      <c r="L25" s="213"/>
      <c r="M25" s="337" t="s">
        <v>1137</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1894</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35894295.104139999</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t="str">
        <f>IF(K32&gt;=75,"4",IF(K32&gt;=50,"3",IF(K32&gt;=25,"2",1)))</f>
        <v>2</v>
      </c>
      <c r="P31" s="211"/>
    </row>
    <row r="32" spans="1:18" s="382" customFormat="1" ht="11.25" x14ac:dyDescent="0.2">
      <c r="A32" s="213"/>
      <c r="B32" s="377"/>
      <c r="C32" s="213" t="s">
        <v>842</v>
      </c>
      <c r="D32" s="213"/>
      <c r="E32" s="213"/>
      <c r="F32" s="213"/>
      <c r="G32" s="378"/>
      <c r="H32" s="1441">
        <f>'FP Info 3'!H37</f>
        <v>87623261</v>
      </c>
      <c r="I32" s="392"/>
      <c r="J32" s="392"/>
      <c r="K32" s="1445">
        <f>TRUNC(100-((((H32/H33*100))*100)/100),2)</f>
        <v>28.47</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122504611.76400001</v>
      </c>
      <c r="I33" s="392"/>
      <c r="J33" s="392"/>
      <c r="K33" s="379"/>
      <c r="L33" s="213"/>
      <c r="M33" s="401" t="s">
        <v>1137</v>
      </c>
      <c r="N33" s="401"/>
      <c r="O33" s="1458">
        <f>(O31*O32)</f>
        <v>0.2</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2" activePane="bottomLeft" state="frozen"/>
      <selection pane="bottomLeft" activeCell="N21" sqref="N2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197"/>
      <c r="D3" s="1198"/>
      <c r="E3" s="1198"/>
      <c r="F3" s="1198"/>
      <c r="G3" s="1198"/>
      <c r="H3" s="1198"/>
      <c r="I3" s="1198"/>
      <c r="J3" s="1198"/>
      <c r="K3" s="1198"/>
      <c r="L3" s="1198"/>
      <c r="M3" s="1199"/>
      <c r="N3" s="1200"/>
    </row>
    <row r="4" spans="1:14" ht="13.5" customHeight="1" x14ac:dyDescent="0.2">
      <c r="A4" s="427" t="s">
        <v>1635</v>
      </c>
      <c r="B4" s="428"/>
      <c r="C4" s="1462">
        <f>22272647+1835127</f>
        <v>24107774</v>
      </c>
      <c r="D4" s="1463">
        <f>6394283+338350+46400</f>
        <v>6779033</v>
      </c>
      <c r="E4" s="1463">
        <v>6228692</v>
      </c>
      <c r="F4" s="1463">
        <v>3870940</v>
      </c>
      <c r="G4" s="1463">
        <v>1694956</v>
      </c>
      <c r="H4" s="1463"/>
      <c r="I4" s="1463">
        <v>1520274</v>
      </c>
      <c r="J4" s="1464"/>
      <c r="K4" s="1463"/>
      <c r="L4" s="1463"/>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v>22571588</v>
      </c>
      <c r="D6" s="1463">
        <v>3383875</v>
      </c>
      <c r="E6" s="1463">
        <v>7168603</v>
      </c>
      <c r="F6" s="1463">
        <v>1032372</v>
      </c>
      <c r="G6" s="1467">
        <v>831633</v>
      </c>
      <c r="H6" s="1467"/>
      <c r="I6" s="1463">
        <v>57357</v>
      </c>
      <c r="J6" s="1469"/>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c r="D8" s="1464"/>
      <c r="E8" s="1464"/>
      <c r="F8" s="1464"/>
      <c r="G8" s="1473"/>
      <c r="H8" s="1464"/>
      <c r="I8" s="1469"/>
      <c r="J8" s="1469"/>
      <c r="K8" s="1474"/>
      <c r="L8" s="1475"/>
      <c r="M8" s="1465"/>
      <c r="N8" s="1466"/>
    </row>
    <row r="9" spans="1:14" ht="13.5" customHeight="1" x14ac:dyDescent="0.2">
      <c r="A9" s="430" t="s">
        <v>268</v>
      </c>
      <c r="B9" s="429">
        <v>160</v>
      </c>
      <c r="C9" s="1471">
        <v>292812</v>
      </c>
      <c r="D9" s="1464"/>
      <c r="E9" s="1464"/>
      <c r="F9" s="1464">
        <v>820894</v>
      </c>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46972174</v>
      </c>
      <c r="D13" s="1477">
        <f t="shared" ref="D13:L13" si="0">SUM(D4:D12)</f>
        <v>10162908</v>
      </c>
      <c r="E13" s="1477">
        <f t="shared" si="0"/>
        <v>13397295</v>
      </c>
      <c r="F13" s="1477">
        <f t="shared" si="0"/>
        <v>5724206</v>
      </c>
      <c r="G13" s="1477">
        <f t="shared" si="0"/>
        <v>2526589</v>
      </c>
      <c r="H13" s="1477">
        <f t="shared" si="0"/>
        <v>0</v>
      </c>
      <c r="I13" s="1477">
        <f t="shared" si="0"/>
        <v>1577631</v>
      </c>
      <c r="J13" s="1477">
        <f t="shared" si="0"/>
        <v>0</v>
      </c>
      <c r="K13" s="1477">
        <f t="shared" si="0"/>
        <v>0</v>
      </c>
      <c r="L13" s="1477">
        <f t="shared" si="0"/>
        <v>0</v>
      </c>
      <c r="M13" s="1465"/>
      <c r="N13" s="1466"/>
    </row>
    <row r="14" spans="1:14" ht="18" customHeight="1" thickTop="1" x14ac:dyDescent="0.2">
      <c r="A14" s="2214" t="s">
        <v>146</v>
      </c>
      <c r="B14" s="2215"/>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6156988</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76223328</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f>'Cap Outlay Deprec 26'!L10</f>
        <v>1639090</v>
      </c>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2902179</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f>SUM(E38:E39)</f>
        <v>1124036</v>
      </c>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86499225</v>
      </c>
    </row>
    <row r="23" spans="1:14" ht="13.5" customHeight="1" thickBot="1" x14ac:dyDescent="0.25">
      <c r="A23" s="1316" t="s">
        <v>638</v>
      </c>
      <c r="B23" s="1319"/>
      <c r="C23" s="1465"/>
      <c r="D23" s="1465"/>
      <c r="E23" s="1465"/>
      <c r="F23" s="1465"/>
      <c r="G23" s="1465"/>
      <c r="H23" s="1465"/>
      <c r="I23" s="1465"/>
      <c r="J23" s="1465"/>
      <c r="K23" s="1465"/>
      <c r="L23" s="1465"/>
      <c r="M23" s="1484">
        <f>SUM(M15:M22)</f>
        <v>86921585</v>
      </c>
      <c r="N23" s="1484">
        <f>SUM(N21:N22)</f>
        <v>87623261</v>
      </c>
    </row>
    <row r="24" spans="1:14" ht="18" customHeight="1" thickTop="1" x14ac:dyDescent="0.2">
      <c r="A24" s="2216" t="s">
        <v>594</v>
      </c>
      <c r="B24" s="2217"/>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v>219303</v>
      </c>
      <c r="D26" s="1464">
        <v>24135</v>
      </c>
      <c r="E26" s="1464"/>
      <c r="F26" s="1464">
        <v>7569</v>
      </c>
      <c r="G26" s="1464"/>
      <c r="H26" s="1464"/>
      <c r="I26" s="1464"/>
      <c r="J26" s="1469"/>
      <c r="K26" s="1464"/>
      <c r="L26" s="1465"/>
      <c r="M26" s="1465"/>
      <c r="N26" s="1465"/>
    </row>
    <row r="27" spans="1:14" ht="13.5" customHeight="1" x14ac:dyDescent="0.2">
      <c r="A27" s="430" t="s">
        <v>642</v>
      </c>
      <c r="B27" s="429">
        <v>430</v>
      </c>
      <c r="C27" s="1464">
        <v>284604</v>
      </c>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c r="D30" s="1469"/>
      <c r="E30" s="1464"/>
      <c r="F30" s="1464"/>
      <c r="G30" s="1464"/>
      <c r="H30" s="1464"/>
      <c r="I30" s="1464"/>
      <c r="J30" s="1464"/>
      <c r="K30" s="1473"/>
      <c r="L30" s="1465"/>
      <c r="M30" s="1465"/>
      <c r="N30" s="1465"/>
    </row>
    <row r="31" spans="1:14" ht="13.5" customHeight="1" x14ac:dyDescent="0.2">
      <c r="A31" s="430" t="s">
        <v>646</v>
      </c>
      <c r="B31" s="429">
        <v>480</v>
      </c>
      <c r="C31" s="1463">
        <v>4104710</v>
      </c>
      <c r="D31" s="1464"/>
      <c r="E31" s="1464"/>
      <c r="F31" s="1463"/>
      <c r="G31" s="1464"/>
      <c r="H31" s="1464"/>
      <c r="I31" s="1464"/>
      <c r="J31" s="1464"/>
      <c r="K31" s="1464"/>
      <c r="L31" s="1465"/>
      <c r="M31" s="1465"/>
      <c r="N31" s="1465"/>
    </row>
    <row r="32" spans="1:14" ht="13.5" customHeight="1" x14ac:dyDescent="0.2">
      <c r="A32" s="434" t="s">
        <v>647</v>
      </c>
      <c r="B32" s="435">
        <v>490</v>
      </c>
      <c r="C32" s="1489">
        <v>38833033</v>
      </c>
      <c r="D32" s="1489">
        <v>5793483</v>
      </c>
      <c r="E32" s="1469">
        <v>12273259</v>
      </c>
      <c r="F32" s="1469">
        <v>2588403</v>
      </c>
      <c r="G32" s="1469">
        <v>1423829</v>
      </c>
      <c r="H32" s="1469"/>
      <c r="I32" s="1469">
        <v>98200</v>
      </c>
      <c r="J32" s="1469"/>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c r="M33" s="1465"/>
      <c r="N33" s="1466"/>
    </row>
    <row r="34" spans="1:14" ht="13.5" customHeight="1" thickBot="1" x14ac:dyDescent="0.25">
      <c r="A34" s="1317" t="s">
        <v>649</v>
      </c>
      <c r="B34" s="1318"/>
      <c r="C34" s="1490">
        <f>SUM(C25:C33)</f>
        <v>43441650</v>
      </c>
      <c r="D34" s="1490">
        <f t="shared" ref="D34:K34" si="1">SUM(D25:D33)</f>
        <v>5817618</v>
      </c>
      <c r="E34" s="1490">
        <f t="shared" si="1"/>
        <v>12273259</v>
      </c>
      <c r="F34" s="1490">
        <f t="shared" si="1"/>
        <v>2595972</v>
      </c>
      <c r="G34" s="1490">
        <f t="shared" si="1"/>
        <v>1423829</v>
      </c>
      <c r="H34" s="1490">
        <f t="shared" si="1"/>
        <v>0</v>
      </c>
      <c r="I34" s="1490">
        <f t="shared" si="1"/>
        <v>98200</v>
      </c>
      <c r="J34" s="1490">
        <f t="shared" si="1"/>
        <v>0</v>
      </c>
      <c r="K34" s="1490">
        <f t="shared" si="1"/>
        <v>0</v>
      </c>
      <c r="L34" s="1491">
        <f>SUM(L33)</f>
        <v>0</v>
      </c>
      <c r="M34" s="1465"/>
      <c r="N34" s="1475"/>
    </row>
    <row r="35" spans="1:14" ht="18" customHeight="1" thickTop="1" x14ac:dyDescent="0.2">
      <c r="A35" s="2218" t="s">
        <v>526</v>
      </c>
      <c r="B35" s="2219"/>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87623261</v>
      </c>
    </row>
    <row r="37" spans="1:14" ht="13.5" thickBot="1" x14ac:dyDescent="0.25">
      <c r="A37" s="1316" t="s">
        <v>648</v>
      </c>
      <c r="B37" s="1319"/>
      <c r="C37" s="1472"/>
      <c r="D37" s="1472"/>
      <c r="E37" s="1472"/>
      <c r="F37" s="1472"/>
      <c r="G37" s="1472"/>
      <c r="H37" s="1472"/>
      <c r="I37" s="1472"/>
      <c r="J37" s="1472"/>
      <c r="K37" s="1472"/>
      <c r="L37" s="1475"/>
      <c r="M37" s="1465"/>
      <c r="N37" s="1484">
        <f>SUM(N36:N36)</f>
        <v>87623261</v>
      </c>
    </row>
    <row r="38" spans="1:14" s="307" customFormat="1" ht="13.5" customHeight="1" thickTop="1" x14ac:dyDescent="0.2">
      <c r="A38" s="438" t="s">
        <v>417</v>
      </c>
      <c r="B38" s="432">
        <v>714</v>
      </c>
      <c r="C38" s="1463"/>
      <c r="D38" s="1463">
        <f>3960540+46400</f>
        <v>4006940</v>
      </c>
      <c r="E38" s="1463">
        <f>'Acct Summary 7-8'!E81</f>
        <v>1124036</v>
      </c>
      <c r="F38" s="1463">
        <v>3128234</v>
      </c>
      <c r="G38" s="1463">
        <f>'Acct Summary 7-8'!G81</f>
        <v>1102760</v>
      </c>
      <c r="H38" s="1463"/>
      <c r="I38" s="1463"/>
      <c r="J38" s="1464"/>
      <c r="K38" s="1463"/>
      <c r="L38" s="1476"/>
      <c r="M38" s="1494"/>
      <c r="N38" s="1494"/>
    </row>
    <row r="39" spans="1:14" s="307" customFormat="1" ht="13.5" customHeight="1" x14ac:dyDescent="0.2">
      <c r="A39" s="438" t="s">
        <v>339</v>
      </c>
      <c r="B39" s="432">
        <v>730</v>
      </c>
      <c r="C39" s="1463">
        <f>1695397+1835127</f>
        <v>3530524</v>
      </c>
      <c r="D39" s="1463">
        <v>338350</v>
      </c>
      <c r="E39" s="1463"/>
      <c r="F39" s="1463"/>
      <c r="G39" s="1463"/>
      <c r="H39" s="1463"/>
      <c r="I39" s="1463">
        <f>'Acct Summary 7-8'!I81</f>
        <v>1479431</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v>86921585</v>
      </c>
      <c r="N40" s="1494"/>
    </row>
    <row r="41" spans="1:14" ht="13.5" customHeight="1" thickBot="1" x14ac:dyDescent="0.25">
      <c r="A41" s="1316" t="s">
        <v>650</v>
      </c>
      <c r="B41" s="1295"/>
      <c r="C41" s="1484">
        <f>(SUM(C34,C37,C38,C39))</f>
        <v>46972174</v>
      </c>
      <c r="D41" s="1484">
        <f t="shared" ref="D41:L41" si="2">SUM(D34,D37,D38:D39)</f>
        <v>10162908</v>
      </c>
      <c r="E41" s="1484">
        <f t="shared" si="2"/>
        <v>13397295</v>
      </c>
      <c r="F41" s="1484">
        <f t="shared" si="2"/>
        <v>5724206</v>
      </c>
      <c r="G41" s="1484">
        <f t="shared" si="2"/>
        <v>2526589</v>
      </c>
      <c r="H41" s="1484">
        <f t="shared" si="2"/>
        <v>0</v>
      </c>
      <c r="I41" s="1484">
        <f t="shared" si="2"/>
        <v>1577631</v>
      </c>
      <c r="J41" s="1484">
        <f t="shared" si="2"/>
        <v>0</v>
      </c>
      <c r="K41" s="1484">
        <f t="shared" si="2"/>
        <v>0</v>
      </c>
      <c r="L41" s="1484">
        <f t="shared" si="2"/>
        <v>0</v>
      </c>
      <c r="M41" s="1484">
        <f>SUM(M40)</f>
        <v>86921585</v>
      </c>
      <c r="N41" s="1484">
        <f>SUM(N37)</f>
        <v>87623261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4" activePane="bottomLeft" state="frozen"/>
      <selection pane="bottomLeft" activeCell="D79" sqref="D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1167</v>
      </c>
      <c r="B3" s="2241"/>
      <c r="C3" s="1202"/>
      <c r="D3" s="1203"/>
      <c r="E3" s="1203"/>
      <c r="F3" s="1203"/>
      <c r="G3" s="1203"/>
      <c r="H3" s="1203"/>
      <c r="I3" s="1203"/>
      <c r="J3" s="1203"/>
      <c r="K3" s="1204"/>
      <c r="L3" s="446"/>
    </row>
    <row r="4" spans="1:13" ht="15.75" customHeight="1" x14ac:dyDescent="0.2">
      <c r="A4" s="1427" t="s">
        <v>1485</v>
      </c>
      <c r="B4" s="1428">
        <v>1000</v>
      </c>
      <c r="C4" s="1496">
        <f>'Revenues 9-14'!C109</f>
        <v>40546784</v>
      </c>
      <c r="D4" s="1496">
        <f>'Revenues 9-14'!D109</f>
        <v>6139868</v>
      </c>
      <c r="E4" s="1496">
        <f>'Revenues 9-14'!E109</f>
        <v>11830586</v>
      </c>
      <c r="F4" s="1496">
        <f>'Revenues 9-14'!F109</f>
        <v>1683121</v>
      </c>
      <c r="G4" s="1496">
        <f>'Revenues 9-14'!G109</f>
        <v>1435899</v>
      </c>
      <c r="H4" s="1496">
        <f>'Revenues 9-14'!H109</f>
        <v>0</v>
      </c>
      <c r="I4" s="1496">
        <f>'Revenues 9-14'!I109</f>
        <v>131912</v>
      </c>
      <c r="J4" s="1496">
        <f>'Revenues 9-14'!J109</f>
        <v>0</v>
      </c>
      <c r="K4" s="1496">
        <f>'Revenues 9-14'!K109</f>
        <v>0</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7694320</v>
      </c>
      <c r="D6" s="1497">
        <f>'Revenues 9-14'!D170</f>
        <v>50000</v>
      </c>
      <c r="E6" s="1497">
        <f>'Revenues 9-14'!E170</f>
        <v>0</v>
      </c>
      <c r="F6" s="1497">
        <f>'Revenues 9-14'!F170</f>
        <v>3735419</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1432359</v>
      </c>
      <c r="D7" s="1497">
        <f>'Revenues 9-14'!D267</f>
        <v>0</v>
      </c>
      <c r="E7" s="1497">
        <f>'Revenues 9-14'!E267</f>
        <v>0</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49673463</v>
      </c>
      <c r="D8" s="1484">
        <f t="shared" ref="D8:K8" si="0">SUM(D4:D7)</f>
        <v>6189868</v>
      </c>
      <c r="E8" s="1484">
        <f t="shared" si="0"/>
        <v>11830586</v>
      </c>
      <c r="F8" s="1484">
        <f t="shared" si="0"/>
        <v>5418540</v>
      </c>
      <c r="G8" s="1484">
        <f t="shared" si="0"/>
        <v>1435899</v>
      </c>
      <c r="H8" s="1484">
        <f t="shared" si="0"/>
        <v>0</v>
      </c>
      <c r="I8" s="1484">
        <f t="shared" si="0"/>
        <v>131912</v>
      </c>
      <c r="J8" s="1484">
        <f t="shared" si="0"/>
        <v>0</v>
      </c>
      <c r="K8" s="1484">
        <f t="shared" si="0"/>
        <v>0</v>
      </c>
      <c r="L8" s="325"/>
    </row>
    <row r="9" spans="1:13" ht="15.75" thickTop="1" x14ac:dyDescent="0.2">
      <c r="A9" s="449" t="s">
        <v>1637</v>
      </c>
      <c r="B9" s="450">
        <v>3998</v>
      </c>
      <c r="C9" s="1476">
        <v>22659821</v>
      </c>
      <c r="D9" s="1503"/>
      <c r="E9" s="1476"/>
      <c r="F9" s="1476"/>
      <c r="G9" s="1504"/>
      <c r="H9" s="1476"/>
      <c r="I9" s="1499" t="s">
        <v>1161</v>
      </c>
      <c r="J9" s="1473"/>
      <c r="K9" s="1476"/>
      <c r="L9" s="325"/>
    </row>
    <row r="10" spans="1:13" s="452" customFormat="1" ht="13.5" thickBot="1" x14ac:dyDescent="0.25">
      <c r="A10" s="1316" t="s">
        <v>1165</v>
      </c>
      <c r="B10" s="1297"/>
      <c r="C10" s="1484">
        <f>SUM(C8:C9)</f>
        <v>72333284</v>
      </c>
      <c r="D10" s="1484">
        <f t="shared" ref="D10:K10" si="1">SUM(D8:D9)</f>
        <v>6189868</v>
      </c>
      <c r="E10" s="1484">
        <f t="shared" si="1"/>
        <v>11830586</v>
      </c>
      <c r="F10" s="1484">
        <f t="shared" si="1"/>
        <v>5418540</v>
      </c>
      <c r="G10" s="1484">
        <f t="shared" si="1"/>
        <v>1435899</v>
      </c>
      <c r="H10" s="1484">
        <f t="shared" si="1"/>
        <v>0</v>
      </c>
      <c r="I10" s="1484">
        <f t="shared" si="1"/>
        <v>131912</v>
      </c>
      <c r="J10" s="1484">
        <f t="shared" si="1"/>
        <v>0</v>
      </c>
      <c r="K10" s="1484">
        <f t="shared" si="1"/>
        <v>0</v>
      </c>
      <c r="L10" s="451"/>
    </row>
    <row r="11" spans="1:13" s="452" customFormat="1" ht="16.7" customHeight="1" thickTop="1" x14ac:dyDescent="0.2">
      <c r="A11" s="2214" t="s">
        <v>1168</v>
      </c>
      <c r="B11" s="2215"/>
      <c r="C11" s="1492"/>
      <c r="D11" s="1493"/>
      <c r="E11" s="1493"/>
      <c r="F11" s="1493"/>
      <c r="G11" s="1493"/>
      <c r="H11" s="1493"/>
      <c r="I11" s="1493"/>
      <c r="J11" s="1493"/>
      <c r="K11" s="1505"/>
      <c r="L11" s="451"/>
    </row>
    <row r="12" spans="1:13" ht="15.75" customHeight="1" x14ac:dyDescent="0.2">
      <c r="A12" s="1205" t="s">
        <v>453</v>
      </c>
      <c r="B12" s="1207">
        <v>1000</v>
      </c>
      <c r="C12" s="1496">
        <f>'Expenditures 15-22'!K33</f>
        <v>32111059</v>
      </c>
      <c r="D12" s="1506" t="s">
        <v>1161</v>
      </c>
      <c r="E12" s="1465" t="s">
        <v>1161</v>
      </c>
      <c r="F12" s="1465" t="s">
        <v>1161</v>
      </c>
      <c r="G12" s="1496">
        <f>'Expenditures 15-22'!K229</f>
        <v>536953</v>
      </c>
      <c r="H12" s="1507"/>
      <c r="I12" s="1465" t="s">
        <v>1161</v>
      </c>
      <c r="J12" s="1465" t="s">
        <v>1161</v>
      </c>
      <c r="K12" s="1507" t="s">
        <v>1161</v>
      </c>
      <c r="L12" s="325"/>
    </row>
    <row r="13" spans="1:13" ht="15.75" customHeight="1" x14ac:dyDescent="0.2">
      <c r="A13" s="1205" t="s">
        <v>454</v>
      </c>
      <c r="B13" s="1207">
        <v>2000</v>
      </c>
      <c r="C13" s="1497">
        <f>'Expenditures 15-22'!K74</f>
        <v>14911831</v>
      </c>
      <c r="D13" s="1497">
        <f>'Expenditures 15-22'!K129</f>
        <v>5453436</v>
      </c>
      <c r="E13" s="1466" t="s">
        <v>1161</v>
      </c>
      <c r="F13" s="1497">
        <f>'Expenditures 15-22'!K184</f>
        <v>4778997</v>
      </c>
      <c r="G13" s="1497">
        <f>'Expenditures 15-22'!K279</f>
        <v>991689</v>
      </c>
      <c r="H13" s="1497">
        <f>'Expenditures 15-22'!K303</f>
        <v>0</v>
      </c>
      <c r="I13" s="1465" t="s">
        <v>1161</v>
      </c>
      <c r="J13" s="1497">
        <f>'Expenditures 15-22'!K330</f>
        <v>0</v>
      </c>
      <c r="K13" s="1508">
        <f>'Expenditures 15-22'!K352</f>
        <v>0</v>
      </c>
      <c r="L13" s="325"/>
    </row>
    <row r="14" spans="1:13" ht="15.75" customHeight="1" x14ac:dyDescent="0.2">
      <c r="A14" s="1205" t="s">
        <v>446</v>
      </c>
      <c r="B14" s="1207">
        <v>3000</v>
      </c>
      <c r="C14" s="1497">
        <f>'Expenditures 15-22'!K75</f>
        <v>40736</v>
      </c>
      <c r="D14" s="1497">
        <f>'Expenditures 15-22'!K130</f>
        <v>0</v>
      </c>
      <c r="E14" s="1506" t="s">
        <v>1161</v>
      </c>
      <c r="F14" s="1497">
        <f>'Expenditures 15-22'!K185</f>
        <v>0</v>
      </c>
      <c r="G14" s="1497">
        <f>'Expenditures 15-22'!K280</f>
        <v>631</v>
      </c>
      <c r="H14" s="1502"/>
      <c r="I14" s="1465" t="s">
        <v>1161</v>
      </c>
      <c r="J14" s="1465" t="s">
        <v>1161</v>
      </c>
      <c r="K14" s="1502" t="s">
        <v>1161</v>
      </c>
      <c r="L14" s="325"/>
    </row>
    <row r="15" spans="1:13" ht="15.75" customHeight="1" x14ac:dyDescent="0.2">
      <c r="A15" s="1205" t="s">
        <v>107</v>
      </c>
      <c r="B15" s="1207">
        <v>4000</v>
      </c>
      <c r="C15" s="1497">
        <f>'Expenditures 15-22'!K102</f>
        <v>2988798</v>
      </c>
      <c r="D15" s="1497">
        <f>'Expenditures 15-22'!K139</f>
        <v>0</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11700293</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50052424</v>
      </c>
      <c r="D17" s="1484">
        <f t="shared" si="2"/>
        <v>5453436</v>
      </c>
      <c r="E17" s="1484">
        <f t="shared" si="2"/>
        <v>11700293</v>
      </c>
      <c r="F17" s="1484">
        <f t="shared" si="2"/>
        <v>4778997</v>
      </c>
      <c r="G17" s="1484">
        <f t="shared" si="2"/>
        <v>1529273</v>
      </c>
      <c r="H17" s="1484">
        <f t="shared" si="2"/>
        <v>0</v>
      </c>
      <c r="I17" s="1465"/>
      <c r="J17" s="1484">
        <f>SUM(J12:J16)</f>
        <v>0</v>
      </c>
      <c r="K17" s="1484">
        <f>SUM(K12:K16)</f>
        <v>0</v>
      </c>
      <c r="L17" s="325"/>
    </row>
    <row r="18" spans="1:12" ht="15" customHeight="1" thickTop="1" x14ac:dyDescent="0.2">
      <c r="A18" s="1320" t="s">
        <v>1638</v>
      </c>
      <c r="B18" s="1321">
        <v>4180</v>
      </c>
      <c r="C18" s="1496">
        <f t="shared" ref="C18:H18" si="3">C9</f>
        <v>22659821</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72712245</v>
      </c>
      <c r="D19" s="1484">
        <f t="shared" si="4"/>
        <v>5453436</v>
      </c>
      <c r="E19" s="1484">
        <f t="shared" si="4"/>
        <v>11700293</v>
      </c>
      <c r="F19" s="1484">
        <f t="shared" si="4"/>
        <v>4778997</v>
      </c>
      <c r="G19" s="1484">
        <f t="shared" si="4"/>
        <v>1529273</v>
      </c>
      <c r="H19" s="1484">
        <f t="shared" si="4"/>
        <v>0</v>
      </c>
      <c r="I19" s="1465"/>
      <c r="J19" s="1484">
        <f>SUM(J17:J18)</f>
        <v>0</v>
      </c>
      <c r="K19" s="1484">
        <f>SUM(K17:K18)</f>
        <v>0</v>
      </c>
      <c r="L19" s="325"/>
    </row>
    <row r="20" spans="1:12" ht="16.5" thickTop="1" thickBot="1" x14ac:dyDescent="0.25">
      <c r="A20" s="2230" t="s">
        <v>1639</v>
      </c>
      <c r="B20" s="2231"/>
      <c r="C20" s="1512">
        <f>C8-C17</f>
        <v>-378961</v>
      </c>
      <c r="D20" s="1512">
        <f t="shared" ref="D20:K20" si="5">D8-D17</f>
        <v>736432</v>
      </c>
      <c r="E20" s="1512">
        <f t="shared" si="5"/>
        <v>130293</v>
      </c>
      <c r="F20" s="1512">
        <f t="shared" si="5"/>
        <v>639543</v>
      </c>
      <c r="G20" s="1512">
        <f t="shared" si="5"/>
        <v>-93374</v>
      </c>
      <c r="H20" s="1512">
        <f t="shared" si="5"/>
        <v>0</v>
      </c>
      <c r="I20" s="1512">
        <f t="shared" si="5"/>
        <v>131912</v>
      </c>
      <c r="J20" s="1512">
        <f t="shared" si="5"/>
        <v>0</v>
      </c>
      <c r="K20" s="1512">
        <f t="shared" si="5"/>
        <v>0</v>
      </c>
      <c r="L20" s="325"/>
    </row>
    <row r="21" spans="1:12" ht="16.7" customHeight="1" thickTop="1" x14ac:dyDescent="0.2">
      <c r="A21" s="2242" t="s">
        <v>591</v>
      </c>
      <c r="B21" s="2243"/>
      <c r="C21" s="1492"/>
      <c r="D21" s="1493"/>
      <c r="E21" s="1493"/>
      <c r="F21" s="1493"/>
      <c r="G21" s="1493"/>
      <c r="H21" s="1493"/>
      <c r="I21" s="1493"/>
      <c r="J21" s="1493"/>
      <c r="K21" s="1505"/>
      <c r="L21" s="453"/>
    </row>
    <row r="22" spans="1:12" ht="15.75" customHeight="1" collapsed="1" x14ac:dyDescent="0.2">
      <c r="A22" s="2238" t="s">
        <v>592</v>
      </c>
      <c r="B22" s="2239"/>
      <c r="C22" s="1472"/>
      <c r="D22" s="1472"/>
      <c r="E22" s="1472"/>
      <c r="F22" s="1472"/>
      <c r="G22" s="1472"/>
      <c r="H22" s="1472"/>
      <c r="I22" s="1472"/>
      <c r="J22" s="1472"/>
      <c r="K22" s="1472"/>
      <c r="L22" s="325"/>
    </row>
    <row r="23" spans="1:12" s="433" customFormat="1" ht="15.75" customHeight="1" x14ac:dyDescent="0.2">
      <c r="A23" s="2234" t="s">
        <v>290</v>
      </c>
      <c r="B23" s="2235"/>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c r="H28" s="1464"/>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1772</v>
      </c>
      <c r="B30" s="455">
        <v>7160</v>
      </c>
      <c r="C30" s="1472"/>
      <c r="D30" s="1464"/>
      <c r="E30" s="1472"/>
      <c r="F30" s="1472"/>
      <c r="G30" s="1472"/>
      <c r="H30" s="1472"/>
      <c r="I30" s="1472"/>
      <c r="J30" s="1472"/>
      <c r="K30" s="1472"/>
      <c r="L30" s="453"/>
    </row>
    <row r="31" spans="1:12" s="433" customFormat="1" ht="26.25" x14ac:dyDescent="0.2">
      <c r="A31" s="1151" t="s">
        <v>1776</v>
      </c>
      <c r="B31" s="455">
        <v>7170</v>
      </c>
      <c r="C31" s="1472"/>
      <c r="D31" s="1472"/>
      <c r="E31" s="1469"/>
      <c r="F31" s="1472"/>
      <c r="G31" s="1472"/>
      <c r="H31" s="1472"/>
      <c r="I31" s="1472"/>
      <c r="J31" s="1472"/>
      <c r="K31" s="1472"/>
      <c r="L31" s="453"/>
    </row>
    <row r="32" spans="1:12" s="433" customFormat="1" ht="15.75" customHeight="1" x14ac:dyDescent="0.2">
      <c r="A32" s="2236" t="s">
        <v>974</v>
      </c>
      <c r="B32" s="2237"/>
      <c r="C32" s="1472"/>
      <c r="D32" s="1472"/>
      <c r="E32" s="1470"/>
      <c r="F32" s="1472"/>
      <c r="G32" s="1472"/>
      <c r="H32" s="1472"/>
      <c r="I32" s="1472"/>
      <c r="J32" s="1472"/>
      <c r="K32" s="1472"/>
      <c r="L32" s="453"/>
    </row>
    <row r="33" spans="1:12" s="433" customFormat="1" x14ac:dyDescent="0.2">
      <c r="A33" s="1151" t="s">
        <v>409</v>
      </c>
      <c r="B33" s="454">
        <v>7210</v>
      </c>
      <c r="C33" s="1464"/>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c r="D36" s="1464"/>
      <c r="E36" s="1464"/>
      <c r="F36" s="1464"/>
      <c r="G36" s="1464"/>
      <c r="H36" s="1464"/>
      <c r="I36" s="1470"/>
      <c r="J36" s="1464"/>
      <c r="K36" s="1464"/>
      <c r="L36" s="453"/>
    </row>
    <row r="37" spans="1:12" s="433" customFormat="1" x14ac:dyDescent="0.2">
      <c r="A37" s="1151" t="s">
        <v>438</v>
      </c>
      <c r="B37" s="454">
        <v>7400</v>
      </c>
      <c r="C37" s="1470"/>
      <c r="D37" s="1470"/>
      <c r="E37" s="1497">
        <f>SUM(C54:D57,H54:H57)</f>
        <v>0</v>
      </c>
      <c r="F37" s="1470"/>
      <c r="G37" s="1470"/>
      <c r="H37" s="1470"/>
      <c r="I37" s="1472"/>
      <c r="J37" s="1470"/>
      <c r="K37" s="1470"/>
      <c r="L37" s="453"/>
    </row>
    <row r="38" spans="1:12" s="433" customFormat="1" x14ac:dyDescent="0.2">
      <c r="A38" s="1151" t="s">
        <v>439</v>
      </c>
      <c r="B38" s="454">
        <v>7500</v>
      </c>
      <c r="C38" s="1472"/>
      <c r="D38" s="1472"/>
      <c r="E38" s="1497">
        <f>SUM(C58:D61,H58:H61)</f>
        <v>0</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4" t="s">
        <v>371</v>
      </c>
      <c r="B44" s="2245"/>
      <c r="C44" s="1514">
        <f>SUM(C24:C43)</f>
        <v>0</v>
      </c>
      <c r="D44" s="1514">
        <f t="shared" ref="D44:K44" si="6">SUM(D24:D43)</f>
        <v>0</v>
      </c>
      <c r="E44" s="1514">
        <f t="shared" si="6"/>
        <v>0</v>
      </c>
      <c r="F44" s="1514">
        <f t="shared" si="6"/>
        <v>0</v>
      </c>
      <c r="G44" s="1514">
        <f t="shared" si="6"/>
        <v>0</v>
      </c>
      <c r="H44" s="1514">
        <f t="shared" si="6"/>
        <v>0</v>
      </c>
      <c r="I44" s="1514">
        <f t="shared" si="6"/>
        <v>0</v>
      </c>
      <c r="J44" s="1514">
        <f t="shared" si="6"/>
        <v>0</v>
      </c>
      <c r="K44" s="1514">
        <f t="shared" si="6"/>
        <v>0</v>
      </c>
      <c r="L44" s="453"/>
    </row>
    <row r="45" spans="1:12" ht="15.75" customHeight="1" thickTop="1" x14ac:dyDescent="0.2">
      <c r="A45" s="2238" t="s">
        <v>108</v>
      </c>
      <c r="B45" s="2239"/>
      <c r="C45" s="1515"/>
      <c r="D45" s="1515"/>
      <c r="E45" s="1515"/>
      <c r="F45" s="1515"/>
      <c r="G45" s="1515"/>
      <c r="H45" s="1515"/>
      <c r="I45" s="1515"/>
      <c r="J45" s="1515"/>
      <c r="K45" s="1515"/>
      <c r="L45" s="325"/>
    </row>
    <row r="46" spans="1:12" s="433" customFormat="1" ht="15.75" customHeight="1" x14ac:dyDescent="0.2">
      <c r="A46" s="2246" t="s">
        <v>109</v>
      </c>
      <c r="B46" s="2247"/>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c r="D50" s="1464"/>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1775</v>
      </c>
      <c r="B52" s="432">
        <v>8160</v>
      </c>
      <c r="C52" s="1472"/>
      <c r="D52" s="1472"/>
      <c r="E52" s="1472"/>
      <c r="F52" s="1472"/>
      <c r="G52" s="1472"/>
      <c r="H52" s="1472"/>
      <c r="I52" s="1472"/>
      <c r="J52" s="1472"/>
      <c r="K52" s="1497">
        <f>D30</f>
        <v>0</v>
      </c>
      <c r="L52" s="453"/>
    </row>
    <row r="53" spans="1:12" s="433" customFormat="1" ht="26.25" x14ac:dyDescent="0.2">
      <c r="A53" s="1152" t="s">
        <v>1774</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0" t="s">
        <v>437</v>
      </c>
      <c r="B76" s="2221"/>
      <c r="C76" s="1514">
        <f t="shared" ref="C76:K76" si="7">SUM(C47:C75)</f>
        <v>0</v>
      </c>
      <c r="D76" s="1514">
        <f t="shared" si="7"/>
        <v>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2" t="s">
        <v>1169</v>
      </c>
      <c r="B77" s="2223"/>
      <c r="C77" s="1514">
        <f t="shared" ref="C77:K77" si="8">C44-C76</f>
        <v>0</v>
      </c>
      <c r="D77" s="1514">
        <f t="shared" si="8"/>
        <v>0</v>
      </c>
      <c r="E77" s="1514">
        <f t="shared" si="8"/>
        <v>0</v>
      </c>
      <c r="F77" s="1514">
        <f t="shared" si="8"/>
        <v>0</v>
      </c>
      <c r="G77" s="1514">
        <f t="shared" si="8"/>
        <v>0</v>
      </c>
      <c r="H77" s="1514">
        <f t="shared" si="8"/>
        <v>0</v>
      </c>
      <c r="I77" s="1514">
        <f t="shared" si="8"/>
        <v>0</v>
      </c>
      <c r="J77" s="1514">
        <f t="shared" si="8"/>
        <v>0</v>
      </c>
      <c r="K77" s="1514">
        <f t="shared" si="8"/>
        <v>0</v>
      </c>
      <c r="L77" s="325"/>
    </row>
    <row r="78" spans="1:12" ht="21.75" customHeight="1" thickTop="1" thickBot="1" x14ac:dyDescent="0.25">
      <c r="A78" s="2226" t="s">
        <v>593</v>
      </c>
      <c r="B78" s="2227"/>
      <c r="C78" s="1519">
        <f t="shared" ref="C78:K78" si="9">C20+C77</f>
        <v>-378961</v>
      </c>
      <c r="D78" s="1519">
        <f t="shared" si="9"/>
        <v>736432</v>
      </c>
      <c r="E78" s="1519">
        <f t="shared" si="9"/>
        <v>130293</v>
      </c>
      <c r="F78" s="1519">
        <f t="shared" si="9"/>
        <v>639543</v>
      </c>
      <c r="G78" s="1519">
        <f t="shared" si="9"/>
        <v>-93374</v>
      </c>
      <c r="H78" s="1519">
        <f t="shared" si="9"/>
        <v>0</v>
      </c>
      <c r="I78" s="1519">
        <f t="shared" si="9"/>
        <v>131912</v>
      </c>
      <c r="J78" s="1519">
        <f t="shared" si="9"/>
        <v>0</v>
      </c>
      <c r="K78" s="1519">
        <f t="shared" si="9"/>
        <v>0</v>
      </c>
      <c r="L78" s="457"/>
    </row>
    <row r="79" spans="1:12" ht="13.5" thickTop="1" x14ac:dyDescent="0.2">
      <c r="A79" s="1726" t="str">
        <f>"Fund Balances - July 1, "&amp;'AFR20'!E2-1</f>
        <v>Fund Balances - July 1, 2019</v>
      </c>
      <c r="B79" s="458"/>
      <c r="C79" s="1473">
        <f>1533130+2376355</f>
        <v>3909485</v>
      </c>
      <c r="D79" s="1520">
        <f>3317101+235103+56654</f>
        <v>3608858</v>
      </c>
      <c r="E79" s="1520">
        <v>993743</v>
      </c>
      <c r="F79" s="1520">
        <v>2488691</v>
      </c>
      <c r="G79" s="1520">
        <v>1196134</v>
      </c>
      <c r="H79" s="1520"/>
      <c r="I79" s="1520">
        <v>1347519</v>
      </c>
      <c r="J79" s="1520"/>
      <c r="K79" s="1520"/>
      <c r="L79" s="325"/>
    </row>
    <row r="80" spans="1:12" x14ac:dyDescent="0.2">
      <c r="A80" s="2232" t="s">
        <v>1773</v>
      </c>
      <c r="B80" s="2233"/>
      <c r="C80" s="1464"/>
      <c r="D80" s="1464"/>
      <c r="E80" s="1464"/>
      <c r="F80" s="1464"/>
      <c r="G80" s="1464"/>
      <c r="H80" s="1464"/>
      <c r="I80" s="1464"/>
      <c r="J80" s="1464"/>
      <c r="K80" s="1464"/>
      <c r="L80" s="325"/>
    </row>
    <row r="81" spans="1:12" ht="13.5" thickBot="1" x14ac:dyDescent="0.25">
      <c r="A81" s="2224" t="str">
        <f>"Fund Balances - June 30, "&amp;'AFR20'!E2</f>
        <v>Fund Balances - June 30, 2020</v>
      </c>
      <c r="B81" s="2225"/>
      <c r="C81" s="1484">
        <f>(SUM(C78:C80))</f>
        <v>3530524</v>
      </c>
      <c r="D81" s="1484">
        <f>SUM(D78:D80)</f>
        <v>4345290</v>
      </c>
      <c r="E81" s="1484">
        <f t="shared" ref="E81:K81" si="10">SUM(E78:E80)</f>
        <v>1124036</v>
      </c>
      <c r="F81" s="1484">
        <f t="shared" si="10"/>
        <v>3128234</v>
      </c>
      <c r="G81" s="1484">
        <f t="shared" si="10"/>
        <v>1102760</v>
      </c>
      <c r="H81" s="1484">
        <f t="shared" si="10"/>
        <v>0</v>
      </c>
      <c r="I81" s="1484">
        <f t="shared" si="10"/>
        <v>1479431</v>
      </c>
      <c r="J81" s="1484">
        <f t="shared" si="10"/>
        <v>0</v>
      </c>
      <c r="K81" s="1484">
        <f t="shared" si="10"/>
        <v>0</v>
      </c>
      <c r="L81" s="325"/>
    </row>
    <row r="82" spans="1:12" ht="0.75" customHeight="1" thickTop="1" thickBot="1" x14ac:dyDescent="0.25">
      <c r="A82" s="459" t="s">
        <v>340</v>
      </c>
      <c r="B82" s="460"/>
      <c r="C82" s="461">
        <f>(C81-C79)</f>
        <v>-378961</v>
      </c>
      <c r="D82" s="461">
        <f t="shared" ref="D82:K82" si="11">(D81-D79)</f>
        <v>736432</v>
      </c>
      <c r="E82" s="461">
        <f t="shared" si="11"/>
        <v>130293</v>
      </c>
      <c r="F82" s="461">
        <f t="shared" si="11"/>
        <v>639543</v>
      </c>
      <c r="G82" s="461">
        <f t="shared" si="11"/>
        <v>-93374</v>
      </c>
      <c r="H82" s="461">
        <f t="shared" si="11"/>
        <v>0</v>
      </c>
      <c r="I82" s="461">
        <f t="shared" si="11"/>
        <v>131912</v>
      </c>
      <c r="J82" s="461">
        <f t="shared" si="11"/>
        <v>0</v>
      </c>
      <c r="K82" s="461">
        <f t="shared" si="11"/>
        <v>0</v>
      </c>
    </row>
    <row r="83" spans="1:12" ht="14.25" hidden="1" thickTop="1" thickBot="1" x14ac:dyDescent="0.25">
      <c r="A83" s="462" t="s">
        <v>341</v>
      </c>
      <c r="B83" s="428"/>
      <c r="C83" s="463">
        <f>C82/C81</f>
        <v>-0.10733845740745566</v>
      </c>
      <c r="D83" s="463">
        <f t="shared" ref="D83:K83" si="12">D82/D81</f>
        <v>0.1694782166437683</v>
      </c>
      <c r="E83" s="463">
        <f t="shared" si="12"/>
        <v>0.11591532655537723</v>
      </c>
      <c r="F83" s="463">
        <f t="shared" si="12"/>
        <v>0.20444218686965232</v>
      </c>
      <c r="G83" s="463">
        <f t="shared" si="12"/>
        <v>-8.4673002285175381E-2</v>
      </c>
      <c r="H83" s="463" t="e">
        <f t="shared" si="12"/>
        <v>#DIV/0!</v>
      </c>
      <c r="I83" s="463">
        <f t="shared" si="12"/>
        <v>8.9164009676693273E-2</v>
      </c>
      <c r="J83" s="463" t="e">
        <f t="shared" si="12"/>
        <v>#DIV/0!</v>
      </c>
      <c r="K83" s="463" t="e">
        <f t="shared" si="12"/>
        <v>#DIV/0!</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63" activePane="bottomLeft" state="frozen"/>
      <selection pane="bottomLeft" activeCell="C73" sqref="C7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1780</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33174511</v>
      </c>
      <c r="D5" s="1476">
        <v>5688502</v>
      </c>
      <c r="E5" s="1463">
        <v>11756470</v>
      </c>
      <c r="F5" s="1521">
        <v>1569229</v>
      </c>
      <c r="G5" s="1463">
        <v>490386</v>
      </c>
      <c r="H5" s="1463"/>
      <c r="I5" s="1463">
        <v>98091</v>
      </c>
      <c r="J5" s="1464"/>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v>4217297</v>
      </c>
      <c r="D7" s="1463"/>
      <c r="E7" s="1465"/>
      <c r="F7" s="1464"/>
      <c r="G7" s="1464"/>
      <c r="H7" s="1464"/>
      <c r="I7" s="1465"/>
      <c r="J7" s="1465"/>
      <c r="K7" s="1465"/>
    </row>
    <row r="8" spans="1:12" x14ac:dyDescent="0.2">
      <c r="A8" s="427" t="s">
        <v>410</v>
      </c>
      <c r="B8" s="429">
        <v>1150</v>
      </c>
      <c r="C8" s="1470"/>
      <c r="D8" s="1470"/>
      <c r="E8" s="1472"/>
      <c r="F8" s="1472"/>
      <c r="G8" s="1476">
        <v>833654</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37391808</v>
      </c>
      <c r="D12" s="1523">
        <f t="shared" si="0"/>
        <v>5688502</v>
      </c>
      <c r="E12" s="1523">
        <f t="shared" si="0"/>
        <v>11756470</v>
      </c>
      <c r="F12" s="1523">
        <f t="shared" si="0"/>
        <v>1569229</v>
      </c>
      <c r="G12" s="1523">
        <f t="shared" si="0"/>
        <v>1324040</v>
      </c>
      <c r="H12" s="1523">
        <f t="shared" si="0"/>
        <v>0</v>
      </c>
      <c r="I12" s="1523">
        <f t="shared" si="0"/>
        <v>98091</v>
      </c>
      <c r="J12" s="1523">
        <f t="shared" si="0"/>
        <v>0</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v>242061</v>
      </c>
      <c r="D16" s="1463"/>
      <c r="E16" s="1463"/>
      <c r="F16" s="1463"/>
      <c r="G16" s="1463">
        <v>75000</v>
      </c>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242061</v>
      </c>
      <c r="D18" s="1525">
        <f t="shared" ref="D18:K18" si="1">SUM(D14:D17)</f>
        <v>0</v>
      </c>
      <c r="E18" s="1525">
        <f t="shared" si="1"/>
        <v>0</v>
      </c>
      <c r="F18" s="1525">
        <f t="shared" si="1"/>
        <v>0</v>
      </c>
      <c r="G18" s="1525">
        <f t="shared" si="1"/>
        <v>75000</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v>359069</v>
      </c>
      <c r="D20" s="1465"/>
      <c r="E20" s="1465"/>
      <c r="F20" s="1465"/>
      <c r="G20" s="1465"/>
      <c r="H20" s="1465"/>
      <c r="I20" s="1465"/>
      <c r="J20" s="1465"/>
      <c r="K20" s="1465"/>
    </row>
    <row r="21" spans="1:11" ht="12.75" customHeight="1" x14ac:dyDescent="0.2">
      <c r="A21" s="427" t="s">
        <v>827</v>
      </c>
      <c r="B21" s="429">
        <v>1312</v>
      </c>
      <c r="C21" s="1522">
        <v>34668</v>
      </c>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v>41307</v>
      </c>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435044</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c r="G42" s="1465"/>
      <c r="H42" s="1465"/>
      <c r="I42" s="1465"/>
      <c r="J42" s="1465"/>
      <c r="K42" s="1465"/>
    </row>
    <row r="43" spans="1:11" ht="12.75" customHeight="1" x14ac:dyDescent="0.2">
      <c r="A43" s="427" t="s">
        <v>832</v>
      </c>
      <c r="B43" s="429">
        <v>1412</v>
      </c>
      <c r="C43" s="1465"/>
      <c r="D43" s="1465"/>
      <c r="E43" s="1465"/>
      <c r="F43" s="1463">
        <v>19609</v>
      </c>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v>16021</v>
      </c>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35630</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314169</v>
      </c>
      <c r="D65" s="1463">
        <f>153217+59</f>
        <v>153276</v>
      </c>
      <c r="E65" s="1463">
        <v>74116</v>
      </c>
      <c r="F65" s="1464">
        <v>54425</v>
      </c>
      <c r="G65" s="1463">
        <v>36859</v>
      </c>
      <c r="H65" s="1463"/>
      <c r="I65" s="1463">
        <v>33821</v>
      </c>
      <c r="J65" s="1464"/>
      <c r="K65" s="1463"/>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314169</v>
      </c>
      <c r="D67" s="1484">
        <f t="shared" ref="D67:K67" si="2">SUM(D65:D66)</f>
        <v>153276</v>
      </c>
      <c r="E67" s="1484">
        <f t="shared" si="2"/>
        <v>74116</v>
      </c>
      <c r="F67" s="1484">
        <f t="shared" si="2"/>
        <v>54425</v>
      </c>
      <c r="G67" s="1484">
        <f t="shared" si="2"/>
        <v>36859</v>
      </c>
      <c r="H67" s="1484">
        <f t="shared" si="2"/>
        <v>0</v>
      </c>
      <c r="I67" s="1484">
        <f t="shared" si="2"/>
        <v>33821</v>
      </c>
      <c r="J67" s="1484">
        <f t="shared" si="2"/>
        <v>0</v>
      </c>
      <c r="K67" s="1484">
        <f t="shared" si="2"/>
        <v>0</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45171</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v>750592</v>
      </c>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991</v>
      </c>
      <c r="B73" s="429">
        <v>1620</v>
      </c>
      <c r="C73" s="1522">
        <v>40801</v>
      </c>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544</v>
      </c>
      <c r="B75" s="1297"/>
      <c r="C75" s="1484">
        <f>SUM(C69:C74)</f>
        <v>836564</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v>30875</v>
      </c>
      <c r="D77" s="1463"/>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546</v>
      </c>
      <c r="B79" s="429">
        <v>1720</v>
      </c>
      <c r="C79" s="1522"/>
      <c r="D79" s="1463"/>
      <c r="E79" s="1465"/>
      <c r="F79" s="1465"/>
      <c r="G79" s="1465"/>
      <c r="H79" s="1465"/>
      <c r="I79" s="1465"/>
      <c r="J79" s="1465"/>
      <c r="K79" s="1465"/>
    </row>
    <row r="80" spans="1:11" ht="12.75" customHeight="1" x14ac:dyDescent="0.2">
      <c r="A80" s="427" t="s">
        <v>547</v>
      </c>
      <c r="B80" s="429">
        <v>1730</v>
      </c>
      <c r="C80" s="1522"/>
      <c r="D80" s="1463"/>
      <c r="E80" s="1465"/>
      <c r="F80" s="1465"/>
      <c r="G80" s="1465"/>
      <c r="H80" s="1465"/>
      <c r="I80" s="1465"/>
      <c r="J80" s="1465"/>
      <c r="K80" s="1465"/>
    </row>
    <row r="81" spans="1:11" ht="12.75" customHeight="1" x14ac:dyDescent="0.2">
      <c r="A81" s="427" t="s">
        <v>26</v>
      </c>
      <c r="B81" s="429">
        <v>1790</v>
      </c>
      <c r="C81" s="1522"/>
      <c r="D81" s="1463"/>
      <c r="E81" s="1465"/>
      <c r="F81" s="1465"/>
      <c r="G81" s="1465"/>
      <c r="H81" s="1465"/>
      <c r="I81" s="1465"/>
      <c r="J81" s="1465"/>
      <c r="K81" s="1465"/>
    </row>
    <row r="82" spans="1:11" ht="12.75" customHeight="1" thickBot="1" x14ac:dyDescent="0.25">
      <c r="A82" s="1296" t="s">
        <v>239</v>
      </c>
      <c r="B82" s="1297"/>
      <c r="C82" s="1523">
        <f>SUM(C77:C81)</f>
        <v>30875</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v>789962</v>
      </c>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c r="D92" s="1465"/>
      <c r="E92" s="1465"/>
      <c r="F92" s="1465"/>
      <c r="G92" s="1465"/>
      <c r="H92" s="1465"/>
      <c r="I92" s="1465"/>
      <c r="J92" s="1465"/>
      <c r="K92" s="1465"/>
    </row>
    <row r="93" spans="1:11" ht="12.75" customHeight="1" thickBot="1" x14ac:dyDescent="0.25">
      <c r="A93" s="1296" t="s">
        <v>241</v>
      </c>
      <c r="B93" s="1297"/>
      <c r="C93" s="1484">
        <f>SUM(C84:C92)</f>
        <v>789962</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c r="D95" s="1522">
        <v>65781</v>
      </c>
      <c r="E95" s="1507"/>
      <c r="F95" s="1507"/>
      <c r="G95" s="1507"/>
      <c r="H95" s="1507"/>
      <c r="I95" s="1507"/>
      <c r="J95" s="1507"/>
      <c r="K95" s="1507"/>
    </row>
    <row r="96" spans="1:11" ht="12.75" customHeight="1" x14ac:dyDescent="0.2">
      <c r="A96" s="427" t="s">
        <v>388</v>
      </c>
      <c r="B96" s="429">
        <v>1920</v>
      </c>
      <c r="C96" s="1522">
        <v>499</v>
      </c>
      <c r="D96" s="1522"/>
      <c r="E96" s="1474"/>
      <c r="F96" s="1473"/>
      <c r="G96" s="1473"/>
      <c r="H96" s="1473"/>
      <c r="I96" s="1473"/>
      <c r="J96" s="1473"/>
      <c r="K96" s="1473"/>
    </row>
    <row r="97" spans="1:12" ht="12.75" customHeight="1" x14ac:dyDescent="0.2">
      <c r="A97" s="1156" t="s">
        <v>242</v>
      </c>
      <c r="B97" s="477">
        <v>1930</v>
      </c>
      <c r="C97" s="1488"/>
      <c r="D97" s="1464">
        <v>103188</v>
      </c>
      <c r="E97" s="1469"/>
      <c r="F97" s="1464"/>
      <c r="G97" s="1464"/>
      <c r="H97" s="1464"/>
      <c r="I97" s="1464"/>
      <c r="J97" s="1464"/>
      <c r="K97" s="1464"/>
    </row>
    <row r="98" spans="1:12" ht="12.75" customHeight="1" x14ac:dyDescent="0.2">
      <c r="A98" s="427" t="s">
        <v>188</v>
      </c>
      <c r="B98" s="429">
        <v>1940</v>
      </c>
      <c r="C98" s="1488">
        <v>234988</v>
      </c>
      <c r="D98" s="1463"/>
      <c r="E98" s="1502"/>
      <c r="F98" s="1463"/>
      <c r="G98" s="1502"/>
      <c r="H98" s="1502"/>
      <c r="I98" s="1500"/>
      <c r="J98" s="1502"/>
      <c r="K98" s="1502"/>
    </row>
    <row r="99" spans="1:12" ht="12.75" customHeight="1" x14ac:dyDescent="0.2">
      <c r="A99" s="427" t="s">
        <v>816</v>
      </c>
      <c r="B99" s="429">
        <v>1950</v>
      </c>
      <c r="C99" s="1488">
        <v>56088</v>
      </c>
      <c r="D99" s="1463"/>
      <c r="E99" s="1463"/>
      <c r="F99" s="1463"/>
      <c r="G99" s="1463"/>
      <c r="H99" s="1463"/>
      <c r="I99" s="1465"/>
      <c r="J99" s="1464"/>
      <c r="K99" s="1463"/>
    </row>
    <row r="100" spans="1:12" ht="12.75" customHeight="1" x14ac:dyDescent="0.2">
      <c r="A100" s="427" t="s">
        <v>243</v>
      </c>
      <c r="B100" s="429">
        <v>1960</v>
      </c>
      <c r="C100" s="1488">
        <v>3289</v>
      </c>
      <c r="D100" s="1488"/>
      <c r="E100" s="1488"/>
      <c r="F100" s="1488"/>
      <c r="G100" s="1488"/>
      <c r="H100" s="1488"/>
      <c r="I100" s="1464"/>
      <c r="J100" s="1488"/>
      <c r="K100" s="1464"/>
    </row>
    <row r="101" spans="1:12" ht="12.75" customHeight="1" x14ac:dyDescent="0.2">
      <c r="A101" s="427" t="s">
        <v>244</v>
      </c>
      <c r="B101" s="429">
        <v>1970</v>
      </c>
      <c r="C101" s="1488">
        <v>40810</v>
      </c>
      <c r="D101" s="1513"/>
      <c r="E101" s="1475"/>
      <c r="F101" s="1513"/>
      <c r="G101" s="1470"/>
      <c r="H101" s="1513"/>
      <c r="I101" s="1465"/>
      <c r="J101" s="1470"/>
      <c r="K101" s="1470"/>
    </row>
    <row r="102" spans="1:12" ht="12.75" customHeight="1" x14ac:dyDescent="0.2">
      <c r="A102" s="427" t="s">
        <v>245</v>
      </c>
      <c r="B102" s="429">
        <v>1980</v>
      </c>
      <c r="C102" s="1488"/>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c r="D104" s="1463"/>
      <c r="E104" s="1476"/>
      <c r="F104" s="1464"/>
      <c r="G104" s="1464"/>
      <c r="H104" s="1463"/>
      <c r="I104" s="1465"/>
      <c r="J104" s="1465"/>
      <c r="K104" s="1465"/>
    </row>
    <row r="105" spans="1:12" ht="12.75" customHeight="1" x14ac:dyDescent="0.2">
      <c r="A105" s="427" t="s">
        <v>817</v>
      </c>
      <c r="B105" s="429">
        <v>1992</v>
      </c>
      <c r="C105" s="1463"/>
      <c r="D105" s="1530"/>
      <c r="E105" s="1465"/>
      <c r="F105" s="1465"/>
      <c r="G105" s="1465"/>
      <c r="H105" s="1500"/>
      <c r="I105" s="1465"/>
      <c r="J105" s="1465"/>
      <c r="K105" s="1465"/>
    </row>
    <row r="106" spans="1:12" ht="12.75" customHeight="1" x14ac:dyDescent="0.2">
      <c r="A106" s="427" t="s">
        <v>1416</v>
      </c>
      <c r="B106" s="429">
        <v>1993</v>
      </c>
      <c r="C106" s="1463">
        <v>118504</v>
      </c>
      <c r="D106" s="1488"/>
      <c r="E106" s="1464"/>
      <c r="F106" s="1464"/>
      <c r="G106" s="1464"/>
      <c r="H106" s="1464"/>
      <c r="I106" s="1507"/>
      <c r="J106" s="1464"/>
      <c r="K106" s="1464"/>
    </row>
    <row r="107" spans="1:12" ht="12.75" customHeight="1" x14ac:dyDescent="0.2">
      <c r="A107" s="427" t="s">
        <v>78</v>
      </c>
      <c r="B107" s="429">
        <v>1999</v>
      </c>
      <c r="C107" s="1522">
        <v>52123</v>
      </c>
      <c r="D107" s="1463">
        <v>129121</v>
      </c>
      <c r="E107" s="1463"/>
      <c r="F107" s="1463">
        <v>23837</v>
      </c>
      <c r="G107" s="1463"/>
      <c r="H107" s="1463"/>
      <c r="I107" s="1463"/>
      <c r="J107" s="1464"/>
      <c r="K107" s="1463"/>
    </row>
    <row r="108" spans="1:12" ht="12.75" customHeight="1" thickBot="1" x14ac:dyDescent="0.25">
      <c r="A108" s="1296" t="s">
        <v>484</v>
      </c>
      <c r="B108" s="1298"/>
      <c r="C108" s="1523">
        <f>SUM(C95:C107)</f>
        <v>506301</v>
      </c>
      <c r="D108" s="1523">
        <f t="shared" ref="D108:K108" si="3">SUM(D95:D107)</f>
        <v>298090</v>
      </c>
      <c r="E108" s="1523">
        <f t="shared" si="3"/>
        <v>0</v>
      </c>
      <c r="F108" s="1523">
        <f t="shared" si="3"/>
        <v>23837</v>
      </c>
      <c r="G108" s="1523">
        <f t="shared" si="3"/>
        <v>0</v>
      </c>
      <c r="H108" s="1523">
        <f t="shared" si="3"/>
        <v>0</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40546784</v>
      </c>
      <c r="D109" s="1531">
        <f t="shared" si="4"/>
        <v>6139868</v>
      </c>
      <c r="E109" s="1531">
        <f t="shared" si="4"/>
        <v>11830586</v>
      </c>
      <c r="F109" s="1531">
        <f t="shared" si="4"/>
        <v>1683121</v>
      </c>
      <c r="G109" s="1531">
        <f t="shared" si="4"/>
        <v>1435899</v>
      </c>
      <c r="H109" s="1531">
        <f t="shared" si="4"/>
        <v>0</v>
      </c>
      <c r="I109" s="1531">
        <f t="shared" si="4"/>
        <v>131912</v>
      </c>
      <c r="J109" s="1531">
        <f t="shared" si="4"/>
        <v>0</v>
      </c>
      <c r="K109" s="1519">
        <f t="shared" si="4"/>
        <v>0</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6913207</v>
      </c>
      <c r="D117" s="1476"/>
      <c r="E117" s="1463"/>
      <c r="F117" s="1476">
        <v>400000</v>
      </c>
      <c r="G117" s="1476"/>
      <c r="H117" s="1463"/>
      <c r="I117" s="1465"/>
      <c r="J117" s="1464"/>
      <c r="K117" s="1463"/>
    </row>
    <row r="118" spans="1:11" ht="12.75" customHeight="1" x14ac:dyDescent="0.2">
      <c r="A118" s="427" t="s">
        <v>1777</v>
      </c>
      <c r="B118" s="478">
        <v>3002</v>
      </c>
      <c r="C118" s="1522"/>
      <c r="D118" s="1463"/>
      <c r="E118" s="1463"/>
      <c r="F118" s="1463"/>
      <c r="G118" s="1463"/>
      <c r="H118" s="1463"/>
      <c r="I118" s="1465"/>
      <c r="J118" s="1464"/>
      <c r="K118" s="1463"/>
    </row>
    <row r="119" spans="1:11" ht="12.75" customHeight="1" x14ac:dyDescent="0.2">
      <c r="A119" s="427" t="s">
        <v>1778</v>
      </c>
      <c r="B119" s="478">
        <v>3005</v>
      </c>
      <c r="C119" s="1522"/>
      <c r="D119" s="1463"/>
      <c r="E119" s="1463"/>
      <c r="F119" s="1463"/>
      <c r="G119" s="1463"/>
      <c r="H119" s="1463"/>
      <c r="I119" s="1465"/>
      <c r="J119" s="1464"/>
      <c r="K119" s="1463"/>
    </row>
    <row r="120" spans="1:11" ht="12.75" customHeight="1" x14ac:dyDescent="0.2">
      <c r="A120" s="1429" t="s">
        <v>1896</v>
      </c>
      <c r="B120" s="478">
        <v>3030</v>
      </c>
      <c r="C120" s="1522"/>
      <c r="D120" s="1463"/>
      <c r="E120" s="1463"/>
      <c r="F120" s="1463"/>
      <c r="G120" s="1463"/>
      <c r="H120" s="1463"/>
      <c r="I120" s="1465"/>
      <c r="J120" s="1464"/>
      <c r="K120" s="1463"/>
    </row>
    <row r="121" spans="1:11" x14ac:dyDescent="0.2">
      <c r="A121" s="1157" t="s">
        <v>1779</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6913207</v>
      </c>
      <c r="D122" s="1523">
        <f t="shared" si="5"/>
        <v>0</v>
      </c>
      <c r="E122" s="1523">
        <f t="shared" si="5"/>
        <v>0</v>
      </c>
      <c r="F122" s="1523">
        <f t="shared" si="5"/>
        <v>400000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695847</v>
      </c>
      <c r="D125" s="1530"/>
      <c r="E125" s="1465"/>
      <c r="F125" s="1521"/>
      <c r="G125" s="1465"/>
      <c r="H125" s="1465"/>
      <c r="I125" s="1465"/>
      <c r="J125" s="1465"/>
      <c r="K125" s="1465"/>
    </row>
    <row r="126" spans="1:11" ht="12.75" customHeight="1" x14ac:dyDescent="0.2">
      <c r="A126" s="427" t="s">
        <v>1432</v>
      </c>
      <c r="B126" s="478">
        <v>3105</v>
      </c>
      <c r="C126" s="1463"/>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c r="D128" s="1530"/>
      <c r="E128" s="1465"/>
      <c r="F128" s="1463"/>
      <c r="G128" s="1465"/>
      <c r="H128" s="1465"/>
      <c r="I128" s="1465"/>
      <c r="J128" s="1465"/>
      <c r="K128" s="1465"/>
    </row>
    <row r="129" spans="1:11" ht="12.75" customHeight="1" x14ac:dyDescent="0.2">
      <c r="A129" s="427" t="s">
        <v>1433</v>
      </c>
      <c r="B129" s="478">
        <v>3130</v>
      </c>
      <c r="C129" s="1463"/>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695847</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v>43802</v>
      </c>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596</v>
      </c>
      <c r="B137" s="478">
        <v>3235</v>
      </c>
      <c r="C137" s="1488">
        <v>15736</v>
      </c>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59538</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v>818</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v>24910</v>
      </c>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1834167</v>
      </c>
      <c r="G152" s="1464"/>
      <c r="H152" s="1465"/>
      <c r="I152" s="1465"/>
      <c r="J152" s="1465"/>
      <c r="K152" s="1465"/>
    </row>
    <row r="153" spans="1:11" ht="12.75" customHeight="1" x14ac:dyDescent="0.2">
      <c r="A153" s="427" t="s">
        <v>1050</v>
      </c>
      <c r="B153" s="478">
        <v>3510</v>
      </c>
      <c r="C153" s="1522"/>
      <c r="D153" s="1463"/>
      <c r="E153" s="1530"/>
      <c r="F153" s="1463">
        <v>1501252</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3335419</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v>0</v>
      </c>
      <c r="D168" s="1545"/>
      <c r="E168" s="1545"/>
      <c r="F168" s="1545"/>
      <c r="G168" s="1546"/>
      <c r="H168" s="1547"/>
      <c r="I168" s="1546"/>
      <c r="J168" s="1546"/>
      <c r="K168" s="1547"/>
    </row>
    <row r="169" spans="1:11" ht="12.75" customHeight="1" thickTop="1" thickBot="1" x14ac:dyDescent="0.25">
      <c r="A169" s="2248" t="s">
        <v>395</v>
      </c>
      <c r="B169" s="2249"/>
      <c r="C169" s="1548">
        <f t="shared" ref="C169:K169" si="6">SUM(C132,C141,C145,C146:C150,C155,C156:C167,C168)</f>
        <v>781113</v>
      </c>
      <c r="D169" s="1548">
        <f t="shared" si="6"/>
        <v>50000</v>
      </c>
      <c r="E169" s="1548">
        <f t="shared" si="6"/>
        <v>0</v>
      </c>
      <c r="F169" s="1548">
        <f t="shared" si="6"/>
        <v>3335419</v>
      </c>
      <c r="G169" s="1548">
        <f t="shared" si="6"/>
        <v>0</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7694320</v>
      </c>
      <c r="D170" s="1531">
        <f t="shared" si="7"/>
        <v>50000</v>
      </c>
      <c r="E170" s="1531">
        <f t="shared" si="7"/>
        <v>0</v>
      </c>
      <c r="F170" s="1531">
        <f t="shared" si="7"/>
        <v>3735419</v>
      </c>
      <c r="G170" s="1531">
        <f t="shared" si="7"/>
        <v>0</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0" t="s">
        <v>1478</v>
      </c>
      <c r="B172" s="2251"/>
      <c r="C172" s="1506"/>
      <c r="D172" s="1506"/>
      <c r="E172" s="1499"/>
      <c r="F172" s="1465"/>
      <c r="G172" s="1465"/>
      <c r="H172" s="1465"/>
      <c r="I172" s="1465"/>
      <c r="J172" s="1465"/>
      <c r="K172" s="1465"/>
    </row>
    <row r="173" spans="1:11" ht="12.6" customHeight="1" x14ac:dyDescent="0.2">
      <c r="A173" s="436" t="s">
        <v>1037</v>
      </c>
      <c r="B173" s="435">
        <v>4001</v>
      </c>
      <c r="C173" s="1503"/>
      <c r="D173" s="1476"/>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4" t="s">
        <v>1649</v>
      </c>
      <c r="B175" s="2255"/>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58" t="s">
        <v>1648</v>
      </c>
      <c r="B176" s="2259"/>
      <c r="C176" s="1549"/>
      <c r="D176" s="1550"/>
      <c r="E176" s="1551"/>
      <c r="F176" s="1552"/>
      <c r="G176" s="1552"/>
      <c r="H176" s="1552"/>
      <c r="I176" s="1552"/>
      <c r="J176" s="1552"/>
      <c r="K176" s="1552"/>
    </row>
    <row r="177" spans="1:11" ht="12.75" customHeight="1" x14ac:dyDescent="0.2">
      <c r="A177" s="427" t="s">
        <v>1038</v>
      </c>
      <c r="B177" s="429">
        <v>4045</v>
      </c>
      <c r="C177" s="1522"/>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6" t="s">
        <v>780</v>
      </c>
      <c r="B181" s="2257"/>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2" t="s">
        <v>1781</v>
      </c>
      <c r="B182" s="2253"/>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v>39174</v>
      </c>
      <c r="D191" s="1465"/>
      <c r="E191" s="1530"/>
      <c r="F191" s="1465"/>
      <c r="G191" s="1554"/>
      <c r="H191" s="1465"/>
      <c r="I191" s="1465"/>
      <c r="J191" s="1465"/>
      <c r="K191" s="1465"/>
    </row>
    <row r="192" spans="1:11" ht="12.75" customHeight="1" x14ac:dyDescent="0.2">
      <c r="A192" s="427" t="s">
        <v>1040</v>
      </c>
      <c r="B192" s="429">
        <v>4215</v>
      </c>
      <c r="C192" s="1522">
        <v>21823</v>
      </c>
      <c r="D192" s="1465"/>
      <c r="E192" s="1530"/>
      <c r="F192" s="1465"/>
      <c r="G192" s="1554"/>
      <c r="H192" s="1465"/>
      <c r="I192" s="1465"/>
      <c r="J192" s="1465"/>
      <c r="K192" s="1465"/>
    </row>
    <row r="193" spans="1:11" ht="12.75" customHeight="1" x14ac:dyDescent="0.2">
      <c r="A193" s="427" t="s">
        <v>1052</v>
      </c>
      <c r="B193" s="429">
        <v>4220</v>
      </c>
      <c r="C193" s="1522"/>
      <c r="D193" s="1465"/>
      <c r="E193" s="1530"/>
      <c r="F193" s="1465"/>
      <c r="G193" s="1554"/>
      <c r="H193" s="1465"/>
      <c r="I193" s="1465"/>
      <c r="J193" s="1465"/>
      <c r="K193" s="1465"/>
    </row>
    <row r="194" spans="1:11" ht="12.75" customHeight="1" x14ac:dyDescent="0.2">
      <c r="A194" s="427" t="s">
        <v>1437</v>
      </c>
      <c r="B194" s="429">
        <v>4225</v>
      </c>
      <c r="C194" s="1522">
        <v>44015</v>
      </c>
      <c r="D194" s="1465"/>
      <c r="E194" s="1530"/>
      <c r="F194" s="1465"/>
      <c r="G194" s="1554"/>
      <c r="H194" s="1465"/>
      <c r="I194" s="1465"/>
      <c r="J194" s="1465"/>
      <c r="K194" s="1465"/>
    </row>
    <row r="195" spans="1:11" ht="12.75" customHeight="1" x14ac:dyDescent="0.2">
      <c r="A195" s="427" t="s">
        <v>1438</v>
      </c>
      <c r="B195" s="429">
        <v>4226</v>
      </c>
      <c r="C195" s="1522"/>
      <c r="D195" s="1465"/>
      <c r="E195" s="1530"/>
      <c r="F195" s="1465"/>
      <c r="G195" s="1554"/>
      <c r="H195" s="1465"/>
      <c r="I195" s="1465"/>
      <c r="J195" s="1465"/>
      <c r="K195" s="1465"/>
    </row>
    <row r="196" spans="1:11" ht="12.75" customHeight="1" x14ac:dyDescent="0.2">
      <c r="A196" s="427" t="s">
        <v>787</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105012</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v>184745</v>
      </c>
      <c r="D200" s="1463"/>
      <c r="E200" s="1465"/>
      <c r="F200" s="1463"/>
      <c r="G200" s="1463"/>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184745</v>
      </c>
      <c r="D204" s="1523">
        <f>SUM(D200:D203)</f>
        <v>0</v>
      </c>
      <c r="E204" s="1465"/>
      <c r="F204" s="1523">
        <f>SUM(F200:F203)</f>
        <v>0</v>
      </c>
      <c r="G204" s="1523">
        <f>SUM(G200:G203)</f>
        <v>0</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v>12692</v>
      </c>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12692</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v>15186</v>
      </c>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v>731934</v>
      </c>
      <c r="D213" s="1463"/>
      <c r="E213" s="1465"/>
      <c r="F213" s="1463"/>
      <c r="G213" s="1463"/>
      <c r="H213" s="1465"/>
      <c r="I213" s="1465"/>
      <c r="J213" s="1465"/>
      <c r="K213" s="1465"/>
    </row>
    <row r="214" spans="1:11" ht="12.75" customHeight="1" x14ac:dyDescent="0.2">
      <c r="A214" s="427" t="s">
        <v>1047</v>
      </c>
      <c r="B214" s="429">
        <v>4625</v>
      </c>
      <c r="C214" s="1522"/>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747120</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v>16685</v>
      </c>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16685</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v>9558</v>
      </c>
      <c r="D255" s="1465"/>
      <c r="E255" s="1465"/>
      <c r="F255" s="1543"/>
      <c r="G255" s="1539"/>
      <c r="H255" s="1465"/>
      <c r="I255" s="1465"/>
      <c r="J255" s="1465"/>
      <c r="K255" s="1465"/>
    </row>
    <row r="256" spans="1:11" ht="12.75" customHeight="1" thickTop="1" thickBot="1" x14ac:dyDescent="0.25">
      <c r="A256" s="427" t="s">
        <v>1443</v>
      </c>
      <c r="B256" s="429">
        <v>4909</v>
      </c>
      <c r="C256" s="1541">
        <v>1400</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75815</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1897</v>
      </c>
      <c r="B261" s="429">
        <v>4981</v>
      </c>
      <c r="C261" s="1540"/>
      <c r="D261" s="1541"/>
      <c r="E261" s="1465"/>
      <c r="F261" s="1541"/>
      <c r="G261" s="1541"/>
      <c r="H261" s="1465"/>
      <c r="I261" s="1465"/>
      <c r="J261" s="1465"/>
      <c r="K261" s="1465"/>
    </row>
    <row r="262" spans="1:11" ht="12.75" customHeight="1" thickTop="1" thickBot="1" x14ac:dyDescent="0.25">
      <c r="A262" s="1430" t="s">
        <v>1898</v>
      </c>
      <c r="B262" s="429">
        <v>4982</v>
      </c>
      <c r="C262" s="1540"/>
      <c r="D262" s="1541"/>
      <c r="E262" s="1465"/>
      <c r="F262" s="1541"/>
      <c r="G262" s="1541"/>
      <c r="H262" s="1465"/>
      <c r="I262" s="1465"/>
      <c r="J262" s="1465"/>
      <c r="K262" s="1465"/>
    </row>
    <row r="263" spans="1:11" ht="12.75" customHeight="1" thickTop="1" thickBot="1" x14ac:dyDescent="0.25">
      <c r="A263" s="427" t="s">
        <v>564</v>
      </c>
      <c r="B263" s="429">
        <v>4991</v>
      </c>
      <c r="C263" s="1540">
        <v>130142</v>
      </c>
      <c r="D263" s="1541"/>
      <c r="E263" s="1465"/>
      <c r="F263" s="1541"/>
      <c r="G263" s="1541"/>
      <c r="H263" s="1465"/>
      <c r="I263" s="1465"/>
      <c r="J263" s="1465"/>
      <c r="K263" s="1465"/>
    </row>
    <row r="264" spans="1:11" ht="12.75" customHeight="1" thickTop="1" thickBot="1" x14ac:dyDescent="0.25">
      <c r="A264" s="427" t="s">
        <v>374</v>
      </c>
      <c r="B264" s="429">
        <v>4992</v>
      </c>
      <c r="C264" s="1540">
        <v>149190</v>
      </c>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1432359</v>
      </c>
      <c r="D266" s="1531">
        <f t="shared" si="10"/>
        <v>0</v>
      </c>
      <c r="E266" s="1531">
        <f t="shared" si="10"/>
        <v>0</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1432359</v>
      </c>
      <c r="D267" s="1531">
        <f>SUM(D175,D181,D266)</f>
        <v>0</v>
      </c>
      <c r="E267" s="1531">
        <f>SUM(E175,E266)</f>
        <v>0</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49673463</v>
      </c>
      <c r="D268" s="1531">
        <f t="shared" si="12"/>
        <v>6189868</v>
      </c>
      <c r="E268" s="1531">
        <f t="shared" si="12"/>
        <v>11830586</v>
      </c>
      <c r="F268" s="1531">
        <f t="shared" si="12"/>
        <v>5418540</v>
      </c>
      <c r="G268" s="1531">
        <f t="shared" si="12"/>
        <v>1435899</v>
      </c>
      <c r="H268" s="1531">
        <f t="shared" si="12"/>
        <v>0</v>
      </c>
      <c r="I268" s="1531">
        <f t="shared" si="12"/>
        <v>131912</v>
      </c>
      <c r="J268" s="1531">
        <f t="shared" si="12"/>
        <v>0</v>
      </c>
      <c r="K268" s="15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11" activePane="bottomLeft" state="frozen"/>
      <selection pane="bottomLeft" activeCell="D125" sqref="D1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8" t="s">
        <v>294</v>
      </c>
      <c r="B3" s="2269"/>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17892773</v>
      </c>
      <c r="D5" s="1463">
        <f>3985428+285882</f>
        <v>4271310</v>
      </c>
      <c r="E5" s="1463">
        <v>658261</v>
      </c>
      <c r="F5" s="1463">
        <v>524874</v>
      </c>
      <c r="G5" s="1463"/>
      <c r="H5" s="1463">
        <v>10427</v>
      </c>
      <c r="I5" s="1464">
        <v>56405</v>
      </c>
      <c r="J5" s="1464"/>
      <c r="K5" s="1562">
        <f>SUM(C5:J5)</f>
        <v>23414050</v>
      </c>
      <c r="L5" s="1463">
        <v>23336619</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c r="D7" s="1464"/>
      <c r="E7" s="1464"/>
      <c r="F7" s="1464"/>
      <c r="G7" s="1464"/>
      <c r="H7" s="1464"/>
      <c r="I7" s="1464"/>
      <c r="J7" s="1464"/>
      <c r="K7" s="1562">
        <f t="shared" ref="K7:K32" si="0">SUM(C7:J7)</f>
        <v>0</v>
      </c>
      <c r="L7" s="1463"/>
    </row>
    <row r="8" spans="1:14" x14ac:dyDescent="0.2">
      <c r="A8" s="1165" t="s">
        <v>163</v>
      </c>
      <c r="B8" s="503">
        <v>1200</v>
      </c>
      <c r="C8" s="1463">
        <v>3209358</v>
      </c>
      <c r="D8" s="1463">
        <f>1001513+71840</f>
        <v>1073353</v>
      </c>
      <c r="E8" s="1463">
        <v>91353</v>
      </c>
      <c r="F8" s="1463">
        <v>57274</v>
      </c>
      <c r="G8" s="1463"/>
      <c r="H8" s="1463"/>
      <c r="I8" s="1464">
        <v>987</v>
      </c>
      <c r="J8" s="1464"/>
      <c r="K8" s="1562">
        <f t="shared" si="0"/>
        <v>4432325</v>
      </c>
      <c r="L8" s="1463">
        <v>4349690</v>
      </c>
    </row>
    <row r="9" spans="1:14" x14ac:dyDescent="0.2">
      <c r="A9" s="1165" t="s">
        <v>716</v>
      </c>
      <c r="B9" s="503" t="s">
        <v>962</v>
      </c>
      <c r="C9" s="1464">
        <v>368693</v>
      </c>
      <c r="D9" s="1464">
        <f>89788+6441</f>
        <v>96229</v>
      </c>
      <c r="E9" s="1464"/>
      <c r="F9" s="1464">
        <v>2951</v>
      </c>
      <c r="G9" s="1464"/>
      <c r="H9" s="1464"/>
      <c r="I9" s="1464"/>
      <c r="J9" s="1464"/>
      <c r="K9" s="1562">
        <f t="shared" si="0"/>
        <v>467873</v>
      </c>
      <c r="L9" s="1463">
        <v>455294</v>
      </c>
    </row>
    <row r="10" spans="1:14" x14ac:dyDescent="0.2">
      <c r="A10" s="1165" t="s">
        <v>717</v>
      </c>
      <c r="B10" s="503">
        <v>1250</v>
      </c>
      <c r="C10" s="1463"/>
      <c r="D10" s="1463"/>
      <c r="E10" s="1463">
        <v>58593</v>
      </c>
      <c r="F10" s="1463">
        <v>59604</v>
      </c>
      <c r="G10" s="1463"/>
      <c r="H10" s="1463"/>
      <c r="I10" s="1464"/>
      <c r="J10" s="1464"/>
      <c r="K10" s="1562">
        <f t="shared" si="0"/>
        <v>118197</v>
      </c>
      <c r="L10" s="1463">
        <v>53409</v>
      </c>
    </row>
    <row r="11" spans="1:14" x14ac:dyDescent="0.2">
      <c r="A11" s="1165" t="s">
        <v>1122</v>
      </c>
      <c r="B11" s="503" t="s">
        <v>160</v>
      </c>
      <c r="C11" s="1464"/>
      <c r="D11" s="1464"/>
      <c r="E11" s="1464"/>
      <c r="F11" s="1464"/>
      <c r="G11" s="1464"/>
      <c r="H11" s="1464"/>
      <c r="I11" s="1464"/>
      <c r="J11" s="1464"/>
      <c r="K11" s="1562">
        <f t="shared" si="0"/>
        <v>0</v>
      </c>
      <c r="L11" s="1463"/>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v>167175</v>
      </c>
      <c r="D13" s="1463">
        <f>20609+1478</f>
        <v>22087</v>
      </c>
      <c r="E13" s="1463">
        <v>2354</v>
      </c>
      <c r="F13" s="1463">
        <v>11228</v>
      </c>
      <c r="G13" s="1463">
        <v>5500</v>
      </c>
      <c r="H13" s="1463"/>
      <c r="I13" s="1464">
        <v>30958</v>
      </c>
      <c r="J13" s="1464"/>
      <c r="K13" s="1562">
        <f t="shared" si="0"/>
        <v>239302</v>
      </c>
      <c r="L13" s="1463">
        <v>234195</v>
      </c>
    </row>
    <row r="14" spans="1:14" x14ac:dyDescent="0.2">
      <c r="A14" s="1165" t="s">
        <v>957</v>
      </c>
      <c r="B14" s="503">
        <v>1500</v>
      </c>
      <c r="C14" s="1463">
        <v>899469</v>
      </c>
      <c r="D14" s="1463">
        <v>60691</v>
      </c>
      <c r="E14" s="1463">
        <v>119784</v>
      </c>
      <c r="F14" s="1463">
        <v>92084</v>
      </c>
      <c r="G14" s="1463"/>
      <c r="H14" s="1463">
        <v>29113</v>
      </c>
      <c r="I14" s="1464">
        <v>2426</v>
      </c>
      <c r="J14" s="1464"/>
      <c r="K14" s="1562">
        <f t="shared" si="0"/>
        <v>1203567</v>
      </c>
      <c r="L14" s="1463">
        <v>1347330</v>
      </c>
    </row>
    <row r="15" spans="1:14" x14ac:dyDescent="0.2">
      <c r="A15" s="1165" t="s">
        <v>958</v>
      </c>
      <c r="B15" s="503">
        <v>1600</v>
      </c>
      <c r="C15" s="1463">
        <v>40536</v>
      </c>
      <c r="D15" s="1463">
        <f>816+59</f>
        <v>875</v>
      </c>
      <c r="E15" s="1463"/>
      <c r="F15" s="1463"/>
      <c r="G15" s="1463"/>
      <c r="H15" s="1463"/>
      <c r="I15" s="1464"/>
      <c r="J15" s="1464"/>
      <c r="K15" s="1562">
        <f t="shared" si="0"/>
        <v>41411</v>
      </c>
      <c r="L15" s="1463">
        <v>44909</v>
      </c>
    </row>
    <row r="16" spans="1:14" x14ac:dyDescent="0.2">
      <c r="A16" s="1165" t="s">
        <v>980</v>
      </c>
      <c r="B16" s="503" t="s">
        <v>421</v>
      </c>
      <c r="C16" s="1463"/>
      <c r="D16" s="1463"/>
      <c r="E16" s="1463"/>
      <c r="F16" s="1463"/>
      <c r="G16" s="1463"/>
      <c r="H16" s="1463"/>
      <c r="I16" s="1464"/>
      <c r="J16" s="1464"/>
      <c r="K16" s="1562">
        <f t="shared" si="0"/>
        <v>0</v>
      </c>
      <c r="L16" s="1463"/>
    </row>
    <row r="17" spans="1:12" x14ac:dyDescent="0.2">
      <c r="A17" s="1165" t="s">
        <v>719</v>
      </c>
      <c r="B17" s="503" t="s">
        <v>161</v>
      </c>
      <c r="C17" s="1464">
        <v>229864</v>
      </c>
      <c r="D17" s="1464">
        <f>44755+3210</f>
        <v>47965</v>
      </c>
      <c r="E17" s="1464">
        <v>396</v>
      </c>
      <c r="F17" s="1464">
        <v>3205</v>
      </c>
      <c r="G17" s="1464"/>
      <c r="H17" s="1464">
        <v>940</v>
      </c>
      <c r="I17" s="1464"/>
      <c r="J17" s="1464"/>
      <c r="K17" s="1562">
        <f t="shared" si="0"/>
        <v>282370</v>
      </c>
      <c r="L17" s="1463">
        <v>279099</v>
      </c>
    </row>
    <row r="18" spans="1:12" x14ac:dyDescent="0.2">
      <c r="A18" s="1165" t="s">
        <v>1080</v>
      </c>
      <c r="B18" s="503">
        <v>1800</v>
      </c>
      <c r="C18" s="1463">
        <v>200507</v>
      </c>
      <c r="D18" s="1463">
        <f>64317+4614</f>
        <v>68931</v>
      </c>
      <c r="E18" s="1463">
        <v>8716</v>
      </c>
      <c r="F18" s="1463">
        <v>6780</v>
      </c>
      <c r="G18" s="1463"/>
      <c r="H18" s="1463"/>
      <c r="I18" s="1464"/>
      <c r="J18" s="1464"/>
      <c r="K18" s="1562">
        <f t="shared" si="0"/>
        <v>284934</v>
      </c>
      <c r="L18" s="1463">
        <v>312652</v>
      </c>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c r="I21" s="1563"/>
      <c r="J21" s="1472"/>
      <c r="K21" s="1562">
        <f t="shared" si="0"/>
        <v>0</v>
      </c>
      <c r="L21" s="1467"/>
    </row>
    <row r="22" spans="1:12" x14ac:dyDescent="0.2">
      <c r="A22" s="1166" t="s">
        <v>735</v>
      </c>
      <c r="B22" s="494" t="s">
        <v>722</v>
      </c>
      <c r="C22" s="1472"/>
      <c r="D22" s="1472"/>
      <c r="E22" s="1472"/>
      <c r="F22" s="1472"/>
      <c r="G22" s="1472"/>
      <c r="H22" s="1469">
        <v>1627030</v>
      </c>
      <c r="I22" s="1563"/>
      <c r="J22" s="1472"/>
      <c r="K22" s="1562">
        <f t="shared" si="0"/>
        <v>1627030</v>
      </c>
      <c r="L22" s="1467">
        <v>1485260</v>
      </c>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c r="I32" s="1563"/>
      <c r="J32" s="1475"/>
      <c r="K32" s="1562">
        <f t="shared" si="0"/>
        <v>0</v>
      </c>
      <c r="L32" s="1467"/>
    </row>
    <row r="33" spans="1:14" ht="12.75" customHeight="1" thickBot="1" x14ac:dyDescent="0.25">
      <c r="A33" s="1270" t="s">
        <v>1652</v>
      </c>
      <c r="B33" s="1271" t="s">
        <v>566</v>
      </c>
      <c r="C33" s="1564">
        <f>SUM(C5:C32)</f>
        <v>23008375</v>
      </c>
      <c r="D33" s="1564">
        <f t="shared" ref="D33:L33" si="1">SUM(D5:D32)</f>
        <v>5641441</v>
      </c>
      <c r="E33" s="1564">
        <f t="shared" si="1"/>
        <v>939457</v>
      </c>
      <c r="F33" s="1564">
        <f t="shared" si="1"/>
        <v>758000</v>
      </c>
      <c r="G33" s="1564">
        <f t="shared" si="1"/>
        <v>5500</v>
      </c>
      <c r="H33" s="1564">
        <f t="shared" si="1"/>
        <v>1667510</v>
      </c>
      <c r="I33" s="1564">
        <f t="shared" si="1"/>
        <v>90776</v>
      </c>
      <c r="J33" s="1564">
        <f t="shared" si="1"/>
        <v>0</v>
      </c>
      <c r="K33" s="1564">
        <f t="shared" si="1"/>
        <v>32111059</v>
      </c>
      <c r="L33" s="1564">
        <f t="shared" si="1"/>
        <v>31898457</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643365</v>
      </c>
      <c r="D36" s="1476">
        <f>126806+9096</f>
        <v>135902</v>
      </c>
      <c r="E36" s="1476">
        <v>21022</v>
      </c>
      <c r="F36" s="1476">
        <v>3468</v>
      </c>
      <c r="G36" s="1476"/>
      <c r="H36" s="1476"/>
      <c r="I36" s="1464"/>
      <c r="J36" s="1464"/>
      <c r="K36" s="1562">
        <f t="shared" ref="K36:K41" si="2">SUM(C36:J36)</f>
        <v>803757</v>
      </c>
      <c r="L36" s="1463">
        <v>789789</v>
      </c>
    </row>
    <row r="37" spans="1:14" x14ac:dyDescent="0.2">
      <c r="A37" s="1165" t="s">
        <v>1083</v>
      </c>
      <c r="B37" s="503">
        <v>2120</v>
      </c>
      <c r="C37" s="1463">
        <v>954892</v>
      </c>
      <c r="D37" s="1463">
        <f>234931+16852</f>
        <v>251783</v>
      </c>
      <c r="E37" s="1463">
        <v>3446</v>
      </c>
      <c r="F37" s="1463">
        <v>7483</v>
      </c>
      <c r="G37" s="1463"/>
      <c r="H37" s="1463"/>
      <c r="I37" s="1464"/>
      <c r="J37" s="1464"/>
      <c r="K37" s="1562">
        <f t="shared" si="2"/>
        <v>1217604</v>
      </c>
      <c r="L37" s="1463">
        <v>1194110</v>
      </c>
    </row>
    <row r="38" spans="1:14" x14ac:dyDescent="0.2">
      <c r="A38" s="1165" t="s">
        <v>196</v>
      </c>
      <c r="B38" s="503">
        <v>2130</v>
      </c>
      <c r="C38" s="1463">
        <v>851332</v>
      </c>
      <c r="D38" s="1463">
        <f>141389+10142</f>
        <v>151531</v>
      </c>
      <c r="E38" s="1463">
        <v>2651</v>
      </c>
      <c r="F38" s="1463">
        <v>21932</v>
      </c>
      <c r="G38" s="1463"/>
      <c r="H38" s="1463"/>
      <c r="I38" s="1464"/>
      <c r="J38" s="1464"/>
      <c r="K38" s="1562">
        <f t="shared" si="2"/>
        <v>1027446</v>
      </c>
      <c r="L38" s="1463">
        <v>1088432</v>
      </c>
    </row>
    <row r="39" spans="1:14" x14ac:dyDescent="0.2">
      <c r="A39" s="1165" t="s">
        <v>197</v>
      </c>
      <c r="B39" s="503">
        <v>2140</v>
      </c>
      <c r="C39" s="1463">
        <v>465851</v>
      </c>
      <c r="D39" s="1463">
        <f>122764+8806</f>
        <v>131570</v>
      </c>
      <c r="E39" s="1463">
        <v>1950</v>
      </c>
      <c r="F39" s="1463">
        <v>5064</v>
      </c>
      <c r="G39" s="1463"/>
      <c r="H39" s="1463"/>
      <c r="I39" s="1464"/>
      <c r="J39" s="1464"/>
      <c r="K39" s="1562">
        <f t="shared" si="2"/>
        <v>604435</v>
      </c>
      <c r="L39" s="1463">
        <v>588923</v>
      </c>
    </row>
    <row r="40" spans="1:14" x14ac:dyDescent="0.2">
      <c r="A40" s="1165" t="s">
        <v>198</v>
      </c>
      <c r="B40" s="503">
        <v>2150</v>
      </c>
      <c r="C40" s="1463">
        <v>770800</v>
      </c>
      <c r="D40" s="1463">
        <f>185925+13337</f>
        <v>199262</v>
      </c>
      <c r="E40" s="1463">
        <v>5926</v>
      </c>
      <c r="F40" s="1463">
        <v>3626</v>
      </c>
      <c r="G40" s="1463"/>
      <c r="H40" s="1463"/>
      <c r="I40" s="1464"/>
      <c r="J40" s="1464"/>
      <c r="K40" s="1562">
        <f t="shared" si="2"/>
        <v>979614</v>
      </c>
      <c r="L40" s="1463">
        <v>936815</v>
      </c>
    </row>
    <row r="41" spans="1:14" x14ac:dyDescent="0.2">
      <c r="A41" s="1165" t="s">
        <v>1653</v>
      </c>
      <c r="B41" s="503">
        <v>2190</v>
      </c>
      <c r="C41" s="1463">
        <v>2513</v>
      </c>
      <c r="D41" s="1463">
        <v>42</v>
      </c>
      <c r="E41" s="1463"/>
      <c r="F41" s="1463"/>
      <c r="G41" s="1463"/>
      <c r="H41" s="1463"/>
      <c r="I41" s="1464"/>
      <c r="J41" s="1464"/>
      <c r="K41" s="1562">
        <f t="shared" si="2"/>
        <v>2555</v>
      </c>
      <c r="L41" s="1463">
        <v>5406</v>
      </c>
    </row>
    <row r="42" spans="1:14" ht="12.75" customHeight="1" thickBot="1" x14ac:dyDescent="0.25">
      <c r="A42" s="1270" t="s">
        <v>556</v>
      </c>
      <c r="B42" s="1271" t="s">
        <v>711</v>
      </c>
      <c r="C42" s="1564">
        <f>SUM(C36:C41)</f>
        <v>3688753</v>
      </c>
      <c r="D42" s="1564">
        <f t="shared" ref="D42:L42" si="3">SUM(D36:D41)</f>
        <v>870090</v>
      </c>
      <c r="E42" s="1564">
        <f t="shared" si="3"/>
        <v>34995</v>
      </c>
      <c r="F42" s="1564">
        <f t="shared" si="3"/>
        <v>41573</v>
      </c>
      <c r="G42" s="1564">
        <f t="shared" si="3"/>
        <v>0</v>
      </c>
      <c r="H42" s="1564">
        <f t="shared" si="3"/>
        <v>0</v>
      </c>
      <c r="I42" s="1564">
        <f t="shared" si="3"/>
        <v>0</v>
      </c>
      <c r="J42" s="1564">
        <f t="shared" si="3"/>
        <v>0</v>
      </c>
      <c r="K42" s="1564">
        <f t="shared" si="3"/>
        <v>4635411</v>
      </c>
      <c r="L42" s="1564">
        <f t="shared" si="3"/>
        <v>4603475</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1672113</v>
      </c>
      <c r="D44" s="1476">
        <f>320559+22994</f>
        <v>343553</v>
      </c>
      <c r="E44" s="1476">
        <v>137804</v>
      </c>
      <c r="F44" s="1476">
        <v>31960</v>
      </c>
      <c r="G44" s="1476"/>
      <c r="H44" s="1476">
        <v>1419</v>
      </c>
      <c r="I44" s="1464">
        <v>1168</v>
      </c>
      <c r="J44" s="1464"/>
      <c r="K44" s="1568">
        <f>SUM(C44:J44)</f>
        <v>2188017</v>
      </c>
      <c r="L44" s="1476">
        <v>2161257</v>
      </c>
    </row>
    <row r="45" spans="1:14" x14ac:dyDescent="0.2">
      <c r="A45" s="1165" t="s">
        <v>810</v>
      </c>
      <c r="B45" s="503">
        <v>2220</v>
      </c>
      <c r="C45" s="1463">
        <v>902127</v>
      </c>
      <c r="D45" s="1463">
        <f>206516+14814</f>
        <v>221330</v>
      </c>
      <c r="E45" s="1463">
        <v>346377</v>
      </c>
      <c r="F45" s="1463">
        <v>247608</v>
      </c>
      <c r="G45" s="1463">
        <v>11262</v>
      </c>
      <c r="H45" s="1463">
        <v>1084</v>
      </c>
      <c r="I45" s="1464">
        <v>142049</v>
      </c>
      <c r="J45" s="1464"/>
      <c r="K45" s="1568">
        <f>SUM(C45:J45)</f>
        <v>1871837</v>
      </c>
      <c r="L45" s="1463">
        <v>1867252</v>
      </c>
    </row>
    <row r="46" spans="1:14" x14ac:dyDescent="0.2">
      <c r="A46" s="1165" t="s">
        <v>811</v>
      </c>
      <c r="B46" s="503">
        <v>2230</v>
      </c>
      <c r="C46" s="1463">
        <v>16520</v>
      </c>
      <c r="D46" s="1463">
        <f>1900+136</f>
        <v>2036</v>
      </c>
      <c r="E46" s="1463">
        <v>92741</v>
      </c>
      <c r="F46" s="1463">
        <v>9272</v>
      </c>
      <c r="G46" s="1463"/>
      <c r="H46" s="1463"/>
      <c r="I46" s="1464"/>
      <c r="J46" s="1464"/>
      <c r="K46" s="1568">
        <f>SUM(C46:J46)</f>
        <v>120569</v>
      </c>
      <c r="L46" s="1463">
        <v>148378</v>
      </c>
    </row>
    <row r="47" spans="1:14" ht="12.75" customHeight="1" thickBot="1" x14ac:dyDescent="0.25">
      <c r="A47" s="1270" t="s">
        <v>557</v>
      </c>
      <c r="B47" s="1271" t="s">
        <v>32</v>
      </c>
      <c r="C47" s="1564">
        <f>SUM(C44:C46)</f>
        <v>2590760</v>
      </c>
      <c r="D47" s="1564">
        <f t="shared" ref="D47:K47" si="4">SUM(D44:D46)</f>
        <v>566919</v>
      </c>
      <c r="E47" s="1564">
        <f t="shared" si="4"/>
        <v>576922</v>
      </c>
      <c r="F47" s="1564">
        <f t="shared" si="4"/>
        <v>288840</v>
      </c>
      <c r="G47" s="1564">
        <f t="shared" si="4"/>
        <v>11262</v>
      </c>
      <c r="H47" s="1564">
        <f t="shared" si="4"/>
        <v>2503</v>
      </c>
      <c r="I47" s="1564">
        <f t="shared" si="4"/>
        <v>143217</v>
      </c>
      <c r="J47" s="1564">
        <f t="shared" si="4"/>
        <v>0</v>
      </c>
      <c r="K47" s="1564">
        <f t="shared" si="4"/>
        <v>4180423</v>
      </c>
      <c r="L47" s="1564">
        <f>SUM(L44:L46)</f>
        <v>4176887</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c r="D49" s="1476"/>
      <c r="E49" s="1476">
        <v>179582</v>
      </c>
      <c r="F49" s="1476">
        <v>9156</v>
      </c>
      <c r="G49" s="1476"/>
      <c r="H49" s="1476">
        <v>13644</v>
      </c>
      <c r="I49" s="1464"/>
      <c r="J49" s="1464"/>
      <c r="K49" s="1568">
        <f>SUM(C49:J49)</f>
        <v>202382</v>
      </c>
      <c r="L49" s="1476">
        <v>176890</v>
      </c>
    </row>
    <row r="50" spans="1:14" x14ac:dyDescent="0.2">
      <c r="A50" s="1165" t="s">
        <v>813</v>
      </c>
      <c r="B50" s="503">
        <v>2320</v>
      </c>
      <c r="C50" s="1463">
        <v>292934</v>
      </c>
      <c r="D50" s="1463">
        <f>47395+3400</f>
        <v>50795</v>
      </c>
      <c r="E50" s="1463">
        <v>4946</v>
      </c>
      <c r="F50" s="1463">
        <v>1519</v>
      </c>
      <c r="G50" s="1463"/>
      <c r="H50" s="1463">
        <v>2074</v>
      </c>
      <c r="I50" s="1464"/>
      <c r="J50" s="1464"/>
      <c r="K50" s="1568">
        <f>SUM(C50:J50)</f>
        <v>352268</v>
      </c>
      <c r="L50" s="1463">
        <v>347680</v>
      </c>
    </row>
    <row r="51" spans="1:14" x14ac:dyDescent="0.2">
      <c r="A51" s="1165" t="s">
        <v>42</v>
      </c>
      <c r="B51" s="503">
        <v>2330</v>
      </c>
      <c r="C51" s="1463">
        <v>287392</v>
      </c>
      <c r="D51" s="1463">
        <f>82812+5940</f>
        <v>88752</v>
      </c>
      <c r="E51" s="1463">
        <v>8127</v>
      </c>
      <c r="F51" s="1463">
        <v>1048</v>
      </c>
      <c r="G51" s="1463"/>
      <c r="H51" s="1463"/>
      <c r="I51" s="1464"/>
      <c r="J51" s="1464"/>
      <c r="K51" s="1568">
        <f>SUM(C51:J51)</f>
        <v>385319</v>
      </c>
      <c r="L51" s="1463">
        <v>374656</v>
      </c>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580326</v>
      </c>
      <c r="D53" s="1564">
        <f t="shared" ref="D53:L53" si="5">SUM(D49:D52)</f>
        <v>139547</v>
      </c>
      <c r="E53" s="1564">
        <f t="shared" si="5"/>
        <v>192655</v>
      </c>
      <c r="F53" s="1564">
        <f t="shared" si="5"/>
        <v>11723</v>
      </c>
      <c r="G53" s="1564">
        <f t="shared" si="5"/>
        <v>0</v>
      </c>
      <c r="H53" s="1564">
        <f t="shared" si="5"/>
        <v>15718</v>
      </c>
      <c r="I53" s="1564">
        <f t="shared" si="5"/>
        <v>0</v>
      </c>
      <c r="J53" s="1564">
        <f t="shared" si="5"/>
        <v>0</v>
      </c>
      <c r="K53" s="1564">
        <f t="shared" si="5"/>
        <v>939969</v>
      </c>
      <c r="L53" s="1564">
        <f t="shared" si="5"/>
        <v>899226</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1728126</v>
      </c>
      <c r="D55" s="1476">
        <f>475783+34129</f>
        <v>509912</v>
      </c>
      <c r="E55" s="1476">
        <v>33216</v>
      </c>
      <c r="F55" s="1476">
        <v>48772</v>
      </c>
      <c r="G55" s="1476"/>
      <c r="H55" s="1476">
        <v>6882</v>
      </c>
      <c r="I55" s="1464">
        <v>2947</v>
      </c>
      <c r="J55" s="1464"/>
      <c r="K55" s="1568">
        <f>SUM(C55:J55)</f>
        <v>2329855</v>
      </c>
      <c r="L55" s="1476">
        <v>2340942</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1728126</v>
      </c>
      <c r="D57" s="1569">
        <f t="shared" ref="D57:K57" si="6">SUM(D55:D56)</f>
        <v>509912</v>
      </c>
      <c r="E57" s="1569">
        <f t="shared" si="6"/>
        <v>33216</v>
      </c>
      <c r="F57" s="1569">
        <f t="shared" si="6"/>
        <v>48772</v>
      </c>
      <c r="G57" s="1569">
        <f t="shared" si="6"/>
        <v>0</v>
      </c>
      <c r="H57" s="1569">
        <f t="shared" si="6"/>
        <v>6882</v>
      </c>
      <c r="I57" s="1569">
        <f t="shared" si="6"/>
        <v>2947</v>
      </c>
      <c r="J57" s="1569">
        <f t="shared" si="6"/>
        <v>0</v>
      </c>
      <c r="K57" s="1569">
        <f t="shared" si="6"/>
        <v>2329855</v>
      </c>
      <c r="L57" s="1564">
        <f>SUM(L55:L56)</f>
        <v>2340942</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v>165255</v>
      </c>
      <c r="D59" s="1476">
        <f>31623+2268</f>
        <v>33891</v>
      </c>
      <c r="E59" s="1476"/>
      <c r="F59" s="1476"/>
      <c r="G59" s="1476"/>
      <c r="H59" s="1476"/>
      <c r="I59" s="1464"/>
      <c r="J59" s="1464"/>
      <c r="K59" s="1568">
        <f t="shared" ref="K59:K64" si="7">SUM(C59:J59)</f>
        <v>199146</v>
      </c>
      <c r="L59" s="1476">
        <v>196585</v>
      </c>
      <c r="M59" s="501"/>
      <c r="N59" s="501"/>
    </row>
    <row r="60" spans="1:14" s="321" customFormat="1" x14ac:dyDescent="0.2">
      <c r="A60" s="1165" t="s">
        <v>460</v>
      </c>
      <c r="B60" s="503">
        <v>2520</v>
      </c>
      <c r="C60" s="1463">
        <v>343587</v>
      </c>
      <c r="D60" s="1463">
        <f>93473+6705</f>
        <v>100178</v>
      </c>
      <c r="E60" s="1463">
        <v>44702</v>
      </c>
      <c r="F60" s="1463">
        <v>4329</v>
      </c>
      <c r="G60" s="1463">
        <v>10800</v>
      </c>
      <c r="H60" s="1463">
        <v>49928</v>
      </c>
      <c r="I60" s="1464">
        <v>16778</v>
      </c>
      <c r="J60" s="1464"/>
      <c r="K60" s="1568">
        <f t="shared" si="7"/>
        <v>570302</v>
      </c>
      <c r="L60" s="1463">
        <v>547795</v>
      </c>
      <c r="M60" s="501"/>
      <c r="N60" s="501"/>
    </row>
    <row r="61" spans="1:14" s="321" customFormat="1" x14ac:dyDescent="0.2">
      <c r="A61" s="1165" t="s">
        <v>195</v>
      </c>
      <c r="B61" s="503">
        <v>2540</v>
      </c>
      <c r="C61" s="1463">
        <v>144172</v>
      </c>
      <c r="D61" s="1463">
        <f>24503+1758</f>
        <v>26261</v>
      </c>
      <c r="E61" s="1463">
        <v>43145</v>
      </c>
      <c r="F61" s="1463">
        <v>3753</v>
      </c>
      <c r="G61" s="1463"/>
      <c r="H61" s="1463"/>
      <c r="I61" s="1464"/>
      <c r="J61" s="1464"/>
      <c r="K61" s="1568">
        <f t="shared" si="7"/>
        <v>217331</v>
      </c>
      <c r="L61" s="1463">
        <v>272779</v>
      </c>
      <c r="M61" s="501"/>
      <c r="N61" s="501"/>
    </row>
    <row r="62" spans="1:14" s="321" customFormat="1" x14ac:dyDescent="0.2">
      <c r="A62" s="1165" t="s">
        <v>947</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v>333521</v>
      </c>
      <c r="D63" s="1463">
        <f>135242+9701</f>
        <v>144943</v>
      </c>
      <c r="E63" s="1463">
        <v>97631</v>
      </c>
      <c r="F63" s="1463">
        <v>469278</v>
      </c>
      <c r="G63" s="1463"/>
      <c r="H63" s="1463">
        <v>34224</v>
      </c>
      <c r="I63" s="1464">
        <v>53121</v>
      </c>
      <c r="J63" s="1464"/>
      <c r="K63" s="1568">
        <f t="shared" si="7"/>
        <v>1132718</v>
      </c>
      <c r="L63" s="1463">
        <v>1366510</v>
      </c>
    </row>
    <row r="64" spans="1:14" s="501" customFormat="1" x14ac:dyDescent="0.2">
      <c r="A64" s="1170" t="s">
        <v>101</v>
      </c>
      <c r="B64" s="513">
        <v>2570</v>
      </c>
      <c r="C64" s="1476"/>
      <c r="D64" s="1476"/>
      <c r="E64" s="1476">
        <v>5983</v>
      </c>
      <c r="F64" s="1476">
        <v>500</v>
      </c>
      <c r="G64" s="1476"/>
      <c r="H64" s="1476"/>
      <c r="I64" s="1464"/>
      <c r="J64" s="1464"/>
      <c r="K64" s="1568">
        <f t="shared" si="7"/>
        <v>6483</v>
      </c>
      <c r="L64" s="1476">
        <v>6483</v>
      </c>
    </row>
    <row r="65" spans="1:14" s="321" customFormat="1" ht="12.75" customHeight="1" thickBot="1" x14ac:dyDescent="0.25">
      <c r="A65" s="1270" t="s">
        <v>714</v>
      </c>
      <c r="B65" s="1271" t="s">
        <v>35</v>
      </c>
      <c r="C65" s="1564">
        <f>SUM(C59:C64)</f>
        <v>986535</v>
      </c>
      <c r="D65" s="1564">
        <f t="shared" ref="D65:L65" si="8">SUM(D59:D64)</f>
        <v>305273</v>
      </c>
      <c r="E65" s="1564">
        <f t="shared" si="8"/>
        <v>191461</v>
      </c>
      <c r="F65" s="1564">
        <f t="shared" si="8"/>
        <v>477860</v>
      </c>
      <c r="G65" s="1564">
        <f t="shared" si="8"/>
        <v>10800</v>
      </c>
      <c r="H65" s="1564">
        <f t="shared" si="8"/>
        <v>84152</v>
      </c>
      <c r="I65" s="1564">
        <f t="shared" si="8"/>
        <v>69899</v>
      </c>
      <c r="J65" s="1564">
        <f t="shared" si="8"/>
        <v>0</v>
      </c>
      <c r="K65" s="1564">
        <f t="shared" si="8"/>
        <v>2125980</v>
      </c>
      <c r="L65" s="1564">
        <f t="shared" si="8"/>
        <v>2390152</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c r="D67" s="1463"/>
      <c r="E67" s="1463"/>
      <c r="F67" s="1463"/>
      <c r="G67" s="1463"/>
      <c r="H67" s="1463"/>
      <c r="I67" s="1464"/>
      <c r="J67" s="1464"/>
      <c r="K67" s="1568">
        <f>SUM(C67:J67)</f>
        <v>0</v>
      </c>
      <c r="L67" s="1476"/>
      <c r="M67" s="501"/>
      <c r="N67" s="501"/>
    </row>
    <row r="68" spans="1:14" s="321" customFormat="1" x14ac:dyDescent="0.2">
      <c r="A68" s="1165" t="s">
        <v>603</v>
      </c>
      <c r="B68" s="503">
        <v>2620</v>
      </c>
      <c r="C68" s="1463">
        <v>6052</v>
      </c>
      <c r="D68" s="1463">
        <f>127+9</f>
        <v>136</v>
      </c>
      <c r="E68" s="1463"/>
      <c r="F68" s="1463"/>
      <c r="G68" s="1463"/>
      <c r="H68" s="1463"/>
      <c r="I68" s="1464"/>
      <c r="J68" s="1464"/>
      <c r="K68" s="1568">
        <f>SUM(C68:J68)</f>
        <v>6188</v>
      </c>
      <c r="L68" s="1463">
        <v>22818</v>
      </c>
      <c r="M68" s="501"/>
      <c r="N68" s="501"/>
    </row>
    <row r="69" spans="1:14" s="321" customFormat="1" x14ac:dyDescent="0.2">
      <c r="A69" s="1165" t="s">
        <v>1054</v>
      </c>
      <c r="B69" s="503">
        <v>2630</v>
      </c>
      <c r="C69" s="1463">
        <v>5000</v>
      </c>
      <c r="D69" s="1463"/>
      <c r="E69" s="1463">
        <v>10353</v>
      </c>
      <c r="F69" s="1463"/>
      <c r="G69" s="1463"/>
      <c r="H69" s="1463"/>
      <c r="I69" s="1464"/>
      <c r="J69" s="1464"/>
      <c r="K69" s="1568">
        <f>SUM(C69:J69)</f>
        <v>15353</v>
      </c>
      <c r="L69" s="1463">
        <v>16850</v>
      </c>
      <c r="M69" s="501"/>
      <c r="N69" s="501"/>
    </row>
    <row r="70" spans="1:14" s="321" customFormat="1" x14ac:dyDescent="0.2">
      <c r="A70" s="1165" t="s">
        <v>400</v>
      </c>
      <c r="B70" s="503">
        <v>2640</v>
      </c>
      <c r="C70" s="1463">
        <v>203882</v>
      </c>
      <c r="D70" s="1463">
        <f>49021+3516</f>
        <v>52537</v>
      </c>
      <c r="E70" s="1463">
        <v>27432</v>
      </c>
      <c r="F70" s="1463">
        <v>1227</v>
      </c>
      <c r="G70" s="1463"/>
      <c r="H70" s="1463">
        <v>800</v>
      </c>
      <c r="I70" s="1464"/>
      <c r="J70" s="1464"/>
      <c r="K70" s="1568">
        <f>SUM(C70:J70)</f>
        <v>285878</v>
      </c>
      <c r="L70" s="1463">
        <v>281678</v>
      </c>
      <c r="M70" s="501"/>
      <c r="N70" s="501"/>
    </row>
    <row r="71" spans="1:14" s="321" customFormat="1" x14ac:dyDescent="0.2">
      <c r="A71" s="1165" t="s">
        <v>401</v>
      </c>
      <c r="B71" s="503">
        <v>2660</v>
      </c>
      <c r="C71" s="1463">
        <v>16457</v>
      </c>
      <c r="D71" s="1463"/>
      <c r="E71" s="1463"/>
      <c r="F71" s="1463"/>
      <c r="G71" s="1463"/>
      <c r="H71" s="1463"/>
      <c r="I71" s="1464"/>
      <c r="J71" s="1464"/>
      <c r="K71" s="1568">
        <f>SUM(C71:J71)</f>
        <v>16457</v>
      </c>
      <c r="L71" s="1463">
        <v>16147</v>
      </c>
      <c r="M71" s="501"/>
      <c r="N71" s="501"/>
    </row>
    <row r="72" spans="1:14" s="321" customFormat="1" ht="12.75" customHeight="1" thickBot="1" x14ac:dyDescent="0.25">
      <c r="A72" s="1270" t="s">
        <v>37</v>
      </c>
      <c r="B72" s="1273" t="s">
        <v>36</v>
      </c>
      <c r="C72" s="1564">
        <f>SUM(C67:C71)</f>
        <v>231391</v>
      </c>
      <c r="D72" s="1564">
        <f t="shared" ref="D72:K72" si="9">SUM(D67:D71)</f>
        <v>52673</v>
      </c>
      <c r="E72" s="1564">
        <f t="shared" si="9"/>
        <v>37785</v>
      </c>
      <c r="F72" s="1564">
        <f t="shared" si="9"/>
        <v>1227</v>
      </c>
      <c r="G72" s="1564">
        <f t="shared" si="9"/>
        <v>0</v>
      </c>
      <c r="H72" s="1564">
        <f t="shared" si="9"/>
        <v>800</v>
      </c>
      <c r="I72" s="1564">
        <f t="shared" si="9"/>
        <v>0</v>
      </c>
      <c r="J72" s="1564">
        <f t="shared" si="9"/>
        <v>0</v>
      </c>
      <c r="K72" s="1564">
        <f t="shared" si="9"/>
        <v>323876</v>
      </c>
      <c r="L72" s="1564">
        <f>SUM(L67:L71)</f>
        <v>337493</v>
      </c>
      <c r="M72" s="501"/>
      <c r="N72" s="501"/>
    </row>
    <row r="73" spans="1:14" s="321" customFormat="1" ht="14.25" thickTop="1" thickBot="1" x14ac:dyDescent="0.25">
      <c r="A73" s="1171" t="s">
        <v>973</v>
      </c>
      <c r="B73" s="515" t="s">
        <v>570</v>
      </c>
      <c r="C73" s="1539">
        <v>88806</v>
      </c>
      <c r="D73" s="1539">
        <v>285432</v>
      </c>
      <c r="E73" s="1539"/>
      <c r="F73" s="1539"/>
      <c r="G73" s="1539">
        <v>2079</v>
      </c>
      <c r="H73" s="1539"/>
      <c r="I73" s="1517"/>
      <c r="J73" s="1517"/>
      <c r="K73" s="1564">
        <f>SUM(C73:J73)</f>
        <v>376317</v>
      </c>
      <c r="L73" s="1541">
        <v>445299</v>
      </c>
      <c r="M73" s="501"/>
      <c r="N73" s="501"/>
    </row>
    <row r="74" spans="1:14" ht="12.75" customHeight="1" thickTop="1" thickBot="1" x14ac:dyDescent="0.25">
      <c r="A74" s="1270" t="s">
        <v>806</v>
      </c>
      <c r="B74" s="1274">
        <v>2000</v>
      </c>
      <c r="C74" s="1571">
        <f>SUM(C42,C47,C53,C57,C65,C72,C73)</f>
        <v>9894697</v>
      </c>
      <c r="D74" s="1571">
        <f t="shared" ref="D74:K74" si="10">SUM(D42,D47,D53,D57,D65,D72,D73)</f>
        <v>2729846</v>
      </c>
      <c r="E74" s="1571">
        <f t="shared" si="10"/>
        <v>1067034</v>
      </c>
      <c r="F74" s="1571">
        <f t="shared" si="10"/>
        <v>869995</v>
      </c>
      <c r="G74" s="1571">
        <f t="shared" si="10"/>
        <v>24141</v>
      </c>
      <c r="H74" s="1571">
        <f t="shared" si="10"/>
        <v>110055</v>
      </c>
      <c r="I74" s="1571">
        <f t="shared" si="10"/>
        <v>216063</v>
      </c>
      <c r="J74" s="1571">
        <f t="shared" si="10"/>
        <v>0</v>
      </c>
      <c r="K74" s="1571">
        <f t="shared" si="10"/>
        <v>14911831</v>
      </c>
      <c r="L74" s="1571">
        <f>SUM(L42,L47,L53,L57,L65,L72,L73)</f>
        <v>15193474</v>
      </c>
    </row>
    <row r="75" spans="1:14" s="254" customFormat="1" ht="15.75" customHeight="1" thickTop="1" thickBot="1" x14ac:dyDescent="0.25">
      <c r="A75" s="1239" t="s">
        <v>47</v>
      </c>
      <c r="B75" s="1240" t="s">
        <v>571</v>
      </c>
      <c r="C75" s="1539">
        <v>8493</v>
      </c>
      <c r="D75" s="1539">
        <f>544+39</f>
        <v>583</v>
      </c>
      <c r="E75" s="1539">
        <v>21206</v>
      </c>
      <c r="F75" s="1539">
        <v>10454</v>
      </c>
      <c r="G75" s="1539"/>
      <c r="H75" s="1539"/>
      <c r="I75" s="1517"/>
      <c r="J75" s="1517"/>
      <c r="K75" s="1564">
        <f>SUM(C75:J75)</f>
        <v>40736</v>
      </c>
      <c r="L75" s="1541">
        <v>37261</v>
      </c>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c r="F78" s="1563"/>
      <c r="G78" s="1563"/>
      <c r="H78" s="1572"/>
      <c r="I78" s="1472"/>
      <c r="J78" s="1472"/>
      <c r="K78" s="1562">
        <f t="shared" ref="K78:K83" si="11">SUM(C78:J78)</f>
        <v>0</v>
      </c>
      <c r="L78" s="1476"/>
    </row>
    <row r="79" spans="1:14" x14ac:dyDescent="0.2">
      <c r="A79" s="1165" t="s">
        <v>301</v>
      </c>
      <c r="B79" s="503">
        <v>4120</v>
      </c>
      <c r="C79" s="1563"/>
      <c r="D79" s="1563"/>
      <c r="E79" s="1463">
        <v>99941</v>
      </c>
      <c r="F79" s="1563"/>
      <c r="G79" s="1563"/>
      <c r="H79" s="1463">
        <v>1967552</v>
      </c>
      <c r="I79" s="1472"/>
      <c r="J79" s="1472"/>
      <c r="K79" s="1562">
        <f t="shared" si="11"/>
        <v>2067493</v>
      </c>
      <c r="L79" s="1463">
        <f>120062+1976408</f>
        <v>2096470</v>
      </c>
    </row>
    <row r="80" spans="1:14" x14ac:dyDescent="0.2">
      <c r="A80" s="1165" t="s">
        <v>302</v>
      </c>
      <c r="B80" s="503">
        <v>4130</v>
      </c>
      <c r="C80" s="1563"/>
      <c r="D80" s="1563"/>
      <c r="E80" s="1463"/>
      <c r="F80" s="1563"/>
      <c r="G80" s="1563"/>
      <c r="H80" s="1463"/>
      <c r="I80" s="1472"/>
      <c r="J80" s="1472"/>
      <c r="K80" s="1562">
        <f t="shared" si="11"/>
        <v>0</v>
      </c>
      <c r="L80" s="1463"/>
    </row>
    <row r="81" spans="1:12" x14ac:dyDescent="0.2">
      <c r="A81" s="1165" t="s">
        <v>692</v>
      </c>
      <c r="B81" s="503">
        <v>4140</v>
      </c>
      <c r="C81" s="1563"/>
      <c r="D81" s="1563"/>
      <c r="E81" s="1463"/>
      <c r="F81" s="1563"/>
      <c r="G81" s="1563"/>
      <c r="H81" s="1463">
        <v>909422</v>
      </c>
      <c r="I81" s="1472"/>
      <c r="J81" s="1472"/>
      <c r="K81" s="1562">
        <f t="shared" si="11"/>
        <v>909422</v>
      </c>
      <c r="L81" s="1463">
        <v>570000</v>
      </c>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693</v>
      </c>
      <c r="B83" s="512">
        <v>4190</v>
      </c>
      <c r="C83" s="1563"/>
      <c r="D83" s="1563"/>
      <c r="E83" s="1463"/>
      <c r="F83" s="1563"/>
      <c r="G83" s="1563"/>
      <c r="H83" s="1463">
        <v>11883</v>
      </c>
      <c r="I83" s="1472"/>
      <c r="J83" s="1472"/>
      <c r="K83" s="1562">
        <f t="shared" si="11"/>
        <v>11883</v>
      </c>
      <c r="L83" s="1463">
        <v>11000</v>
      </c>
    </row>
    <row r="84" spans="1:12" ht="13.5" thickBot="1" x14ac:dyDescent="0.25">
      <c r="A84" s="1270" t="s">
        <v>1471</v>
      </c>
      <c r="B84" s="1275">
        <v>4100</v>
      </c>
      <c r="C84" s="1563"/>
      <c r="D84" s="1563"/>
      <c r="E84" s="1564">
        <f>SUM(E78:E83)</f>
        <v>99941</v>
      </c>
      <c r="F84" s="1563"/>
      <c r="G84" s="1563"/>
      <c r="H84" s="1564">
        <f>SUM(H78:H83)</f>
        <v>2888857</v>
      </c>
      <c r="I84" s="1472"/>
      <c r="J84" s="1472"/>
      <c r="K84" s="1564">
        <f>SUM(K78:K83)</f>
        <v>2988798</v>
      </c>
      <c r="L84" s="1564">
        <f>SUM(L78:L83)</f>
        <v>2677470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c r="I86" s="1472"/>
      <c r="J86" s="1472"/>
      <c r="K86" s="1571">
        <f t="shared" ref="K86:K98" si="12">H86</f>
        <v>0</v>
      </c>
      <c r="L86" s="1516"/>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99941</v>
      </c>
      <c r="F102" s="1563"/>
      <c r="G102" s="1563"/>
      <c r="H102" s="1571">
        <f>SUM(H84,H92,H100,H101)</f>
        <v>2888857</v>
      </c>
      <c r="I102" s="1472"/>
      <c r="J102" s="1472"/>
      <c r="K102" s="1571">
        <f>SUM(K84,K92,K100,K101)</f>
        <v>2988798</v>
      </c>
      <c r="L102" s="1571">
        <f>SUM(L84,L92,L100,L101)</f>
        <v>2677470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32911565</v>
      </c>
      <c r="D114" s="1564">
        <f t="shared" ref="D114:K114" si="13">SUM(D33,D74,D75,D102,D112,D113)</f>
        <v>8371870</v>
      </c>
      <c r="E114" s="1564">
        <f t="shared" si="13"/>
        <v>2127638</v>
      </c>
      <c r="F114" s="1564">
        <f t="shared" si="13"/>
        <v>1638449</v>
      </c>
      <c r="G114" s="1564">
        <f t="shared" si="13"/>
        <v>29641</v>
      </c>
      <c r="H114" s="1564">
        <f>SUM(H33,H74,H75,H102,H112,H113)</f>
        <v>4666422</v>
      </c>
      <c r="I114" s="1564">
        <f t="shared" si="13"/>
        <v>306839</v>
      </c>
      <c r="J114" s="1564">
        <f t="shared" si="13"/>
        <v>0</v>
      </c>
      <c r="K114" s="1564">
        <f t="shared" si="13"/>
        <v>50052424</v>
      </c>
      <c r="L114" s="1564">
        <f>SUM(L33,L74,L75,L102,L112,L113)</f>
        <v>49806662</v>
      </c>
    </row>
    <row r="115" spans="1:14" ht="13.5" thickTop="1" x14ac:dyDescent="0.2">
      <c r="A115" s="2260" t="s">
        <v>989</v>
      </c>
      <c r="B115" s="2261"/>
      <c r="C115" s="1565"/>
      <c r="D115" s="1565"/>
      <c r="E115" s="1565"/>
      <c r="F115" s="1565"/>
      <c r="G115" s="1565"/>
      <c r="H115" s="1565"/>
      <c r="I115" s="1565"/>
      <c r="J115" s="1565"/>
      <c r="K115" s="1579">
        <f>'Revenues 9-14'!C268-'Expenditures 15-22'!K114</f>
        <v>-378961</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5" t="s">
        <v>293</v>
      </c>
      <c r="B117" s="2266"/>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1964</v>
      </c>
      <c r="B120" s="512" t="s">
        <v>711</v>
      </c>
      <c r="C120" s="1463"/>
      <c r="D120" s="1463"/>
      <c r="E120" s="1463"/>
      <c r="F120" s="1463"/>
      <c r="G120" s="1463"/>
      <c r="H120" s="1463"/>
      <c r="I120" s="1464"/>
      <c r="J120" s="1464"/>
      <c r="K120" s="1562">
        <f>SUM(C120:J120)</f>
        <v>0</v>
      </c>
      <c r="L120" s="1463"/>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v>190670</v>
      </c>
      <c r="F123" s="1463"/>
      <c r="G123" s="1463"/>
      <c r="H123" s="1463"/>
      <c r="I123" s="1464"/>
      <c r="J123" s="1464"/>
      <c r="K123" s="1564">
        <f>SUM(C123:J123)</f>
        <v>190670</v>
      </c>
      <c r="L123" s="1463">
        <v>110500</v>
      </c>
    </row>
    <row r="124" spans="1:14" ht="14.25" thickTop="1" thickBot="1" x14ac:dyDescent="0.25">
      <c r="A124" s="1165" t="s">
        <v>195</v>
      </c>
      <c r="B124" s="503">
        <v>2540</v>
      </c>
      <c r="C124" s="1463">
        <v>556337</v>
      </c>
      <c r="D124" s="1463">
        <f>142946+10254</f>
        <v>153200</v>
      </c>
      <c r="E124" s="1463">
        <v>2437963</v>
      </c>
      <c r="F124" s="1463">
        <v>1026314</v>
      </c>
      <c r="G124" s="1463">
        <v>75686</v>
      </c>
      <c r="H124" s="1463">
        <v>6446</v>
      </c>
      <c r="I124" s="1464">
        <v>916424</v>
      </c>
      <c r="J124" s="1464"/>
      <c r="K124" s="1564">
        <f>SUM(C124:J124)</f>
        <v>5172370</v>
      </c>
      <c r="L124" s="1463">
        <v>5629894</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556337</v>
      </c>
      <c r="D127" s="1564">
        <f t="shared" ref="D127:L127" si="14">SUM(D122:D126)</f>
        <v>153200</v>
      </c>
      <c r="E127" s="1564">
        <f t="shared" si="14"/>
        <v>2628633</v>
      </c>
      <c r="F127" s="1564">
        <f t="shared" si="14"/>
        <v>1026314</v>
      </c>
      <c r="G127" s="1564">
        <f t="shared" si="14"/>
        <v>75686</v>
      </c>
      <c r="H127" s="1564">
        <f t="shared" si="14"/>
        <v>6446</v>
      </c>
      <c r="I127" s="1564">
        <f t="shared" si="14"/>
        <v>916424</v>
      </c>
      <c r="J127" s="1564">
        <f t="shared" si="14"/>
        <v>0</v>
      </c>
      <c r="K127" s="1564">
        <f t="shared" si="14"/>
        <v>5363040</v>
      </c>
      <c r="L127" s="1564">
        <f t="shared" si="14"/>
        <v>5740394</v>
      </c>
    </row>
    <row r="128" spans="1:14" ht="12.75" customHeight="1" thickTop="1" x14ac:dyDescent="0.2">
      <c r="A128" s="1172" t="s">
        <v>973</v>
      </c>
      <c r="B128" s="531" t="s">
        <v>570</v>
      </c>
      <c r="C128" s="1585"/>
      <c r="D128" s="1585"/>
      <c r="E128" s="1585">
        <v>90396</v>
      </c>
      <c r="F128" s="1585"/>
      <c r="G128" s="1585"/>
      <c r="H128" s="1585"/>
      <c r="I128" s="1520"/>
      <c r="J128" s="1520"/>
      <c r="K128" s="1586">
        <f>SUM(C128:J128)</f>
        <v>90396</v>
      </c>
      <c r="L128" s="1585">
        <v>90396</v>
      </c>
    </row>
    <row r="129" spans="1:14" ht="12.75" customHeight="1" thickBot="1" x14ac:dyDescent="0.25">
      <c r="A129" s="1279" t="s">
        <v>806</v>
      </c>
      <c r="B129" s="1280" t="s">
        <v>565</v>
      </c>
      <c r="C129" s="1571">
        <f>SUM(C120,C127,C128)</f>
        <v>556337</v>
      </c>
      <c r="D129" s="1571">
        <f t="shared" ref="D129:L129" si="15">SUM(D120,D127,D128)</f>
        <v>153200</v>
      </c>
      <c r="E129" s="1571">
        <f t="shared" si="15"/>
        <v>2719029</v>
      </c>
      <c r="F129" s="1571">
        <f t="shared" si="15"/>
        <v>1026314</v>
      </c>
      <c r="G129" s="1571">
        <f t="shared" si="15"/>
        <v>75686</v>
      </c>
      <c r="H129" s="1571">
        <f t="shared" si="15"/>
        <v>6446</v>
      </c>
      <c r="I129" s="1571">
        <f t="shared" si="15"/>
        <v>916424</v>
      </c>
      <c r="J129" s="1571">
        <f t="shared" si="15"/>
        <v>0</v>
      </c>
      <c r="K129" s="1571">
        <f t="shared" si="15"/>
        <v>5453436</v>
      </c>
      <c r="L129" s="1571">
        <f t="shared" si="15"/>
        <v>5830790</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1817</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c r="I135" s="1472"/>
      <c r="J135" s="1563"/>
      <c r="K135" s="1568">
        <f>SUM(E135,H135)</f>
        <v>0</v>
      </c>
      <c r="L135" s="1463"/>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row>
    <row r="151" spans="1:14" ht="12.75" customHeight="1" thickTop="1" thickBot="1" x14ac:dyDescent="0.25">
      <c r="A151" s="2277" t="s">
        <v>616</v>
      </c>
      <c r="B151" s="2257"/>
      <c r="C151" s="1564">
        <f>SUM(C129,C130,C139,C149,C150)</f>
        <v>556337</v>
      </c>
      <c r="D151" s="1564">
        <f t="shared" ref="D151:K151" si="16">SUM(D129,D130,D139,D149,D150)</f>
        <v>153200</v>
      </c>
      <c r="E151" s="1564">
        <f t="shared" si="16"/>
        <v>2719029</v>
      </c>
      <c r="F151" s="1564">
        <f t="shared" si="16"/>
        <v>1026314</v>
      </c>
      <c r="G151" s="1564">
        <f t="shared" si="16"/>
        <v>75686</v>
      </c>
      <c r="H151" s="1564">
        <f t="shared" si="16"/>
        <v>6446</v>
      </c>
      <c r="I151" s="1564">
        <f t="shared" si="16"/>
        <v>916424</v>
      </c>
      <c r="J151" s="1564">
        <f t="shared" si="16"/>
        <v>0</v>
      </c>
      <c r="K151" s="1564">
        <f t="shared" si="16"/>
        <v>5453436</v>
      </c>
      <c r="L151" s="1564">
        <f>SUM(L129,L130,L139,L149,L150)</f>
        <v>5830790</v>
      </c>
    </row>
    <row r="152" spans="1:14" ht="12.75" customHeight="1" thickTop="1" x14ac:dyDescent="0.2">
      <c r="A152" s="2280" t="s">
        <v>1170</v>
      </c>
      <c r="B152" s="2281"/>
      <c r="C152" s="1565"/>
      <c r="D152" s="1565"/>
      <c r="E152" s="1565"/>
      <c r="F152" s="1565"/>
      <c r="G152" s="1565"/>
      <c r="H152" s="1565"/>
      <c r="I152" s="1565"/>
      <c r="J152" s="1563"/>
      <c r="K152" s="1579">
        <f>'Revenues 9-14'!D268-'Expenditures 15-22'!K151</f>
        <v>736432</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5" t="s">
        <v>617</v>
      </c>
      <c r="B154" s="2267"/>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1818</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1817</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1819</v>
      </c>
      <c r="C158" s="1563"/>
      <c r="D158" s="1563"/>
      <c r="E158" s="1563"/>
      <c r="F158" s="1563"/>
      <c r="G158" s="1563"/>
      <c r="H158" s="1464"/>
      <c r="I158" s="1563"/>
      <c r="J158" s="1563"/>
      <c r="K158" s="1562">
        <f>H158</f>
        <v>0</v>
      </c>
      <c r="L158" s="1464"/>
      <c r="M158" s="505"/>
      <c r="N158" s="505"/>
    </row>
    <row r="159" spans="1:14" s="506" customFormat="1" ht="12" x14ac:dyDescent="0.2">
      <c r="A159" s="1352" t="s">
        <v>1820</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1821</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2686790</v>
      </c>
      <c r="I169" s="1563"/>
      <c r="J169" s="1563"/>
      <c r="K169" s="1562">
        <f>SUM(C169:H169)</f>
        <v>2686790</v>
      </c>
      <c r="L169" s="1585">
        <v>5855450</v>
      </c>
    </row>
    <row r="170" spans="1:14" ht="33.75" customHeight="1" x14ac:dyDescent="0.2">
      <c r="A170" s="543" t="s">
        <v>1654</v>
      </c>
      <c r="B170" s="545" t="s">
        <v>31</v>
      </c>
      <c r="C170" s="1563"/>
      <c r="D170" s="1563"/>
      <c r="E170" s="1563"/>
      <c r="F170" s="1563"/>
      <c r="G170" s="1563"/>
      <c r="H170" s="1536">
        <v>9010000</v>
      </c>
      <c r="I170" s="1563"/>
      <c r="J170" s="1563"/>
      <c r="K170" s="1562">
        <f>SUM(C170:J170)</f>
        <v>9010000</v>
      </c>
      <c r="L170" s="1536">
        <v>5841340</v>
      </c>
    </row>
    <row r="171" spans="1:14" ht="15.75" customHeight="1" x14ac:dyDescent="0.2">
      <c r="A171" s="507" t="s">
        <v>761</v>
      </c>
      <c r="B171" s="546" t="s">
        <v>84</v>
      </c>
      <c r="C171" s="1563"/>
      <c r="D171" s="1563"/>
      <c r="E171" s="1463"/>
      <c r="F171" s="1563"/>
      <c r="G171" s="1563"/>
      <c r="H171" s="1536">
        <v>3503</v>
      </c>
      <c r="I171" s="1472"/>
      <c r="J171" s="1563"/>
      <c r="K171" s="1562">
        <f>SUM(C171:J171)</f>
        <v>3503</v>
      </c>
      <c r="L171" s="1536">
        <v>5000</v>
      </c>
    </row>
    <row r="172" spans="1:14" ht="12.75" customHeight="1" thickBot="1" x14ac:dyDescent="0.25">
      <c r="A172" s="1270" t="s">
        <v>633</v>
      </c>
      <c r="B172" s="1271" t="s">
        <v>489</v>
      </c>
      <c r="C172" s="1563"/>
      <c r="D172" s="1563"/>
      <c r="E172" s="1571">
        <f>SUM(E168,E169,E170,E171)</f>
        <v>0</v>
      </c>
      <c r="F172" s="1563"/>
      <c r="G172" s="1563"/>
      <c r="H172" s="1571">
        <f>SUM(H168,H169,H170,H171)</f>
        <v>11700293</v>
      </c>
      <c r="I172" s="1574"/>
      <c r="J172" s="1563"/>
      <c r="K172" s="1571">
        <f>SUM(K168,K169,K170,K171)</f>
        <v>11700293</v>
      </c>
      <c r="L172" s="1571">
        <f>SUM(L168,L169,L170,L171)</f>
        <v>11701790</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11700293</v>
      </c>
      <c r="I174" s="1574"/>
      <c r="J174" s="1563"/>
      <c r="K174" s="1571">
        <f>SUM(K160,K172,K173)</f>
        <v>11700293</v>
      </c>
      <c r="L174" s="1571">
        <f>SUM(L160,L172,L173)</f>
        <v>11701790</v>
      </c>
    </row>
    <row r="175" spans="1:14" ht="13.5" thickTop="1" x14ac:dyDescent="0.2">
      <c r="A175" s="2260" t="s">
        <v>989</v>
      </c>
      <c r="B175" s="2261"/>
      <c r="C175" s="1563"/>
      <c r="D175" s="1563"/>
      <c r="E175" s="1563"/>
      <c r="F175" s="1563"/>
      <c r="G175" s="1563"/>
      <c r="H175" s="1565"/>
      <c r="I175" s="1563"/>
      <c r="J175" s="1563"/>
      <c r="K175" s="1579">
        <f>'Revenues 9-14'!E268-'Expenditures 15-22'!K174</f>
        <v>130293</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1964</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v>1723518</v>
      </c>
      <c r="D182" s="1463">
        <v>196183</v>
      </c>
      <c r="E182" s="1463">
        <v>2002416</v>
      </c>
      <c r="F182" s="1463">
        <v>455621</v>
      </c>
      <c r="G182" s="1463">
        <v>48635</v>
      </c>
      <c r="H182" s="1463">
        <v>1058</v>
      </c>
      <c r="I182" s="1464">
        <v>351566</v>
      </c>
      <c r="J182" s="1464"/>
      <c r="K182" s="1562">
        <f>SUM(C182:J182)</f>
        <v>4778997</v>
      </c>
      <c r="L182" s="1463">
        <v>5245939</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1723518</v>
      </c>
      <c r="D184" s="1571">
        <f t="shared" ref="D184:J184" si="17">SUM(D180,D182,D183)</f>
        <v>196183</v>
      </c>
      <c r="E184" s="1571">
        <f t="shared" si="17"/>
        <v>2002416</v>
      </c>
      <c r="F184" s="1571">
        <f t="shared" si="17"/>
        <v>455621</v>
      </c>
      <c r="G184" s="1571">
        <f t="shared" si="17"/>
        <v>48635</v>
      </c>
      <c r="H184" s="1571">
        <f t="shared" si="17"/>
        <v>1058</v>
      </c>
      <c r="I184" s="1571">
        <f t="shared" si="17"/>
        <v>351566</v>
      </c>
      <c r="J184" s="1571">
        <f t="shared" si="17"/>
        <v>0</v>
      </c>
      <c r="K184" s="1571">
        <f>SUM(K180,K182,K183)</f>
        <v>4778997</v>
      </c>
      <c r="L184" s="1571">
        <f>SUM(L180, L182:L183)</f>
        <v>5245939</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1723518</v>
      </c>
      <c r="D210" s="1564">
        <f>SUM(D184,D185)</f>
        <v>196183</v>
      </c>
      <c r="E210" s="1564">
        <f>SUM(E184,E185,E196)</f>
        <v>2002416</v>
      </c>
      <c r="F210" s="1564">
        <f>SUM(F184,F185)</f>
        <v>455621</v>
      </c>
      <c r="G210" s="1564">
        <f>SUM(G184,G185)</f>
        <v>48635</v>
      </c>
      <c r="H210" s="1564">
        <f>SUM(H184,H185,H196,H208,H209)</f>
        <v>1058</v>
      </c>
      <c r="I210" s="1564">
        <f>SUM(I184,I185)</f>
        <v>351566</v>
      </c>
      <c r="J210" s="1564">
        <f>SUM(J184,J185)</f>
        <v>0</v>
      </c>
      <c r="K210" s="1562">
        <f>SUM(K184,K185,K196,K208,K209)</f>
        <v>4778997</v>
      </c>
      <c r="L210" s="1564">
        <f>SUM(L184,L185,L196,L208,L209)</f>
        <v>5245939</v>
      </c>
    </row>
    <row r="211" spans="1:14" ht="13.5" thickTop="1" x14ac:dyDescent="0.2">
      <c r="A211" s="2260" t="s">
        <v>989</v>
      </c>
      <c r="B211" s="2261"/>
      <c r="C211" s="1565"/>
      <c r="D211" s="1565"/>
      <c r="E211" s="1565"/>
      <c r="F211" s="1565"/>
      <c r="G211" s="1565"/>
      <c r="H211" s="1565"/>
      <c r="I211" s="1563"/>
      <c r="J211" s="1563"/>
      <c r="K211" s="1579">
        <f>'Revenues 9-14'!F268-'Expenditures 15-22'!K210</f>
        <v>639543</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2" t="s">
        <v>959</v>
      </c>
      <c r="B213" s="2283"/>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v>290762</v>
      </c>
      <c r="E215" s="1563"/>
      <c r="F215" s="1563"/>
      <c r="G215" s="1563"/>
      <c r="H215" s="1563"/>
      <c r="I215" s="1563"/>
      <c r="J215" s="1563"/>
      <c r="K215" s="1562">
        <f>D215</f>
        <v>290762</v>
      </c>
      <c r="L215" s="1463">
        <v>312052</v>
      </c>
    </row>
    <row r="216" spans="1:14" x14ac:dyDescent="0.2">
      <c r="A216" s="1165" t="s">
        <v>162</v>
      </c>
      <c r="B216" s="503" t="s">
        <v>961</v>
      </c>
      <c r="C216" s="1563"/>
      <c r="D216" s="1464"/>
      <c r="E216" s="1563"/>
      <c r="F216" s="1563"/>
      <c r="G216" s="1563"/>
      <c r="H216" s="1563"/>
      <c r="I216" s="1563"/>
      <c r="J216" s="1563"/>
      <c r="K216" s="1562">
        <f t="shared" ref="K216:K228" si="19">D216</f>
        <v>0</v>
      </c>
      <c r="L216" s="1463"/>
    </row>
    <row r="217" spans="1:14" x14ac:dyDescent="0.2">
      <c r="A217" s="1165" t="s">
        <v>163</v>
      </c>
      <c r="B217" s="503">
        <v>1200</v>
      </c>
      <c r="C217" s="1563"/>
      <c r="D217" s="1463">
        <v>176768</v>
      </c>
      <c r="E217" s="1563"/>
      <c r="F217" s="1563"/>
      <c r="G217" s="1563"/>
      <c r="H217" s="1563"/>
      <c r="I217" s="1563"/>
      <c r="J217" s="1563"/>
      <c r="K217" s="1562">
        <f t="shared" si="19"/>
        <v>176768</v>
      </c>
      <c r="L217" s="1463">
        <v>214730</v>
      </c>
    </row>
    <row r="218" spans="1:14" x14ac:dyDescent="0.2">
      <c r="A218" s="1165" t="s">
        <v>276</v>
      </c>
      <c r="B218" s="503" t="s">
        <v>962</v>
      </c>
      <c r="C218" s="1563"/>
      <c r="D218" s="1464">
        <v>22378</v>
      </c>
      <c r="E218" s="1563"/>
      <c r="F218" s="1563"/>
      <c r="G218" s="1563"/>
      <c r="H218" s="1563"/>
      <c r="I218" s="1563"/>
      <c r="J218" s="1563"/>
      <c r="K218" s="1562">
        <f t="shared" si="19"/>
        <v>22378</v>
      </c>
      <c r="L218" s="1463">
        <v>27056</v>
      </c>
    </row>
    <row r="219" spans="1:14" x14ac:dyDescent="0.2">
      <c r="A219" s="1165" t="s">
        <v>277</v>
      </c>
      <c r="B219" s="503">
        <v>1250</v>
      </c>
      <c r="C219" s="1563"/>
      <c r="D219" s="1463"/>
      <c r="E219" s="1563"/>
      <c r="F219" s="1563"/>
      <c r="G219" s="1563"/>
      <c r="H219" s="1563"/>
      <c r="I219" s="1563"/>
      <c r="J219" s="1563"/>
      <c r="K219" s="1562">
        <f t="shared" si="19"/>
        <v>0</v>
      </c>
      <c r="L219" s="1463"/>
    </row>
    <row r="220" spans="1:14" x14ac:dyDescent="0.2">
      <c r="A220" s="1165" t="s">
        <v>278</v>
      </c>
      <c r="B220" s="503" t="s">
        <v>160</v>
      </c>
      <c r="C220" s="1563"/>
      <c r="D220" s="1464"/>
      <c r="E220" s="1563"/>
      <c r="F220" s="1563"/>
      <c r="G220" s="1563"/>
      <c r="H220" s="1563"/>
      <c r="I220" s="1563"/>
      <c r="J220" s="1563"/>
      <c r="K220" s="1562">
        <f t="shared" si="19"/>
        <v>0</v>
      </c>
      <c r="L220" s="1463"/>
    </row>
    <row r="221" spans="1:14" x14ac:dyDescent="0.2">
      <c r="A221" s="1165" t="s">
        <v>956</v>
      </c>
      <c r="B221" s="503">
        <v>1300</v>
      </c>
      <c r="C221" s="1563"/>
      <c r="D221" s="1463">
        <v>27</v>
      </c>
      <c r="E221" s="1563"/>
      <c r="F221" s="1563"/>
      <c r="G221" s="1563"/>
      <c r="H221" s="1563"/>
      <c r="I221" s="1563"/>
      <c r="J221" s="1563"/>
      <c r="K221" s="1562">
        <f t="shared" si="19"/>
        <v>27</v>
      </c>
      <c r="L221" s="1463"/>
    </row>
    <row r="222" spans="1:14" x14ac:dyDescent="0.2">
      <c r="A222" s="1165" t="s">
        <v>718</v>
      </c>
      <c r="B222" s="503">
        <v>1400</v>
      </c>
      <c r="C222" s="1563"/>
      <c r="D222" s="1463">
        <v>14477</v>
      </c>
      <c r="E222" s="1563"/>
      <c r="F222" s="1563"/>
      <c r="G222" s="1563"/>
      <c r="H222" s="1563"/>
      <c r="I222" s="1563"/>
      <c r="J222" s="1563"/>
      <c r="K222" s="1562">
        <f t="shared" si="19"/>
        <v>14477</v>
      </c>
      <c r="L222" s="1463">
        <v>15074</v>
      </c>
    </row>
    <row r="223" spans="1:14" x14ac:dyDescent="0.2">
      <c r="A223" s="1165" t="s">
        <v>957</v>
      </c>
      <c r="B223" s="503">
        <v>1500</v>
      </c>
      <c r="C223" s="1563"/>
      <c r="D223" s="1463">
        <v>26043</v>
      </c>
      <c r="E223" s="1563"/>
      <c r="F223" s="1563"/>
      <c r="G223" s="1563"/>
      <c r="H223" s="1563"/>
      <c r="I223" s="1563"/>
      <c r="J223" s="1563"/>
      <c r="K223" s="1562">
        <f t="shared" si="19"/>
        <v>26043</v>
      </c>
      <c r="L223" s="1463">
        <v>33321</v>
      </c>
    </row>
    <row r="224" spans="1:14" x14ac:dyDescent="0.2">
      <c r="A224" s="1165" t="s">
        <v>958</v>
      </c>
      <c r="B224" s="503">
        <v>1600</v>
      </c>
      <c r="C224" s="1563"/>
      <c r="D224" s="1463">
        <v>801</v>
      </c>
      <c r="E224" s="1563"/>
      <c r="F224" s="1563"/>
      <c r="G224" s="1563"/>
      <c r="H224" s="1563"/>
      <c r="I224" s="1563"/>
      <c r="J224" s="1563"/>
      <c r="K224" s="1562">
        <f t="shared" si="19"/>
        <v>801</v>
      </c>
      <c r="L224" s="1463">
        <v>1460</v>
      </c>
    </row>
    <row r="225" spans="1:12" x14ac:dyDescent="0.2">
      <c r="A225" s="1165" t="s">
        <v>980</v>
      </c>
      <c r="B225" s="503">
        <v>1650</v>
      </c>
      <c r="C225" s="1563"/>
      <c r="D225" s="1463"/>
      <c r="E225" s="1563"/>
      <c r="F225" s="1563"/>
      <c r="G225" s="1563"/>
      <c r="H225" s="1563"/>
      <c r="I225" s="1563"/>
      <c r="J225" s="1563"/>
      <c r="K225" s="1562">
        <f t="shared" si="19"/>
        <v>0</v>
      </c>
      <c r="L225" s="1463"/>
    </row>
    <row r="226" spans="1:12" x14ac:dyDescent="0.2">
      <c r="A226" s="1165" t="s">
        <v>719</v>
      </c>
      <c r="B226" s="503" t="s">
        <v>161</v>
      </c>
      <c r="C226" s="1563"/>
      <c r="D226" s="1464">
        <v>2977</v>
      </c>
      <c r="E226" s="1563"/>
      <c r="F226" s="1563"/>
      <c r="G226" s="1563"/>
      <c r="H226" s="1563"/>
      <c r="I226" s="1563"/>
      <c r="J226" s="1563"/>
      <c r="K226" s="1562">
        <f t="shared" si="19"/>
        <v>2977</v>
      </c>
      <c r="L226" s="1463">
        <v>3163</v>
      </c>
    </row>
    <row r="227" spans="1:12" x14ac:dyDescent="0.2">
      <c r="A227" s="1165" t="s">
        <v>1080</v>
      </c>
      <c r="B227" s="503">
        <v>1800</v>
      </c>
      <c r="C227" s="1563"/>
      <c r="D227" s="1463">
        <v>2720</v>
      </c>
      <c r="E227" s="1563"/>
      <c r="F227" s="1563"/>
      <c r="G227" s="1563"/>
      <c r="H227" s="1563"/>
      <c r="I227" s="1563"/>
      <c r="J227" s="1563"/>
      <c r="K227" s="1562">
        <f t="shared" si="19"/>
        <v>2720</v>
      </c>
      <c r="L227" s="1463">
        <v>3189</v>
      </c>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536953</v>
      </c>
      <c r="E229" s="1563"/>
      <c r="F229" s="1563"/>
      <c r="G229" s="1563"/>
      <c r="H229" s="1563"/>
      <c r="I229" s="1563"/>
      <c r="J229" s="1563"/>
      <c r="K229" s="1564">
        <f>SUM(K215:K228)</f>
        <v>536953</v>
      </c>
      <c r="L229" s="1564">
        <f>SUM(L215:L228)</f>
        <v>610045</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21910</v>
      </c>
      <c r="E232" s="1563"/>
      <c r="F232" s="1563"/>
      <c r="G232" s="1563"/>
      <c r="H232" s="1563"/>
      <c r="I232" s="1563"/>
      <c r="J232" s="1563"/>
      <c r="K232" s="1562">
        <f t="shared" ref="K232:K237" si="20">D232</f>
        <v>21910</v>
      </c>
      <c r="L232" s="1463">
        <v>23173</v>
      </c>
    </row>
    <row r="233" spans="1:12" x14ac:dyDescent="0.2">
      <c r="A233" s="1165" t="s">
        <v>1083</v>
      </c>
      <c r="B233" s="503">
        <v>2120</v>
      </c>
      <c r="C233" s="1563"/>
      <c r="D233" s="1463">
        <v>34457</v>
      </c>
      <c r="E233" s="1563"/>
      <c r="F233" s="1563"/>
      <c r="G233" s="1563"/>
      <c r="H233" s="1563"/>
      <c r="I233" s="1563"/>
      <c r="J233" s="1563"/>
      <c r="K233" s="1562">
        <f t="shared" si="20"/>
        <v>34457</v>
      </c>
      <c r="L233" s="1463">
        <v>36354</v>
      </c>
    </row>
    <row r="234" spans="1:12" x14ac:dyDescent="0.2">
      <c r="A234" s="1165" t="s">
        <v>196</v>
      </c>
      <c r="B234" s="503">
        <v>2130</v>
      </c>
      <c r="C234" s="1563"/>
      <c r="D234" s="1463">
        <v>102116</v>
      </c>
      <c r="E234" s="1563"/>
      <c r="F234" s="1563"/>
      <c r="G234" s="1563"/>
      <c r="H234" s="1563"/>
      <c r="I234" s="1563"/>
      <c r="J234" s="1563"/>
      <c r="K234" s="1562">
        <f t="shared" si="20"/>
        <v>102116</v>
      </c>
      <c r="L234" s="1463">
        <v>116445</v>
      </c>
    </row>
    <row r="235" spans="1:12" x14ac:dyDescent="0.2">
      <c r="A235" s="1165" t="s">
        <v>197</v>
      </c>
      <c r="B235" s="503">
        <v>2140</v>
      </c>
      <c r="C235" s="1563"/>
      <c r="D235" s="1463">
        <v>6342</v>
      </c>
      <c r="E235" s="1563"/>
      <c r="F235" s="1563"/>
      <c r="G235" s="1563"/>
      <c r="H235" s="1563"/>
      <c r="I235" s="1563"/>
      <c r="J235" s="1563"/>
      <c r="K235" s="1562">
        <f t="shared" si="20"/>
        <v>6342</v>
      </c>
      <c r="L235" s="1463">
        <v>6708</v>
      </c>
    </row>
    <row r="236" spans="1:12" x14ac:dyDescent="0.2">
      <c r="A236" s="1165" t="s">
        <v>198</v>
      </c>
      <c r="B236" s="503">
        <v>2150</v>
      </c>
      <c r="C236" s="1563"/>
      <c r="D236" s="1463">
        <v>10431</v>
      </c>
      <c r="E236" s="1563"/>
      <c r="F236" s="1563"/>
      <c r="G236" s="1563"/>
      <c r="H236" s="1563"/>
      <c r="I236" s="1563"/>
      <c r="J236" s="1563"/>
      <c r="K236" s="1562">
        <f t="shared" si="20"/>
        <v>10431</v>
      </c>
      <c r="L236" s="1463">
        <v>10977</v>
      </c>
    </row>
    <row r="237" spans="1:12" x14ac:dyDescent="0.2">
      <c r="A237" s="1165" t="s">
        <v>164</v>
      </c>
      <c r="B237" s="503">
        <v>2190</v>
      </c>
      <c r="C237" s="1563"/>
      <c r="D237" s="1463"/>
      <c r="E237" s="1563"/>
      <c r="F237" s="1563"/>
      <c r="G237" s="1563"/>
      <c r="H237" s="1563"/>
      <c r="I237" s="1563"/>
      <c r="J237" s="1563"/>
      <c r="K237" s="1562">
        <f t="shared" si="20"/>
        <v>0</v>
      </c>
      <c r="L237" s="1463"/>
    </row>
    <row r="238" spans="1:12" ht="12.75" customHeight="1" thickBot="1" x14ac:dyDescent="0.25">
      <c r="A238" s="1270" t="s">
        <v>556</v>
      </c>
      <c r="B238" s="1273" t="s">
        <v>711</v>
      </c>
      <c r="C238" s="1563"/>
      <c r="D238" s="1564">
        <f>SUM(D232:D237)</f>
        <v>175256</v>
      </c>
      <c r="E238" s="1563"/>
      <c r="F238" s="1563"/>
      <c r="G238" s="1563"/>
      <c r="H238" s="1563"/>
      <c r="I238" s="1563"/>
      <c r="J238" s="1563"/>
      <c r="K238" s="1564">
        <f>SUM(K232:K237)</f>
        <v>175256</v>
      </c>
      <c r="L238" s="1564">
        <f>SUM(L232:L237)</f>
        <v>193657</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v>27148</v>
      </c>
      <c r="E240" s="1563"/>
      <c r="F240" s="1563"/>
      <c r="G240" s="1563"/>
      <c r="H240" s="1563"/>
      <c r="I240" s="1563"/>
      <c r="J240" s="1563"/>
      <c r="K240" s="1568">
        <f>D240</f>
        <v>27148</v>
      </c>
      <c r="L240" s="1476">
        <v>27410</v>
      </c>
    </row>
    <row r="241" spans="1:12" x14ac:dyDescent="0.2">
      <c r="A241" s="1165" t="s">
        <v>810</v>
      </c>
      <c r="B241" s="503">
        <v>2220</v>
      </c>
      <c r="C241" s="1563"/>
      <c r="D241" s="1463">
        <v>124495</v>
      </c>
      <c r="E241" s="1563"/>
      <c r="F241" s="1563"/>
      <c r="G241" s="1563"/>
      <c r="H241" s="1563"/>
      <c r="I241" s="1563"/>
      <c r="J241" s="1563"/>
      <c r="K241" s="1568">
        <f>D241</f>
        <v>124495</v>
      </c>
      <c r="L241" s="1463">
        <v>135483</v>
      </c>
    </row>
    <row r="242" spans="1:12" x14ac:dyDescent="0.2">
      <c r="A242" s="1165" t="s">
        <v>811</v>
      </c>
      <c r="B242" s="503">
        <v>2230</v>
      </c>
      <c r="C242" s="1563"/>
      <c r="D242" s="1463">
        <v>237</v>
      </c>
      <c r="E242" s="1563"/>
      <c r="F242" s="1563"/>
      <c r="G242" s="1563"/>
      <c r="H242" s="1563"/>
      <c r="I242" s="1563"/>
      <c r="J242" s="1563"/>
      <c r="K242" s="1568">
        <f>D242</f>
        <v>237</v>
      </c>
      <c r="L242" s="1463">
        <v>398</v>
      </c>
    </row>
    <row r="243" spans="1:12" ht="12.75" customHeight="1" thickBot="1" x14ac:dyDescent="0.25">
      <c r="A243" s="1286" t="s">
        <v>557</v>
      </c>
      <c r="B243" s="1287">
        <v>2200</v>
      </c>
      <c r="C243" s="1563"/>
      <c r="D243" s="1564">
        <f>SUM(D240:D242)</f>
        <v>151880</v>
      </c>
      <c r="E243" s="1563"/>
      <c r="F243" s="1563"/>
      <c r="G243" s="1563"/>
      <c r="H243" s="1563"/>
      <c r="I243" s="1563"/>
      <c r="J243" s="1563"/>
      <c r="K243" s="1564">
        <f>SUM(K240:K242)</f>
        <v>151880</v>
      </c>
      <c r="L243" s="1564">
        <f>SUM(L240:L242)</f>
        <v>163291</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c r="E245" s="1563"/>
      <c r="F245" s="1563"/>
      <c r="G245" s="1563"/>
      <c r="H245" s="1563"/>
      <c r="I245" s="1563"/>
      <c r="J245" s="1563"/>
      <c r="K245" s="1568">
        <f>D245</f>
        <v>0</v>
      </c>
      <c r="L245" s="1476"/>
    </row>
    <row r="246" spans="1:12" x14ac:dyDescent="0.2">
      <c r="A246" s="1165" t="s">
        <v>813</v>
      </c>
      <c r="B246" s="503">
        <v>2320</v>
      </c>
      <c r="C246" s="1563"/>
      <c r="D246" s="1463">
        <v>15176</v>
      </c>
      <c r="E246" s="1563"/>
      <c r="F246" s="1563"/>
      <c r="G246" s="1563"/>
      <c r="H246" s="1563"/>
      <c r="I246" s="1563"/>
      <c r="J246" s="1563"/>
      <c r="K246" s="1568">
        <f t="shared" ref="K246:K256" si="21">D246</f>
        <v>15176</v>
      </c>
      <c r="L246" s="1463">
        <v>15616</v>
      </c>
    </row>
    <row r="247" spans="1:12" x14ac:dyDescent="0.2">
      <c r="A247" s="1165" t="s">
        <v>814</v>
      </c>
      <c r="B247" s="503">
        <v>2330</v>
      </c>
      <c r="C247" s="1563"/>
      <c r="D247" s="1463">
        <v>14700</v>
      </c>
      <c r="E247" s="1563"/>
      <c r="F247" s="1563"/>
      <c r="G247" s="1563"/>
      <c r="H247" s="1563"/>
      <c r="I247" s="1563"/>
      <c r="J247" s="1563"/>
      <c r="K247" s="1568">
        <f t="shared" si="21"/>
        <v>14700</v>
      </c>
      <c r="L247" s="1463">
        <v>15719</v>
      </c>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1783</v>
      </c>
      <c r="B249" s="557" t="s">
        <v>280</v>
      </c>
      <c r="C249" s="1563"/>
      <c r="D249" s="1469"/>
      <c r="E249" s="1563"/>
      <c r="F249" s="1563"/>
      <c r="G249" s="1563"/>
      <c r="H249" s="1563"/>
      <c r="I249" s="1563"/>
      <c r="J249" s="1563"/>
      <c r="K249" s="1568">
        <f t="shared" si="21"/>
        <v>0</v>
      </c>
      <c r="L249" s="1463"/>
    </row>
    <row r="250" spans="1:12" x14ac:dyDescent="0.2">
      <c r="A250" s="1166" t="s">
        <v>1784</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c r="E254" s="1563"/>
      <c r="F254" s="1563"/>
      <c r="G254" s="1563"/>
      <c r="H254" s="1563"/>
      <c r="I254" s="1563"/>
      <c r="J254" s="1563"/>
      <c r="K254" s="1568">
        <f t="shared" si="21"/>
        <v>0</v>
      </c>
      <c r="L254" s="1463"/>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29876</v>
      </c>
      <c r="E257" s="1563"/>
      <c r="F257" s="1563"/>
      <c r="G257" s="1563"/>
      <c r="H257" s="1563"/>
      <c r="I257" s="1563"/>
      <c r="J257" s="1563"/>
      <c r="K257" s="1564">
        <f>SUM(K245:K256)</f>
        <v>29876</v>
      </c>
      <c r="L257" s="1564">
        <f>SUM(L245:L256)</f>
        <v>31335</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v>104247</v>
      </c>
      <c r="E259" s="1563"/>
      <c r="F259" s="1563"/>
      <c r="G259" s="1563"/>
      <c r="H259" s="1563"/>
      <c r="I259" s="1563"/>
      <c r="J259" s="1563"/>
      <c r="K259" s="1568">
        <f>D259</f>
        <v>104247</v>
      </c>
      <c r="L259" s="1476">
        <v>98175</v>
      </c>
    </row>
    <row r="260" spans="1:14" s="493" customFormat="1" x14ac:dyDescent="0.2">
      <c r="A260" s="1183" t="s">
        <v>1782</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104247</v>
      </c>
      <c r="E261" s="1563"/>
      <c r="F261" s="1563"/>
      <c r="G261" s="1563"/>
      <c r="H261" s="1563"/>
      <c r="I261" s="1563"/>
      <c r="J261" s="1563"/>
      <c r="K261" s="1564">
        <f>SUM(K259:K260)</f>
        <v>104247</v>
      </c>
      <c r="L261" s="1564">
        <f>SUM(L259:L260)</f>
        <v>98175</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v>2379</v>
      </c>
      <c r="E263" s="1563"/>
      <c r="F263" s="1563"/>
      <c r="G263" s="1563"/>
      <c r="H263" s="1563"/>
      <c r="I263" s="1563"/>
      <c r="J263" s="1563"/>
      <c r="K263" s="1568">
        <f>D263</f>
        <v>2379</v>
      </c>
      <c r="L263" s="1476">
        <v>2397</v>
      </c>
    </row>
    <row r="264" spans="1:14" x14ac:dyDescent="0.2">
      <c r="A264" s="1165" t="s">
        <v>460</v>
      </c>
      <c r="B264" s="559">
        <v>2520</v>
      </c>
      <c r="C264" s="1563"/>
      <c r="D264" s="1463">
        <v>58029</v>
      </c>
      <c r="E264" s="1563"/>
      <c r="F264" s="1563"/>
      <c r="G264" s="1563"/>
      <c r="H264" s="1563"/>
      <c r="I264" s="1563"/>
      <c r="J264" s="1563"/>
      <c r="K264" s="1568">
        <f t="shared" ref="K264:K269" si="22">D264</f>
        <v>58029</v>
      </c>
      <c r="L264" s="1463">
        <v>61774</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125750</v>
      </c>
      <c r="E266" s="1563"/>
      <c r="F266" s="1563"/>
      <c r="G266" s="1563"/>
      <c r="H266" s="1563"/>
      <c r="I266" s="1563"/>
      <c r="J266" s="1563"/>
      <c r="K266" s="1568">
        <f t="shared" si="22"/>
        <v>125750</v>
      </c>
      <c r="L266" s="1463">
        <v>141322</v>
      </c>
    </row>
    <row r="267" spans="1:14" x14ac:dyDescent="0.2">
      <c r="A267" s="1165" t="s">
        <v>947</v>
      </c>
      <c r="B267" s="503">
        <v>2550</v>
      </c>
      <c r="C267" s="1563"/>
      <c r="D267" s="1463">
        <v>274944</v>
      </c>
      <c r="E267" s="1563"/>
      <c r="F267" s="1563"/>
      <c r="G267" s="1563"/>
      <c r="H267" s="1563"/>
      <c r="I267" s="1563"/>
      <c r="J267" s="1563"/>
      <c r="K267" s="1568">
        <f t="shared" si="22"/>
        <v>274944</v>
      </c>
      <c r="L267" s="1463">
        <v>332962</v>
      </c>
    </row>
    <row r="268" spans="1:14" x14ac:dyDescent="0.2">
      <c r="A268" s="1165" t="s">
        <v>100</v>
      </c>
      <c r="B268" s="503">
        <v>2560</v>
      </c>
      <c r="C268" s="1563"/>
      <c r="D268" s="1463">
        <v>53953</v>
      </c>
      <c r="E268" s="1563"/>
      <c r="F268" s="1563"/>
      <c r="G268" s="1563"/>
      <c r="H268" s="1563"/>
      <c r="I268" s="1563"/>
      <c r="J268" s="1563"/>
      <c r="K268" s="1568">
        <f t="shared" si="22"/>
        <v>53953</v>
      </c>
      <c r="L268" s="1463">
        <v>64625</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714</v>
      </c>
      <c r="B270" s="1273" t="s">
        <v>35</v>
      </c>
      <c r="C270" s="1563"/>
      <c r="D270" s="1564">
        <f>SUM(D263:D269)</f>
        <v>515055</v>
      </c>
      <c r="E270" s="1563"/>
      <c r="F270" s="1563"/>
      <c r="G270" s="1563"/>
      <c r="H270" s="1563"/>
      <c r="I270" s="1563"/>
      <c r="J270" s="1563"/>
      <c r="K270" s="1564">
        <f>SUM(K263:K269)</f>
        <v>515055</v>
      </c>
      <c r="L270" s="1564">
        <f>SUM(L263:L269)</f>
        <v>603080</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c r="E272" s="1563"/>
      <c r="F272" s="1563"/>
      <c r="G272" s="1563"/>
      <c r="H272" s="1563"/>
      <c r="I272" s="1563"/>
      <c r="J272" s="1563"/>
      <c r="K272" s="1568">
        <f>D272</f>
        <v>0</v>
      </c>
      <c r="L272" s="1476"/>
    </row>
    <row r="273" spans="1:12" x14ac:dyDescent="0.2">
      <c r="A273" s="1165" t="s">
        <v>603</v>
      </c>
      <c r="B273" s="512">
        <v>2620</v>
      </c>
      <c r="C273" s="1563"/>
      <c r="D273" s="1463">
        <v>85</v>
      </c>
      <c r="E273" s="1563"/>
      <c r="F273" s="1563"/>
      <c r="G273" s="1563"/>
      <c r="H273" s="1563"/>
      <c r="I273" s="1563"/>
      <c r="J273" s="1563"/>
      <c r="K273" s="1568">
        <f>D273</f>
        <v>85</v>
      </c>
      <c r="L273" s="1463">
        <v>325</v>
      </c>
    </row>
    <row r="274" spans="1:12" ht="12" customHeight="1" x14ac:dyDescent="0.2">
      <c r="A274" s="1165" t="s">
        <v>1054</v>
      </c>
      <c r="B274" s="503">
        <v>2630</v>
      </c>
      <c r="C274" s="1563"/>
      <c r="D274" s="1463">
        <v>823</v>
      </c>
      <c r="E274" s="1563"/>
      <c r="F274" s="1563"/>
      <c r="G274" s="1563"/>
      <c r="H274" s="1563"/>
      <c r="I274" s="1563"/>
      <c r="J274" s="1563"/>
      <c r="K274" s="1568">
        <f>D274</f>
        <v>823</v>
      </c>
      <c r="L274" s="1463">
        <v>905</v>
      </c>
    </row>
    <row r="275" spans="1:12" x14ac:dyDescent="0.2">
      <c r="A275" s="1165" t="s">
        <v>400</v>
      </c>
      <c r="B275" s="503">
        <v>2640</v>
      </c>
      <c r="C275" s="1563"/>
      <c r="D275" s="1463">
        <v>11765</v>
      </c>
      <c r="E275" s="1563"/>
      <c r="F275" s="1563"/>
      <c r="G275" s="1563"/>
      <c r="H275" s="1563"/>
      <c r="I275" s="1563"/>
      <c r="J275" s="1563"/>
      <c r="K275" s="1568">
        <f>D275</f>
        <v>11765</v>
      </c>
      <c r="L275" s="1463">
        <v>12119</v>
      </c>
    </row>
    <row r="276" spans="1:12" x14ac:dyDescent="0.2">
      <c r="A276" s="1165" t="s">
        <v>401</v>
      </c>
      <c r="B276" s="503">
        <v>2660</v>
      </c>
      <c r="C276" s="1563"/>
      <c r="D276" s="1463">
        <v>2702</v>
      </c>
      <c r="E276" s="1563"/>
      <c r="F276" s="1563"/>
      <c r="G276" s="1563"/>
      <c r="H276" s="1563"/>
      <c r="I276" s="1563"/>
      <c r="J276" s="1563"/>
      <c r="K276" s="1568">
        <f>D276</f>
        <v>2702</v>
      </c>
      <c r="L276" s="1463">
        <v>2921</v>
      </c>
    </row>
    <row r="277" spans="1:12" ht="12.75" customHeight="1" thickBot="1" x14ac:dyDescent="0.25">
      <c r="A277" s="1283" t="s">
        <v>37</v>
      </c>
      <c r="B277" s="1271" t="s">
        <v>36</v>
      </c>
      <c r="C277" s="1563"/>
      <c r="D277" s="1564">
        <f>SUM(D272:D276)</f>
        <v>15375</v>
      </c>
      <c r="E277" s="1563"/>
      <c r="F277" s="1563"/>
      <c r="G277" s="1563"/>
      <c r="H277" s="1563"/>
      <c r="I277" s="1563"/>
      <c r="J277" s="1563"/>
      <c r="K277" s="1564">
        <f>SUM(K272:K276)</f>
        <v>15375</v>
      </c>
      <c r="L277" s="1564">
        <f>SUM(L272:L276)</f>
        <v>16270</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991689</v>
      </c>
      <c r="E279" s="1563"/>
      <c r="F279" s="1563"/>
      <c r="G279" s="1563"/>
      <c r="H279" s="1563"/>
      <c r="I279" s="1563"/>
      <c r="J279" s="1563"/>
      <c r="K279" s="1571">
        <f>SUM(K238,K243,K257,K261,K270,K277,K278)</f>
        <v>991689</v>
      </c>
      <c r="L279" s="1571">
        <f>SUM(L238,L243,L257,L261,L270,L277,L278)</f>
        <v>1105808</v>
      </c>
    </row>
    <row r="280" spans="1:12" ht="15.75" customHeight="1" thickTop="1" thickBot="1" x14ac:dyDescent="0.25">
      <c r="A280" s="1253" t="s">
        <v>870</v>
      </c>
      <c r="B280" s="1242">
        <v>3000</v>
      </c>
      <c r="C280" s="1563"/>
      <c r="D280" s="1541">
        <v>631</v>
      </c>
      <c r="E280" s="1563"/>
      <c r="F280" s="1563"/>
      <c r="G280" s="1563"/>
      <c r="H280" s="1563"/>
      <c r="I280" s="1563"/>
      <c r="J280" s="1563"/>
      <c r="K280" s="1577">
        <f>D280</f>
        <v>631</v>
      </c>
      <c r="L280" s="1541">
        <v>130</v>
      </c>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1817</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78" t="s">
        <v>502</v>
      </c>
      <c r="B295" s="2279"/>
      <c r="C295" s="1563"/>
      <c r="D295" s="1564">
        <f>SUM(D229,D279,D280,D285)</f>
        <v>1529273</v>
      </c>
      <c r="E295" s="1563"/>
      <c r="F295" s="1563"/>
      <c r="G295" s="1563"/>
      <c r="H295" s="1564">
        <f>H293</f>
        <v>0</v>
      </c>
      <c r="I295" s="1563"/>
      <c r="J295" s="1563"/>
      <c r="K295" s="1564">
        <f>SUM(K229,K279,K280,K285,K293,K294)</f>
        <v>1529273</v>
      </c>
      <c r="L295" s="1564">
        <f>SUM(L229,L279,L280,L285,L293,L294)</f>
        <v>1715983</v>
      </c>
    </row>
    <row r="296" spans="1:14" ht="13.5" thickTop="1" x14ac:dyDescent="0.2">
      <c r="A296" s="2260" t="s">
        <v>989</v>
      </c>
      <c r="B296" s="2261"/>
      <c r="C296" s="1563"/>
      <c r="D296" s="1565"/>
      <c r="E296" s="1563"/>
      <c r="F296" s="1563"/>
      <c r="G296" s="1563"/>
      <c r="H296" s="1597"/>
      <c r="I296" s="1563"/>
      <c r="J296" s="1563"/>
      <c r="K296" s="1579">
        <f>'Revenues 9-14'!G268-'Expenditures 15-22'!K295</f>
        <v>-93374</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0" t="s">
        <v>142</v>
      </c>
      <c r="B298" s="2264"/>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c r="F301" s="1463"/>
      <c r="G301" s="1463"/>
      <c r="H301" s="1463"/>
      <c r="I301" s="1464"/>
      <c r="J301" s="1464"/>
      <c r="K301" s="1562">
        <f>SUM(C301:J301)</f>
        <v>0</v>
      </c>
      <c r="L301" s="1464"/>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0</v>
      </c>
      <c r="F303" s="1571">
        <f t="shared" si="23"/>
        <v>0</v>
      </c>
      <c r="G303" s="1571">
        <f t="shared" si="23"/>
        <v>0</v>
      </c>
      <c r="H303" s="1571">
        <f t="shared" si="23"/>
        <v>0</v>
      </c>
      <c r="I303" s="1571">
        <f t="shared" si="23"/>
        <v>0</v>
      </c>
      <c r="J303" s="1571">
        <f t="shared" si="23"/>
        <v>0</v>
      </c>
      <c r="K303" s="1571">
        <f t="shared" si="23"/>
        <v>0</v>
      </c>
      <c r="L303" s="1571">
        <f t="shared" si="23"/>
        <v>0</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1822</v>
      </c>
      <c r="B306" s="562" t="s">
        <v>1817</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5" t="s">
        <v>275</v>
      </c>
      <c r="B312" s="2276"/>
      <c r="C312" s="1564">
        <f>SUM(C303)</f>
        <v>0</v>
      </c>
      <c r="D312" s="1564">
        <f>SUM(D303)</f>
        <v>0</v>
      </c>
      <c r="E312" s="1564">
        <f>SUM(E303,E310)</f>
        <v>0</v>
      </c>
      <c r="F312" s="1564">
        <f>SUM(F303)</f>
        <v>0</v>
      </c>
      <c r="G312" s="1564">
        <f>SUM(G303)</f>
        <v>0</v>
      </c>
      <c r="H312" s="1564">
        <f>SUM(H303,H310)</f>
        <v>0</v>
      </c>
      <c r="I312" s="1564">
        <f>SUM(I303)</f>
        <v>0</v>
      </c>
      <c r="J312" s="1564">
        <f>SUM(J303)</f>
        <v>0</v>
      </c>
      <c r="K312" s="1564">
        <f>SUM(K303,K310,K311)</f>
        <v>0</v>
      </c>
      <c r="L312" s="1564">
        <f>SUM(L303,L310,L311)</f>
        <v>0</v>
      </c>
      <c r="M312" s="539"/>
      <c r="N312" s="539"/>
    </row>
    <row r="313" spans="1:14" ht="13.5" thickTop="1" x14ac:dyDescent="0.2">
      <c r="A313" s="2271" t="s">
        <v>989</v>
      </c>
      <c r="B313" s="2272"/>
      <c r="C313" s="1567"/>
      <c r="D313" s="1567"/>
      <c r="E313" s="1567"/>
      <c r="F313" s="1567"/>
      <c r="G313" s="1567"/>
      <c r="H313" s="1567"/>
      <c r="I313" s="1567"/>
      <c r="J313" s="1567"/>
      <c r="K313" s="1586">
        <f>'Revenues 9-14'!H268-'Expenditures 15-22'!K312</f>
        <v>0</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4" t="s">
        <v>148</v>
      </c>
      <c r="B315" s="2285"/>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6" t="s">
        <v>892</v>
      </c>
      <c r="B317" s="2285"/>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1783</v>
      </c>
      <c r="B320" s="568" t="s">
        <v>280</v>
      </c>
      <c r="C320" s="1464"/>
      <c r="D320" s="1464"/>
      <c r="E320" s="1464"/>
      <c r="F320" s="1464"/>
      <c r="G320" s="1464"/>
      <c r="H320" s="1464"/>
      <c r="I320" s="1464"/>
      <c r="J320" s="1464"/>
      <c r="K320" s="1562">
        <f t="shared" ref="K320:K327" si="24">SUM(C320:J320)</f>
        <v>0</v>
      </c>
      <c r="L320" s="1464"/>
      <c r="M320" s="539"/>
      <c r="N320" s="539"/>
    </row>
    <row r="321" spans="1:14" s="548" customFormat="1" x14ac:dyDescent="0.2">
      <c r="A321" s="1180" t="s">
        <v>297</v>
      </c>
      <c r="B321" s="567" t="s">
        <v>281</v>
      </c>
      <c r="C321" s="1464"/>
      <c r="D321" s="1464"/>
      <c r="E321" s="1464"/>
      <c r="F321" s="1464"/>
      <c r="G321" s="1464"/>
      <c r="H321" s="1464"/>
      <c r="I321" s="1464"/>
      <c r="J321" s="1464"/>
      <c r="K321" s="1562">
        <f t="shared" si="24"/>
        <v>0</v>
      </c>
      <c r="L321" s="1464"/>
      <c r="M321" s="539"/>
      <c r="N321" s="539"/>
    </row>
    <row r="322" spans="1:14" s="548" customFormat="1" x14ac:dyDescent="0.2">
      <c r="A322" s="1180" t="s">
        <v>236</v>
      </c>
      <c r="B322" s="567" t="s">
        <v>282</v>
      </c>
      <c r="C322" s="1464"/>
      <c r="D322" s="1464"/>
      <c r="E322" s="1464"/>
      <c r="F322" s="1464"/>
      <c r="G322" s="1464"/>
      <c r="H322" s="1464"/>
      <c r="I322" s="1464"/>
      <c r="J322" s="1464"/>
      <c r="K322" s="1562">
        <f t="shared" si="24"/>
        <v>0</v>
      </c>
      <c r="L322" s="1464"/>
      <c r="M322" s="539"/>
      <c r="N322" s="539"/>
    </row>
    <row r="323" spans="1:14" s="548" customFormat="1" x14ac:dyDescent="0.2">
      <c r="A323" s="1180" t="s">
        <v>697</v>
      </c>
      <c r="B323" s="567" t="s">
        <v>283</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c r="D325" s="1464"/>
      <c r="E325" s="1464"/>
      <c r="F325" s="1464"/>
      <c r="G325" s="1464"/>
      <c r="H325" s="1464"/>
      <c r="I325" s="1464"/>
      <c r="J325" s="1464"/>
      <c r="K325" s="1562">
        <f t="shared" si="24"/>
        <v>0</v>
      </c>
      <c r="L325" s="1464"/>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c r="F327" s="1464"/>
      <c r="G327" s="1464"/>
      <c r="H327" s="1464"/>
      <c r="I327" s="1464"/>
      <c r="J327" s="1464"/>
      <c r="K327" s="1562">
        <f t="shared" si="24"/>
        <v>0</v>
      </c>
      <c r="L327" s="1464"/>
      <c r="M327" s="539"/>
      <c r="N327" s="539"/>
    </row>
    <row r="328" spans="1:14" s="548" customFormat="1" x14ac:dyDescent="0.2">
      <c r="A328" s="1181" t="s">
        <v>469</v>
      </c>
      <c r="B328" s="562" t="s">
        <v>1124</v>
      </c>
      <c r="C328" s="1469"/>
      <c r="D328" s="1469"/>
      <c r="E328" s="1469"/>
      <c r="F328" s="1469"/>
      <c r="G328" s="1469"/>
      <c r="H328" s="1469"/>
      <c r="I328" s="1469"/>
      <c r="J328" s="1469"/>
      <c r="K328" s="1603">
        <f>SUM(C328:J328)</f>
        <v>0</v>
      </c>
      <c r="L328" s="1469"/>
      <c r="M328" s="539"/>
      <c r="N328" s="539"/>
    </row>
    <row r="329" spans="1:14" s="548" customFormat="1" x14ac:dyDescent="0.2">
      <c r="A329" s="1181" t="s">
        <v>1125</v>
      </c>
      <c r="B329" s="562" t="s">
        <v>1126</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712</v>
      </c>
      <c r="B330" s="1271" t="s">
        <v>565</v>
      </c>
      <c r="C330" s="1564">
        <f>SUM(C319:C329)</f>
        <v>0</v>
      </c>
      <c r="D330" s="1564">
        <f t="shared" ref="D330:J330" si="25">SUM(D319:D329)</f>
        <v>0</v>
      </c>
      <c r="E330" s="1564">
        <f t="shared" si="25"/>
        <v>0</v>
      </c>
      <c r="F330" s="1564">
        <f t="shared" si="25"/>
        <v>0</v>
      </c>
      <c r="G330" s="1564">
        <f t="shared" si="25"/>
        <v>0</v>
      </c>
      <c r="H330" s="1564">
        <f t="shared" si="25"/>
        <v>0</v>
      </c>
      <c r="I330" s="1564">
        <f t="shared" si="25"/>
        <v>0</v>
      </c>
      <c r="J330" s="1564">
        <f t="shared" si="25"/>
        <v>0</v>
      </c>
      <c r="K330" s="1564">
        <f>SUM(K319:K329)</f>
        <v>0</v>
      </c>
      <c r="L330" s="1564">
        <f>SUM(L319:L329)</f>
        <v>0</v>
      </c>
      <c r="M330" s="539"/>
      <c r="N330" s="539"/>
    </row>
    <row r="331" spans="1:14" s="548" customFormat="1" ht="12.75" customHeight="1" thickTop="1" x14ac:dyDescent="0.2">
      <c r="A331" s="1357" t="s">
        <v>1823</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1817</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1819</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1824</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0</v>
      </c>
      <c r="D342" s="1564">
        <f>SUM(D330)</f>
        <v>0</v>
      </c>
      <c r="E342" s="1564">
        <f>SUM(E330)</f>
        <v>0</v>
      </c>
      <c r="F342" s="1564">
        <f>SUM(F330)</f>
        <v>0</v>
      </c>
      <c r="G342" s="1564">
        <f>SUM(G330)</f>
        <v>0</v>
      </c>
      <c r="H342" s="1564">
        <f>SUM(H330,H334,H340)</f>
        <v>0</v>
      </c>
      <c r="I342" s="1564">
        <f>SUM(I330)</f>
        <v>0</v>
      </c>
      <c r="J342" s="1564">
        <f>SUM(J330)</f>
        <v>0</v>
      </c>
      <c r="K342" s="1564">
        <f>SUM(K330,K334,K340)</f>
        <v>0</v>
      </c>
      <c r="L342" s="1571">
        <f>SUM(L330,L334,L340,L341)</f>
        <v>0</v>
      </c>
    </row>
    <row r="343" spans="1:14" ht="12.75" customHeight="1" thickTop="1" x14ac:dyDescent="0.2">
      <c r="A343" s="2273" t="s">
        <v>989</v>
      </c>
      <c r="B343" s="2274"/>
      <c r="C343" s="1563"/>
      <c r="D343" s="1563"/>
      <c r="E343" s="1563"/>
      <c r="F343" s="1563"/>
      <c r="G343" s="1563"/>
      <c r="H343" s="1563"/>
      <c r="I343" s="1563"/>
      <c r="J343" s="1563"/>
      <c r="K343" s="1579">
        <f>'Revenues 9-14'!J268-'Expenditures 15-22'!K342</f>
        <v>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3" t="s">
        <v>960</v>
      </c>
      <c r="B345" s="2264"/>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1825</v>
      </c>
      <c r="B354" s="557" t="s">
        <v>1817</v>
      </c>
      <c r="C354" s="1563"/>
      <c r="D354" s="1563"/>
      <c r="E354" s="1563"/>
      <c r="F354" s="1563"/>
      <c r="G354" s="1563"/>
      <c r="H354" s="1469"/>
      <c r="I354" s="1606"/>
      <c r="J354" s="1563"/>
      <c r="K354" s="1603">
        <f>H354</f>
        <v>0</v>
      </c>
      <c r="L354" s="1467"/>
    </row>
    <row r="355" spans="1:14" ht="12.75" customHeight="1" x14ac:dyDescent="0.2">
      <c r="A355" s="1174" t="s">
        <v>1826</v>
      </c>
      <c r="B355" s="562" t="s">
        <v>1819</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60" t="s">
        <v>989</v>
      </c>
      <c r="B368" s="2261"/>
      <c r="C368" s="1584"/>
      <c r="D368" s="1584"/>
      <c r="E368" s="1567"/>
      <c r="F368" s="1567"/>
      <c r="G368" s="1567"/>
      <c r="H368" s="1567"/>
      <c r="I368" s="1567"/>
      <c r="J368" s="1566"/>
      <c r="K368" s="1562">
        <f>'Revenues 9-14'!K268-'Expenditures 15-22'!K367</f>
        <v>0</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87" t="s">
        <v>1780</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88"/>
      <c r="B3" s="1185"/>
      <c r="C3" s="1186"/>
      <c r="D3" s="1187" t="s">
        <v>254</v>
      </c>
      <c r="E3" s="1186"/>
      <c r="F3" s="1187" t="s">
        <v>255</v>
      </c>
    </row>
    <row r="4" spans="1:8" ht="13.7" customHeight="1" x14ac:dyDescent="0.2">
      <c r="A4" s="579" t="s">
        <v>1147</v>
      </c>
      <c r="B4" s="1611">
        <f>'Revenues 9-14'!C5</f>
        <v>33174511</v>
      </c>
      <c r="C4" s="1612">
        <v>14294271</v>
      </c>
      <c r="D4" s="1613">
        <f>B4-C4</f>
        <v>18880240</v>
      </c>
      <c r="E4" s="1612">
        <v>34368099</v>
      </c>
      <c r="F4" s="1613">
        <f>E4-C4</f>
        <v>20073828</v>
      </c>
    </row>
    <row r="5" spans="1:8" ht="13.7" customHeight="1" x14ac:dyDescent="0.2">
      <c r="A5" s="579" t="s">
        <v>865</v>
      </c>
      <c r="B5" s="1614">
        <f>'Revenues 9-14'!D5</f>
        <v>5688502</v>
      </c>
      <c r="C5" s="1554">
        <v>2409608</v>
      </c>
      <c r="D5" s="1615">
        <f t="shared" ref="D5:D18" si="0">B5-C5</f>
        <v>3278894</v>
      </c>
      <c r="E5" s="1554">
        <v>5793483</v>
      </c>
      <c r="F5" s="1615">
        <f>E5-C5</f>
        <v>3383875</v>
      </c>
    </row>
    <row r="6" spans="1:8" ht="13.7" customHeight="1" x14ac:dyDescent="0.2">
      <c r="A6" s="579" t="s">
        <v>408</v>
      </c>
      <c r="B6" s="1614">
        <f>'Revenues 9-14'!E5</f>
        <v>11756470</v>
      </c>
      <c r="C6" s="1554">
        <v>5104656</v>
      </c>
      <c r="D6" s="1615">
        <f t="shared" si="0"/>
        <v>6651814</v>
      </c>
      <c r="E6" s="1554">
        <v>12273259</v>
      </c>
      <c r="F6" s="1615">
        <f t="shared" ref="F6:F18" si="1">E6-C6</f>
        <v>7168603</v>
      </c>
    </row>
    <row r="7" spans="1:8" ht="13.7" customHeight="1" x14ac:dyDescent="0.2">
      <c r="A7" s="579" t="s">
        <v>154</v>
      </c>
      <c r="B7" s="1614">
        <f>'Revenues 9-14'!F5</f>
        <v>1569229</v>
      </c>
      <c r="C7" s="1554">
        <v>735137</v>
      </c>
      <c r="D7" s="1615">
        <f t="shared" si="0"/>
        <v>834092</v>
      </c>
      <c r="E7" s="1554">
        <v>1767509</v>
      </c>
      <c r="F7" s="1615">
        <f t="shared" si="1"/>
        <v>1032372</v>
      </c>
    </row>
    <row r="8" spans="1:8" ht="13.7" customHeight="1" x14ac:dyDescent="0.2">
      <c r="A8" s="579" t="s">
        <v>1171</v>
      </c>
      <c r="B8" s="1614">
        <f>'Revenues 9-14'!G5</f>
        <v>490386</v>
      </c>
      <c r="C8" s="1554">
        <v>224626</v>
      </c>
      <c r="D8" s="1615">
        <f t="shared" si="0"/>
        <v>265760</v>
      </c>
      <c r="E8" s="1554">
        <v>540073</v>
      </c>
      <c r="F8" s="1615">
        <f t="shared" si="1"/>
        <v>315447</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98091</v>
      </c>
      <c r="C10" s="1554">
        <v>40844</v>
      </c>
      <c r="D10" s="1615">
        <f t="shared" si="0"/>
        <v>57247</v>
      </c>
      <c r="E10" s="1554">
        <v>98200</v>
      </c>
      <c r="F10" s="1615">
        <f t="shared" si="1"/>
        <v>57356</v>
      </c>
    </row>
    <row r="11" spans="1:8" x14ac:dyDescent="0.2">
      <c r="A11" s="579" t="s">
        <v>406</v>
      </c>
      <c r="B11" s="1614">
        <f>'Revenues 9-14'!J5</f>
        <v>0</v>
      </c>
      <c r="C11" s="1554"/>
      <c r="D11" s="1615">
        <f t="shared" si="0"/>
        <v>0</v>
      </c>
      <c r="E11" s="1554"/>
      <c r="F11" s="1615">
        <f t="shared" si="1"/>
        <v>0</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4217297</v>
      </c>
      <c r="C14" s="1554">
        <v>1778619</v>
      </c>
      <c r="D14" s="1615">
        <f t="shared" si="0"/>
        <v>2438678</v>
      </c>
      <c r="E14" s="1554">
        <v>4276380</v>
      </c>
      <c r="F14" s="1615">
        <f t="shared" si="1"/>
        <v>2497761</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833654</v>
      </c>
      <c r="C16" s="1554">
        <v>367569</v>
      </c>
      <c r="D16" s="1615">
        <f t="shared" si="0"/>
        <v>466085</v>
      </c>
      <c r="E16" s="1554">
        <v>883755</v>
      </c>
      <c r="F16" s="1615">
        <f t="shared" si="1"/>
        <v>516186</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57828140</v>
      </c>
      <c r="C19" s="1616">
        <f>SUM(C4:C18)</f>
        <v>24955330</v>
      </c>
      <c r="D19" s="1616">
        <f>SUM(D4:D18)</f>
        <v>32872810</v>
      </c>
      <c r="E19" s="1616">
        <f>SUM(E4:E18)</f>
        <v>60000758</v>
      </c>
      <c r="F19" s="1616">
        <f>SUM(F4:F18)</f>
        <v>35045428</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4"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1780</v>
      </c>
      <c r="B2" s="2315"/>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16" t="s">
        <v>1106</v>
      </c>
      <c r="B3" s="2317"/>
      <c r="C3" s="2310"/>
      <c r="D3" s="2311"/>
      <c r="E3" s="2311"/>
      <c r="F3" s="2312"/>
    </row>
    <row r="4" spans="1:7" ht="12.75" customHeight="1" thickBot="1" x14ac:dyDescent="0.25">
      <c r="A4" s="2304" t="s">
        <v>626</v>
      </c>
      <c r="B4" s="2305"/>
      <c r="C4" s="1546"/>
      <c r="D4" s="1546"/>
      <c r="E4" s="1546"/>
      <c r="F4" s="1622">
        <f>SUM(C4+D4)-E4</f>
        <v>0</v>
      </c>
    </row>
    <row r="5" spans="1:7" ht="15.75" customHeight="1" thickTop="1" x14ac:dyDescent="0.2">
      <c r="A5" s="2308" t="s">
        <v>1103</v>
      </c>
      <c r="B5" s="2303"/>
      <c r="C5" s="2297"/>
      <c r="D5" s="2298"/>
      <c r="E5" s="2298"/>
      <c r="F5" s="2299"/>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300" t="s">
        <v>627</v>
      </c>
      <c r="B15" s="2301"/>
      <c r="C15" s="1622">
        <f>SUM(C6:C14)</f>
        <v>0</v>
      </c>
      <c r="D15" s="1622">
        <f>SUM(D6:D14)</f>
        <v>0</v>
      </c>
      <c r="E15" s="1622">
        <f>SUM(E6:E14)</f>
        <v>0</v>
      </c>
      <c r="F15" s="1622">
        <f>SUM(F6:F14)</f>
        <v>0</v>
      </c>
      <c r="G15" s="473"/>
    </row>
    <row r="16" spans="1:7" s="197" customFormat="1" ht="15.75" customHeight="1" thickTop="1" x14ac:dyDescent="0.2">
      <c r="A16" s="2313" t="s">
        <v>1104</v>
      </c>
      <c r="B16" s="2303"/>
      <c r="C16" s="2297"/>
      <c r="D16" s="2298"/>
      <c r="E16" s="2298"/>
      <c r="F16" s="2299"/>
    </row>
    <row r="17" spans="1:11" ht="12.75" customHeight="1" thickBot="1" x14ac:dyDescent="0.25">
      <c r="A17" s="2295" t="s">
        <v>64</v>
      </c>
      <c r="B17" s="2296"/>
      <c r="C17" s="1623"/>
      <c r="D17" s="1554"/>
      <c r="E17" s="1623"/>
      <c r="F17" s="1622">
        <f>SUM(C17+D17)-E17</f>
        <v>0</v>
      </c>
    </row>
    <row r="18" spans="1:11" ht="12.75" customHeight="1" thickTop="1" thickBot="1" x14ac:dyDescent="0.25">
      <c r="A18" s="2295" t="s">
        <v>6</v>
      </c>
      <c r="B18" s="2296"/>
      <c r="C18" s="1623"/>
      <c r="D18" s="1554"/>
      <c r="E18" s="1623"/>
      <c r="F18" s="1622">
        <f>SUM(C18+D18)-E18</f>
        <v>0</v>
      </c>
    </row>
    <row r="19" spans="1:11" ht="12.75" customHeight="1" thickTop="1" thickBot="1" x14ac:dyDescent="0.25">
      <c r="A19" s="2295" t="s">
        <v>385</v>
      </c>
      <c r="B19" s="2296"/>
      <c r="C19" s="1623"/>
      <c r="D19" s="1554"/>
      <c r="E19" s="1623"/>
      <c r="F19" s="1622">
        <f>SUM(C19+D19)-E19</f>
        <v>0</v>
      </c>
    </row>
    <row r="20" spans="1:11" ht="12.75" customHeight="1" thickTop="1" thickBot="1" x14ac:dyDescent="0.25">
      <c r="A20" s="2295" t="s">
        <v>445</v>
      </c>
      <c r="B20" s="2296"/>
      <c r="C20" s="1623"/>
      <c r="D20" s="1554"/>
      <c r="E20" s="1623"/>
      <c r="F20" s="1622">
        <f>SUM(C20+D20)-E20</f>
        <v>0</v>
      </c>
    </row>
    <row r="21" spans="1:11" ht="14.25" thickTop="1" thickBot="1" x14ac:dyDescent="0.25">
      <c r="A21" s="2300" t="s">
        <v>628</v>
      </c>
      <c r="B21" s="2301"/>
      <c r="C21" s="1622">
        <f>SUM(C17:C20)</f>
        <v>0</v>
      </c>
      <c r="D21" s="1622">
        <f>SUM(D17:D20)</f>
        <v>0</v>
      </c>
      <c r="E21" s="1622">
        <f>SUM(E17:E20)</f>
        <v>0</v>
      </c>
      <c r="F21" s="1622">
        <f>SUM(F17:F20)</f>
        <v>0</v>
      </c>
      <c r="G21" s="473"/>
    </row>
    <row r="22" spans="1:11" ht="15.75" customHeight="1" thickTop="1" x14ac:dyDescent="0.2">
      <c r="A22" s="2302" t="s">
        <v>1105</v>
      </c>
      <c r="B22" s="2303"/>
      <c r="C22" s="2297"/>
      <c r="D22" s="2298"/>
      <c r="E22" s="2298"/>
      <c r="F22" s="2299"/>
    </row>
    <row r="23" spans="1:11" ht="13.5" thickBot="1" x14ac:dyDescent="0.25">
      <c r="A23" s="2304" t="s">
        <v>629</v>
      </c>
      <c r="B23" s="2305"/>
      <c r="C23" s="1546"/>
      <c r="D23" s="1546"/>
      <c r="E23" s="1546"/>
      <c r="F23" s="1622">
        <f>SUM(C23+D23)-E23</f>
        <v>0</v>
      </c>
      <c r="G23" s="473"/>
    </row>
    <row r="24" spans="1:11" ht="15.75" customHeight="1" thickTop="1" x14ac:dyDescent="0.2">
      <c r="A24" s="2302" t="s">
        <v>2007</v>
      </c>
      <c r="B24" s="2303"/>
      <c r="C24" s="2297"/>
      <c r="D24" s="2298"/>
      <c r="E24" s="2298"/>
      <c r="F24" s="2299"/>
    </row>
    <row r="25" spans="1:11" ht="13.5" thickBot="1" x14ac:dyDescent="0.25">
      <c r="A25" s="2304" t="s">
        <v>2008</v>
      </c>
      <c r="B25" s="2305"/>
      <c r="C25" s="1546"/>
      <c r="D25" s="1546"/>
      <c r="E25" s="1546"/>
      <c r="F25" s="1622">
        <f>SUM(C25+D25)-E25</f>
        <v>0</v>
      </c>
      <c r="G25" s="473"/>
    </row>
    <row r="26" spans="1:11" ht="15.75" customHeight="1" thickTop="1" x14ac:dyDescent="0.2">
      <c r="A26" s="2308" t="s">
        <v>652</v>
      </c>
      <c r="B26" s="2303"/>
      <c r="C26" s="589"/>
      <c r="D26" s="589"/>
      <c r="E26" s="589"/>
      <c r="F26" s="590"/>
    </row>
    <row r="27" spans="1:11" ht="13.5" thickBot="1" x14ac:dyDescent="0.25">
      <c r="A27" s="2300" t="s">
        <v>1063</v>
      </c>
      <c r="B27" s="2301"/>
      <c r="C27" s="1554"/>
      <c r="D27" s="1554"/>
      <c r="E27" s="1554"/>
      <c r="F27" s="1622">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1878</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2034</v>
      </c>
      <c r="B31" s="595">
        <v>42280</v>
      </c>
      <c r="C31" s="1624">
        <v>21580000</v>
      </c>
      <c r="D31" s="1625">
        <v>6</v>
      </c>
      <c r="E31" s="1624">
        <v>21100000</v>
      </c>
      <c r="F31" s="1624"/>
      <c r="G31" s="1624"/>
      <c r="H31" s="1624"/>
      <c r="I31" s="1626">
        <f>((E31+F31)-H31)+G31</f>
        <v>21100000</v>
      </c>
      <c r="J31" s="1624">
        <f>21100000-'Assets-Liab 5-6'!N21</f>
        <v>19975964</v>
      </c>
      <c r="K31" s="596"/>
    </row>
    <row r="32" spans="1:11" ht="12" customHeight="1" x14ac:dyDescent="0.2">
      <c r="A32" s="594" t="s">
        <v>2035</v>
      </c>
      <c r="B32" s="595">
        <v>42280</v>
      </c>
      <c r="C32" s="1624">
        <v>9005000</v>
      </c>
      <c r="D32" s="1625">
        <v>6</v>
      </c>
      <c r="E32" s="1624">
        <v>7620000</v>
      </c>
      <c r="F32" s="1624"/>
      <c r="G32" s="1624"/>
      <c r="H32" s="1624">
        <v>555000</v>
      </c>
      <c r="I32" s="1626">
        <f>((E32+F32)-H32)+G32</f>
        <v>7065000</v>
      </c>
      <c r="J32" s="1624">
        <v>7065000</v>
      </c>
      <c r="K32" s="596"/>
    </row>
    <row r="33" spans="1:11" ht="12" customHeight="1" x14ac:dyDescent="0.2">
      <c r="A33" s="594" t="s">
        <v>2036</v>
      </c>
      <c r="B33" s="595">
        <v>42677</v>
      </c>
      <c r="C33" s="1624">
        <v>21510000</v>
      </c>
      <c r="D33" s="1625">
        <v>6</v>
      </c>
      <c r="E33" s="1624">
        <v>14070000</v>
      </c>
      <c r="F33" s="1624"/>
      <c r="G33" s="1624"/>
      <c r="H33" s="1624">
        <v>3960000</v>
      </c>
      <c r="I33" s="1626">
        <f t="shared" ref="I33:I48" si="1">((E33+F33)-H33)+G33</f>
        <v>10110000</v>
      </c>
      <c r="J33" s="1624">
        <v>10110000</v>
      </c>
      <c r="K33" s="596"/>
    </row>
    <row r="34" spans="1:11" ht="12" customHeight="1" x14ac:dyDescent="0.2">
      <c r="A34" s="594" t="s">
        <v>2037</v>
      </c>
      <c r="B34" s="595">
        <v>38123</v>
      </c>
      <c r="C34" s="1624">
        <v>19999781</v>
      </c>
      <c r="D34" s="1625">
        <v>6</v>
      </c>
      <c r="E34" s="1624">
        <v>18313198</v>
      </c>
      <c r="F34" s="1624"/>
      <c r="G34" s="1624">
        <v>1334787</v>
      </c>
      <c r="H34" s="1624">
        <v>4495000</v>
      </c>
      <c r="I34" s="1626">
        <f t="shared" si="1"/>
        <v>15152985</v>
      </c>
      <c r="J34" s="1624">
        <v>15152985</v>
      </c>
      <c r="K34" s="597"/>
    </row>
    <row r="35" spans="1:11" ht="12" customHeight="1" x14ac:dyDescent="0.2">
      <c r="A35" s="594" t="s">
        <v>2038</v>
      </c>
      <c r="B35" s="595">
        <v>39917</v>
      </c>
      <c r="C35" s="1627">
        <v>4219937</v>
      </c>
      <c r="D35" s="1625">
        <v>6</v>
      </c>
      <c r="E35" s="1627">
        <v>8984370</v>
      </c>
      <c r="F35" s="1627"/>
      <c r="G35" s="1627">
        <v>604715</v>
      </c>
      <c r="H35" s="1627"/>
      <c r="I35" s="1626">
        <f t="shared" si="1"/>
        <v>9589085</v>
      </c>
      <c r="J35" s="1627">
        <v>9589085</v>
      </c>
      <c r="K35" s="597"/>
    </row>
    <row r="36" spans="1:11" ht="12" customHeight="1" x14ac:dyDescent="0.2">
      <c r="A36" s="594" t="s">
        <v>2039</v>
      </c>
      <c r="B36" s="595">
        <v>40140</v>
      </c>
      <c r="C36" s="1624">
        <v>1919973</v>
      </c>
      <c r="D36" s="1625">
        <v>6</v>
      </c>
      <c r="E36" s="1624">
        <v>3910502</v>
      </c>
      <c r="F36" s="1624"/>
      <c r="G36" s="1624">
        <v>300689</v>
      </c>
      <c r="H36" s="1624"/>
      <c r="I36" s="1626">
        <f t="shared" si="1"/>
        <v>4211191</v>
      </c>
      <c r="J36" s="1624">
        <v>4211191</v>
      </c>
      <c r="K36" s="598"/>
    </row>
    <row r="37" spans="1:11" ht="12" customHeight="1" x14ac:dyDescent="0.2">
      <c r="A37" s="594" t="s">
        <v>2040</v>
      </c>
      <c r="B37" s="595">
        <v>43417</v>
      </c>
      <c r="C37" s="1464">
        <v>20395000</v>
      </c>
      <c r="D37" s="1628">
        <v>6</v>
      </c>
      <c r="E37" s="1464">
        <v>20395000</v>
      </c>
      <c r="F37" s="1464"/>
      <c r="G37" s="1464"/>
      <c r="H37" s="1464"/>
      <c r="I37" s="1626">
        <f t="shared" si="1"/>
        <v>20395000</v>
      </c>
      <c r="J37" s="1464">
        <v>20395000</v>
      </c>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98629691</v>
      </c>
      <c r="D49" s="1632"/>
      <c r="E49" s="1626">
        <f t="shared" ref="E49:J49" si="2">SUM(E31:E48)</f>
        <v>94393070</v>
      </c>
      <c r="F49" s="1626">
        <f t="shared" si="2"/>
        <v>0</v>
      </c>
      <c r="G49" s="1626">
        <f t="shared" si="2"/>
        <v>2240191</v>
      </c>
      <c r="H49" s="1626">
        <f t="shared" si="2"/>
        <v>9010000</v>
      </c>
      <c r="I49" s="1626">
        <f t="shared" si="2"/>
        <v>87623261</v>
      </c>
      <c r="J49" s="1626">
        <f t="shared" si="2"/>
        <v>86499225</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8" sqref="K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189"/>
      <c r="I1" s="614"/>
      <c r="J1" s="400"/>
    </row>
    <row r="2" spans="1:11" ht="26.25" x14ac:dyDescent="0.2">
      <c r="A2" s="2337" t="s">
        <v>1661</v>
      </c>
      <c r="B2" s="2338"/>
      <c r="C2" s="2338"/>
      <c r="D2" s="2338"/>
      <c r="E2" s="2339"/>
      <c r="F2" s="615" t="s">
        <v>898</v>
      </c>
      <c r="G2" s="616" t="s">
        <v>1658</v>
      </c>
      <c r="H2" s="616" t="s">
        <v>407</v>
      </c>
      <c r="I2" s="616" t="s">
        <v>1150</v>
      </c>
      <c r="J2" s="616" t="s">
        <v>1790</v>
      </c>
      <c r="K2" s="616" t="s">
        <v>137</v>
      </c>
    </row>
    <row r="3" spans="1:11" x14ac:dyDescent="0.2">
      <c r="A3" s="2340" t="str">
        <f>"Cash Basis Fund Balance as of July 1, "&amp;'AFR20'!E2-1</f>
        <v>Cash Basis Fund Balance as of July 1, 2019</v>
      </c>
      <c r="B3" s="2341"/>
      <c r="C3" s="2341"/>
      <c r="D3" s="2341"/>
      <c r="E3" s="2342"/>
      <c r="F3" s="617"/>
      <c r="G3" s="1634"/>
      <c r="H3" s="1634"/>
      <c r="I3" s="1634"/>
      <c r="J3" s="1635"/>
      <c r="K3" s="1635"/>
    </row>
    <row r="4" spans="1:11" x14ac:dyDescent="0.2">
      <c r="A4" s="2343" t="s">
        <v>366</v>
      </c>
      <c r="B4" s="2344"/>
      <c r="C4" s="2344"/>
      <c r="D4" s="2344"/>
      <c r="E4" s="2290"/>
      <c r="F4" s="620"/>
      <c r="G4" s="1636"/>
      <c r="H4" s="1637"/>
      <c r="I4" s="1636"/>
      <c r="J4" s="1638"/>
      <c r="K4" s="1638"/>
    </row>
    <row r="5" spans="1:11" x14ac:dyDescent="0.2">
      <c r="A5" s="2321" t="s">
        <v>1062</v>
      </c>
      <c r="B5" s="2322"/>
      <c r="C5" s="2322"/>
      <c r="D5" s="2322"/>
      <c r="E5" s="2323"/>
      <c r="F5" s="622" t="s">
        <v>843</v>
      </c>
      <c r="G5" s="1639"/>
      <c r="H5" s="1634">
        <v>4217297</v>
      </c>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f>'Revenues 9-14'!C101</f>
        <v>40810</v>
      </c>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21" t="s">
        <v>1791</v>
      </c>
      <c r="B10" s="2322"/>
      <c r="C10" s="2322"/>
      <c r="D10" s="2322"/>
      <c r="E10" s="2324"/>
      <c r="F10" s="633" t="s">
        <v>857</v>
      </c>
      <c r="G10" s="1643"/>
      <c r="H10" s="1644"/>
      <c r="I10" s="1634"/>
      <c r="J10" s="1635"/>
      <c r="K10" s="1635"/>
    </row>
    <row r="11" spans="1:11" x14ac:dyDescent="0.2">
      <c r="A11" s="2321" t="s">
        <v>159</v>
      </c>
      <c r="B11" s="2322"/>
      <c r="C11" s="2322"/>
      <c r="D11" s="2322"/>
      <c r="E11" s="2323"/>
      <c r="F11" s="622" t="s">
        <v>847</v>
      </c>
      <c r="G11" s="1639"/>
      <c r="H11" s="1634"/>
      <c r="I11" s="1634"/>
      <c r="J11" s="1635"/>
      <c r="K11" s="1641"/>
    </row>
    <row r="12" spans="1:11" ht="13.5" thickBot="1" x14ac:dyDescent="0.25">
      <c r="A12" s="2348" t="s">
        <v>899</v>
      </c>
      <c r="B12" s="2349"/>
      <c r="C12" s="2349"/>
      <c r="D12" s="2349"/>
      <c r="E12" s="2350"/>
      <c r="F12" s="1323"/>
      <c r="G12" s="1645">
        <f>SUM(G5:G11)</f>
        <v>0</v>
      </c>
      <c r="H12" s="1645">
        <f>SUM(H5:H11)</f>
        <v>4217297</v>
      </c>
      <c r="I12" s="1645">
        <f>SUM(I5:I11)</f>
        <v>0</v>
      </c>
      <c r="J12" s="1645">
        <f>SUM(J5:J11)</f>
        <v>0</v>
      </c>
      <c r="K12" s="1645">
        <f>SUM(K5:K11)</f>
        <v>40810</v>
      </c>
    </row>
    <row r="13" spans="1:11" ht="13.5" thickTop="1" x14ac:dyDescent="0.2">
      <c r="A13" s="2345" t="s">
        <v>367</v>
      </c>
      <c r="B13" s="2346"/>
      <c r="C13" s="2346"/>
      <c r="D13" s="2346"/>
      <c r="E13" s="2347"/>
      <c r="F13" s="634"/>
      <c r="G13" s="1646"/>
      <c r="H13" s="1647"/>
      <c r="I13" s="1648"/>
      <c r="J13" s="1648"/>
      <c r="K13" s="1648"/>
    </row>
    <row r="14" spans="1:11" x14ac:dyDescent="0.2">
      <c r="A14" s="2328" t="s">
        <v>453</v>
      </c>
      <c r="B14" s="2328"/>
      <c r="C14" s="2328"/>
      <c r="D14" s="2328"/>
      <c r="E14" s="2329"/>
      <c r="F14" s="635" t="s">
        <v>849</v>
      </c>
      <c r="G14" s="1643"/>
      <c r="H14" s="1634"/>
      <c r="I14" s="1639"/>
      <c r="J14" s="1641"/>
      <c r="K14" s="1635"/>
    </row>
    <row r="15" spans="1:11" x14ac:dyDescent="0.2">
      <c r="A15" s="2322" t="s">
        <v>4</v>
      </c>
      <c r="B15" s="2322"/>
      <c r="C15" s="2322"/>
      <c r="D15" s="2322"/>
      <c r="E15" s="2323"/>
      <c r="F15" s="635" t="s">
        <v>850</v>
      </c>
      <c r="G15" s="1639"/>
      <c r="H15" s="1634"/>
      <c r="I15" s="1634"/>
      <c r="J15" s="1635"/>
      <c r="K15" s="1635"/>
    </row>
    <row r="16" spans="1:11" x14ac:dyDescent="0.2">
      <c r="A16" s="2322" t="s">
        <v>295</v>
      </c>
      <c r="B16" s="2322"/>
      <c r="C16" s="2322"/>
      <c r="D16" s="2322"/>
      <c r="E16" s="2323"/>
      <c r="F16" s="635" t="s">
        <v>917</v>
      </c>
      <c r="G16" s="1640"/>
      <c r="H16" s="1636"/>
      <c r="I16" s="1636"/>
      <c r="J16" s="1638"/>
      <c r="K16" s="1638"/>
    </row>
    <row r="17" spans="1:15" x14ac:dyDescent="0.2">
      <c r="A17" s="2355" t="s">
        <v>929</v>
      </c>
      <c r="B17" s="2355"/>
      <c r="C17" s="2355"/>
      <c r="D17" s="2355"/>
      <c r="E17" s="2356"/>
      <c r="F17" s="636"/>
      <c r="G17" s="1649"/>
      <c r="H17" s="1650"/>
      <c r="I17" s="1650"/>
      <c r="J17" s="1651"/>
      <c r="K17" s="1652"/>
    </row>
    <row r="18" spans="1:15" x14ac:dyDescent="0.2">
      <c r="A18" s="2332" t="s">
        <v>365</v>
      </c>
      <c r="B18" s="2333"/>
      <c r="C18" s="2333"/>
      <c r="D18" s="2333"/>
      <c r="E18" s="2334"/>
      <c r="F18" s="635" t="s">
        <v>926</v>
      </c>
      <c r="G18" s="1643"/>
      <c r="H18" s="1643"/>
      <c r="I18" s="1643"/>
      <c r="J18" s="1635"/>
      <c r="K18" s="1653"/>
    </row>
    <row r="19" spans="1:15" ht="21.75" customHeight="1" x14ac:dyDescent="0.2">
      <c r="A19" s="2330" t="s">
        <v>1787</v>
      </c>
      <c r="B19" s="2330"/>
      <c r="C19" s="2330"/>
      <c r="D19" s="2330"/>
      <c r="E19" s="2331"/>
      <c r="F19" s="635" t="s">
        <v>927</v>
      </c>
      <c r="G19" s="1643"/>
      <c r="H19" s="1643"/>
      <c r="I19" s="1643"/>
      <c r="J19" s="1635"/>
      <c r="K19" s="1653"/>
    </row>
    <row r="20" spans="1:15" x14ac:dyDescent="0.2">
      <c r="A20" s="2332" t="s">
        <v>1792</v>
      </c>
      <c r="B20" s="2333"/>
      <c r="C20" s="2333"/>
      <c r="D20" s="2333"/>
      <c r="E20" s="2334"/>
      <c r="F20" s="635" t="s">
        <v>928</v>
      </c>
      <c r="G20" s="1643"/>
      <c r="H20" s="1643"/>
      <c r="I20" s="1643"/>
      <c r="J20" s="1635"/>
      <c r="K20" s="1653"/>
    </row>
    <row r="21" spans="1:15" ht="13.5" thickBot="1" x14ac:dyDescent="0.25">
      <c r="A21" s="2351" t="s">
        <v>633</v>
      </c>
      <c r="B21" s="2351"/>
      <c r="C21" s="2351"/>
      <c r="D21" s="2351"/>
      <c r="E21" s="2351"/>
      <c r="F21" s="1324"/>
      <c r="G21" s="1650"/>
      <c r="H21" s="1654"/>
      <c r="I21" s="1654"/>
      <c r="J21" s="1655">
        <f>SUM(J18:J20)</f>
        <v>0</v>
      </c>
      <c r="K21" s="1651"/>
    </row>
    <row r="22" spans="1:15" ht="13.5" thickTop="1" x14ac:dyDescent="0.2">
      <c r="A22" s="2322" t="s">
        <v>1793</v>
      </c>
      <c r="B22" s="2322"/>
      <c r="C22" s="2322"/>
      <c r="D22" s="2322"/>
      <c r="E22" s="2323"/>
      <c r="F22" s="635" t="s">
        <v>857</v>
      </c>
      <c r="G22" s="1643"/>
      <c r="H22" s="1634"/>
      <c r="I22" s="1634"/>
      <c r="J22" s="1656"/>
      <c r="K22" s="1635"/>
    </row>
    <row r="23" spans="1:15" ht="13.5" thickBot="1" x14ac:dyDescent="0.25">
      <c r="A23" s="2352" t="s">
        <v>900</v>
      </c>
      <c r="B23" s="2351"/>
      <c r="C23" s="2351"/>
      <c r="D23" s="2351"/>
      <c r="E23" s="2351"/>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53" t="str">
        <f>"Ending Cash Basis Fund Balance as of June 30, "&amp;'AFR20'!E2</f>
        <v>Ending Cash Basis Fund Balance as of June 30, 2020</v>
      </c>
      <c r="B24" s="2354"/>
      <c r="C24" s="2354"/>
      <c r="D24" s="2354"/>
      <c r="E24" s="2354"/>
      <c r="F24" s="1327"/>
      <c r="G24" s="1657">
        <f>SUM(G3,G12)-G23</f>
        <v>0</v>
      </c>
      <c r="H24" s="1657">
        <f>SUM(H3,H12)-H23</f>
        <v>4217297</v>
      </c>
      <c r="I24" s="1657">
        <f>SUM(I3,I12)-I23</f>
        <v>0</v>
      </c>
      <c r="J24" s="1657">
        <f>SUM(J3,J12)-J23</f>
        <v>0</v>
      </c>
      <c r="K24" s="1657">
        <f>SUM(K3,K12)-K23</f>
        <v>40810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4217297</v>
      </c>
      <c r="I26" s="1645">
        <f>I24-I25</f>
        <v>0</v>
      </c>
      <c r="J26" s="1645">
        <f>J24-J25</f>
        <v>0</v>
      </c>
      <c r="K26" s="1645">
        <f>K24-K25</f>
        <v>40810</v>
      </c>
    </row>
    <row r="27" spans="1:15" ht="5.25" customHeight="1" thickTop="1" x14ac:dyDescent="0.2">
      <c r="I27" s="197"/>
      <c r="J27" s="197"/>
    </row>
    <row r="28" spans="1:15" ht="29.25" customHeight="1" x14ac:dyDescent="0.2">
      <c r="A28" s="1399" t="s">
        <v>1877</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1161</v>
      </c>
      <c r="B33" s="341"/>
      <c r="C33" s="341"/>
      <c r="D33" s="341"/>
      <c r="E33" s="341"/>
      <c r="F33" s="341"/>
      <c r="G33" s="653"/>
      <c r="H33" s="2327"/>
      <c r="I33" s="2326"/>
      <c r="J33" s="2326"/>
      <c r="K33" s="2326"/>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1788</v>
      </c>
      <c r="B46" s="382" t="s">
        <v>1659</v>
      </c>
    </row>
    <row r="47" spans="1:11" s="663" customFormat="1" ht="12.75" customHeight="1" x14ac:dyDescent="0.2">
      <c r="A47" s="661"/>
      <c r="B47" s="662" t="s">
        <v>1660</v>
      </c>
      <c r="E47" s="662"/>
      <c r="K47" s="664"/>
    </row>
    <row r="48" spans="1:11" ht="12.75" customHeight="1" x14ac:dyDescent="0.2">
      <c r="A48" s="119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1876</v>
      </c>
      <c r="B1" s="2360"/>
      <c r="C1" s="2361"/>
      <c r="D1" s="666"/>
      <c r="E1" s="667"/>
      <c r="F1" s="667"/>
      <c r="G1" s="668"/>
      <c r="H1" s="669"/>
      <c r="I1" s="670"/>
      <c r="J1" s="2357"/>
      <c r="K1" s="2358"/>
      <c r="L1" s="2358"/>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6156988</v>
      </c>
      <c r="D5" s="1660"/>
      <c r="E5" s="1660"/>
      <c r="F5" s="1655">
        <f>(C5+D5)-E5</f>
        <v>6156988</v>
      </c>
      <c r="G5" s="676"/>
      <c r="H5" s="680"/>
      <c r="I5" s="680"/>
      <c r="J5" s="680"/>
      <c r="K5" s="637"/>
      <c r="L5" s="1332">
        <f>F5-K5</f>
        <v>6156988</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133151983</v>
      </c>
      <c r="D8" s="1661"/>
      <c r="E8" s="1661"/>
      <c r="F8" s="1655">
        <f>(C8+D8)-E8</f>
        <v>133151983</v>
      </c>
      <c r="G8" s="681">
        <v>50</v>
      </c>
      <c r="H8" s="619">
        <v>53648551</v>
      </c>
      <c r="I8" s="619">
        <v>3280104</v>
      </c>
      <c r="J8" s="619"/>
      <c r="K8" s="1332">
        <f>(H8+I8)-J8</f>
        <v>56928655</v>
      </c>
      <c r="L8" s="1332">
        <f>F8-K8</f>
        <v>76223328</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v>9666533</v>
      </c>
      <c r="D10" s="1662"/>
      <c r="E10" s="1662"/>
      <c r="F10" s="1663">
        <f>(C10+D10)-E10</f>
        <v>9666533</v>
      </c>
      <c r="G10" s="681">
        <v>20</v>
      </c>
      <c r="H10" s="683">
        <v>7789380</v>
      </c>
      <c r="I10" s="683">
        <v>238063</v>
      </c>
      <c r="J10" s="683"/>
      <c r="K10" s="1332">
        <f>(H10+I10)-J10</f>
        <v>8027443</v>
      </c>
      <c r="L10" s="1332">
        <f>F10-K10</f>
        <v>1639090</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18489188</v>
      </c>
      <c r="D12" s="1661">
        <v>151882</v>
      </c>
      <c r="E12" s="1661"/>
      <c r="F12" s="1655">
        <f>(C12+D12)-E12</f>
        <v>18641070</v>
      </c>
      <c r="G12" s="681">
        <v>10</v>
      </c>
      <c r="H12" s="619">
        <v>14556107</v>
      </c>
      <c r="I12" s="619">
        <v>1182784</v>
      </c>
      <c r="J12" s="619"/>
      <c r="K12" s="1332">
        <f>(H12+I12)-J12</f>
        <v>15738891</v>
      </c>
      <c r="L12" s="1332">
        <f>F12-K12</f>
        <v>2902179</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c r="D15" s="1661"/>
      <c r="E15" s="1661"/>
      <c r="F15" s="1655">
        <f>(C15+D15)-E15</f>
        <v>0</v>
      </c>
      <c r="G15" s="685" t="s">
        <v>857</v>
      </c>
      <c r="H15" s="632"/>
      <c r="I15" s="632"/>
      <c r="J15" s="632"/>
      <c r="K15" s="632"/>
      <c r="L15" s="1332">
        <f>F15-K15</f>
        <v>0</v>
      </c>
    </row>
    <row r="16" spans="1:14" ht="15" customHeight="1" thickTop="1" thickBot="1" x14ac:dyDescent="0.25">
      <c r="A16" s="1328" t="s">
        <v>638</v>
      </c>
      <c r="B16" s="1329">
        <v>200</v>
      </c>
      <c r="C16" s="1655">
        <f>SUM(C3,C5:C6,C8:C10,C12:C15)</f>
        <v>167464692</v>
      </c>
      <c r="D16" s="1655">
        <f>SUM(D3,D5:D6,D8:D10,D12:D15)</f>
        <v>151882</v>
      </c>
      <c r="E16" s="1655">
        <f>SUM(E3,E5:E6,E8:E10,E12:E15)</f>
        <v>0</v>
      </c>
      <c r="F16" s="1655">
        <f>SUM(F3,F5:F6,F8:F10,F12:F15)</f>
        <v>167616574</v>
      </c>
      <c r="G16" s="681"/>
      <c r="H16" s="1325">
        <f>SUM(H3,H6,H8:H10,H12:H14,)</f>
        <v>75994038</v>
      </c>
      <c r="I16" s="1325">
        <f>SUM(I3,I6,I8:I10,I12:I14,)</f>
        <v>4700951</v>
      </c>
      <c r="J16" s="1325">
        <f>SUM(J3,J6,J8:J10,J12:J14,)</f>
        <v>0</v>
      </c>
      <c r="K16" s="1325">
        <f>(H16+I16)-J16</f>
        <v>80694989</v>
      </c>
      <c r="L16" s="1325">
        <f>F16-K16</f>
        <v>86921585</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1574829</v>
      </c>
      <c r="G17" s="676">
        <v>10</v>
      </c>
      <c r="H17" s="621"/>
      <c r="I17" s="1332">
        <f>F17/G17</f>
        <v>157482.9</v>
      </c>
      <c r="J17" s="621"/>
      <c r="K17" s="638"/>
      <c r="L17" s="638"/>
    </row>
    <row r="18" spans="1:12" ht="14.25" thickTop="1" thickBot="1" x14ac:dyDescent="0.25">
      <c r="A18" s="1330" t="s">
        <v>680</v>
      </c>
      <c r="B18" s="1331"/>
      <c r="C18" s="623"/>
      <c r="D18" s="623"/>
      <c r="E18" s="623"/>
      <c r="F18" s="686"/>
      <c r="G18" s="687"/>
      <c r="H18" s="624"/>
      <c r="I18" s="1325">
        <f>SUM(I16,I17)</f>
        <v>4858433.9000000004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43"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1097</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50052424</v>
      </c>
      <c r="G8" s="701"/>
    </row>
    <row r="9" spans="1:9" x14ac:dyDescent="0.2">
      <c r="A9" s="705" t="s">
        <v>457</v>
      </c>
      <c r="B9" s="706" t="s">
        <v>1849</v>
      </c>
      <c r="C9" s="707"/>
      <c r="D9" s="705" t="s">
        <v>498</v>
      </c>
      <c r="E9" s="704"/>
      <c r="F9" s="1665">
        <f>'Expenditures 15-22'!K151</f>
        <v>5453436</v>
      </c>
      <c r="G9" s="708"/>
    </row>
    <row r="10" spans="1:9" x14ac:dyDescent="0.2">
      <c r="A10" s="705" t="s">
        <v>496</v>
      </c>
      <c r="B10" s="706" t="s">
        <v>1850</v>
      </c>
      <c r="C10" s="707"/>
      <c r="D10" s="705" t="s">
        <v>498</v>
      </c>
      <c r="E10" s="704"/>
      <c r="F10" s="1665">
        <f>'Expenditures 15-22'!K174</f>
        <v>11700293</v>
      </c>
      <c r="G10" s="708"/>
    </row>
    <row r="11" spans="1:9" x14ac:dyDescent="0.2">
      <c r="A11" s="705" t="s">
        <v>458</v>
      </c>
      <c r="B11" s="706" t="s">
        <v>1851</v>
      </c>
      <c r="C11" s="707"/>
      <c r="D11" s="705" t="s">
        <v>498</v>
      </c>
      <c r="E11" s="704"/>
      <c r="F11" s="1665">
        <f>'Expenditures 15-22'!K210</f>
        <v>4778997</v>
      </c>
      <c r="G11" s="708"/>
    </row>
    <row r="12" spans="1:9" x14ac:dyDescent="0.2">
      <c r="A12" s="705" t="s">
        <v>459</v>
      </c>
      <c r="B12" s="706" t="s">
        <v>1852</v>
      </c>
      <c r="C12" s="707"/>
      <c r="D12" s="705" t="s">
        <v>498</v>
      </c>
      <c r="E12" s="704"/>
      <c r="F12" s="1665">
        <f>'Expenditures 15-22'!K295</f>
        <v>1529273</v>
      </c>
      <c r="G12" s="708"/>
    </row>
    <row r="13" spans="1:9" x14ac:dyDescent="0.2">
      <c r="A13" s="705" t="s">
        <v>106</v>
      </c>
      <c r="B13" s="706" t="s">
        <v>1853</v>
      </c>
      <c r="C13" s="707"/>
      <c r="D13" s="705" t="s">
        <v>498</v>
      </c>
      <c r="E13" s="704"/>
      <c r="F13" s="1665">
        <f>'Expenditures 15-22'!K342</f>
        <v>0</v>
      </c>
      <c r="G13" s="709"/>
    </row>
    <row r="14" spans="1:9" ht="12" customHeight="1" thickBot="1" x14ac:dyDescent="0.25">
      <c r="A14" s="1333"/>
      <c r="B14" s="1334"/>
      <c r="C14" s="1335"/>
      <c r="D14" s="1336" t="s">
        <v>498</v>
      </c>
      <c r="E14" s="1337" t="s">
        <v>952</v>
      </c>
      <c r="F14" s="1666">
        <f>SUM(F8:F13)</f>
        <v>73514423</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19609</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67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1910</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467873</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41411</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1627030</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0</v>
      </c>
      <c r="G51" s="701"/>
    </row>
    <row r="52" spans="1:7" x14ac:dyDescent="0.2">
      <c r="A52" s="705" t="s">
        <v>456</v>
      </c>
      <c r="B52" s="705" t="s">
        <v>1460</v>
      </c>
      <c r="C52" s="724" t="str">
        <f>'Expenditures 15-22'!B75</f>
        <v>3000</v>
      </c>
      <c r="D52" s="723" t="s">
        <v>446</v>
      </c>
      <c r="E52" s="704"/>
      <c r="F52" s="1672">
        <f>'Expenditures 15-22'!K75-SUM('Expenditures 15-22'!G75,'Expenditures 15-22'!I75)</f>
        <v>40736</v>
      </c>
      <c r="G52" s="701"/>
    </row>
    <row r="53" spans="1:7" x14ac:dyDescent="0.2">
      <c r="A53" s="705" t="s">
        <v>456</v>
      </c>
      <c r="B53" s="705" t="s">
        <v>1461</v>
      </c>
      <c r="C53" s="724">
        <f>'Expenditures 15-22'!B102</f>
        <v>4000</v>
      </c>
      <c r="D53" s="723" t="str">
        <f>'Expenditures 15-22'!A102</f>
        <v>Total Payments to Other Govt Units</v>
      </c>
      <c r="E53" s="704"/>
      <c r="F53" s="1672">
        <f>'Expenditures 15-22'!K102</f>
        <v>2988798</v>
      </c>
      <c r="G53" s="701"/>
    </row>
    <row r="54" spans="1:7" x14ac:dyDescent="0.2">
      <c r="A54" s="705" t="s">
        <v>456</v>
      </c>
      <c r="B54" s="705" t="s">
        <v>1462</v>
      </c>
      <c r="C54" s="724" t="s">
        <v>975</v>
      </c>
      <c r="D54" s="720" t="s">
        <v>1088</v>
      </c>
      <c r="E54" s="704"/>
      <c r="F54" s="1672">
        <f>'Expenditures 15-22'!G114</f>
        <v>29641</v>
      </c>
      <c r="G54" s="701"/>
    </row>
    <row r="55" spans="1:7" x14ac:dyDescent="0.2">
      <c r="A55" s="705" t="s">
        <v>456</v>
      </c>
      <c r="B55" s="705" t="s">
        <v>1463</v>
      </c>
      <c r="C55" s="724" t="s">
        <v>975</v>
      </c>
      <c r="D55" s="720" t="s">
        <v>288</v>
      </c>
      <c r="E55" s="704"/>
      <c r="F55" s="1672">
        <f>'Expenditures 15-22'!I114</f>
        <v>306839</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672">
        <f>'Expenditures 15-22'!K139</f>
        <v>0</v>
      </c>
      <c r="G57" s="701"/>
    </row>
    <row r="58" spans="1:7" x14ac:dyDescent="0.2">
      <c r="A58" s="705" t="s">
        <v>457</v>
      </c>
      <c r="B58" s="705" t="s">
        <v>1855</v>
      </c>
      <c r="C58" s="721" t="s">
        <v>975</v>
      </c>
      <c r="D58" s="720" t="s">
        <v>1088</v>
      </c>
      <c r="E58" s="704"/>
      <c r="F58" s="1674">
        <f>'Expenditures 15-22'!G151</f>
        <v>75686</v>
      </c>
      <c r="G58" s="701"/>
    </row>
    <row r="59" spans="1:7" x14ac:dyDescent="0.2">
      <c r="A59" s="728" t="s">
        <v>457</v>
      </c>
      <c r="B59" s="692" t="s">
        <v>1856</v>
      </c>
      <c r="C59" s="729" t="s">
        <v>975</v>
      </c>
      <c r="D59" s="692" t="s">
        <v>288</v>
      </c>
      <c r="F59" s="1675">
        <f>'Expenditures 15-22'!I151</f>
        <v>916424</v>
      </c>
      <c r="G59" s="701"/>
    </row>
    <row r="60" spans="1:7" x14ac:dyDescent="0.2">
      <c r="A60" s="728" t="s">
        <v>496</v>
      </c>
      <c r="B60" s="692" t="s">
        <v>1857</v>
      </c>
      <c r="C60" s="729">
        <v>4000</v>
      </c>
      <c r="D60" s="692" t="s">
        <v>309</v>
      </c>
      <c r="F60" s="1673">
        <f>'Expenditures 15-22'!K160</f>
        <v>0</v>
      </c>
      <c r="G60" s="701"/>
    </row>
    <row r="61" spans="1:7" x14ac:dyDescent="0.2">
      <c r="A61" s="730" t="s">
        <v>496</v>
      </c>
      <c r="B61" s="730" t="s">
        <v>1858</v>
      </c>
      <c r="C61" s="731" t="str">
        <f>'Expenditures 15-22'!B170</f>
        <v>5300</v>
      </c>
      <c r="D61" s="732" t="s">
        <v>308</v>
      </c>
      <c r="E61" s="715"/>
      <c r="F61" s="1672">
        <f>'Expenditures 15-22'!K170</f>
        <v>9010000</v>
      </c>
      <c r="G61" s="701"/>
    </row>
    <row r="62" spans="1:7" x14ac:dyDescent="0.2">
      <c r="A62" s="705" t="s">
        <v>458</v>
      </c>
      <c r="B62" s="705" t="s">
        <v>1859</v>
      </c>
      <c r="C62" s="721">
        <f>'Expenditures 15-22'!B185</f>
        <v>3000</v>
      </c>
      <c r="D62" s="712" t="s">
        <v>446</v>
      </c>
      <c r="E62" s="704"/>
      <c r="F62" s="167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1861</v>
      </c>
      <c r="C64" s="731" t="str">
        <f>'Expenditures 15-22'!B206</f>
        <v>5300</v>
      </c>
      <c r="D64" s="727" t="s">
        <v>308</v>
      </c>
      <c r="E64" s="704"/>
      <c r="F64" s="1672">
        <f>'Expenditures 15-22'!K206</f>
        <v>0</v>
      </c>
      <c r="G64" s="701"/>
    </row>
    <row r="65" spans="1:9" x14ac:dyDescent="0.2">
      <c r="A65" s="705" t="s">
        <v>458</v>
      </c>
      <c r="B65" s="705" t="s">
        <v>1862</v>
      </c>
      <c r="C65" s="721" t="s">
        <v>975</v>
      </c>
      <c r="D65" s="720" t="s">
        <v>1088</v>
      </c>
      <c r="E65" s="704"/>
      <c r="F65" s="1672">
        <f>'Expenditures 15-22'!G210</f>
        <v>48635</v>
      </c>
      <c r="G65" s="701"/>
    </row>
    <row r="66" spans="1:9" x14ac:dyDescent="0.2">
      <c r="A66" s="705" t="s">
        <v>458</v>
      </c>
      <c r="B66" s="705" t="s">
        <v>1863</v>
      </c>
      <c r="C66" s="721" t="s">
        <v>975</v>
      </c>
      <c r="D66" s="720" t="s">
        <v>288</v>
      </c>
      <c r="E66" s="704"/>
      <c r="F66" s="1672">
        <f>'Expenditures 15-22'!I210</f>
        <v>351566</v>
      </c>
      <c r="G66" s="701"/>
    </row>
    <row r="67" spans="1:9" x14ac:dyDescent="0.2">
      <c r="A67" s="705" t="s">
        <v>459</v>
      </c>
      <c r="B67" s="705" t="s">
        <v>1864</v>
      </c>
      <c r="C67" s="721" t="str">
        <f>'Expenditures 15-22'!B216</f>
        <v>1125</v>
      </c>
      <c r="D67" s="727" t="str">
        <f>'Expenditures 15-22'!A216</f>
        <v>Pre-K Programs</v>
      </c>
      <c r="E67" s="704"/>
      <c r="F67" s="1672">
        <f>'Expenditures 15-22'!K216</f>
        <v>0</v>
      </c>
      <c r="G67" s="701"/>
    </row>
    <row r="68" spans="1:9" x14ac:dyDescent="0.2">
      <c r="A68" s="705" t="s">
        <v>459</v>
      </c>
      <c r="B68" s="705" t="s">
        <v>1465</v>
      </c>
      <c r="C68" s="721" t="str">
        <f>'Expenditures 15-22'!B218</f>
        <v>1225</v>
      </c>
      <c r="D68" s="727" t="str">
        <f>'Expenditures 15-22'!A218</f>
        <v>Special Education Programs - Pre-K</v>
      </c>
      <c r="E68" s="704"/>
      <c r="F68" s="1672">
        <f>'Expenditures 15-22'!K218</f>
        <v>22378</v>
      </c>
      <c r="G68" s="701"/>
    </row>
    <row r="69" spans="1:9" x14ac:dyDescent="0.2">
      <c r="A69" s="705" t="s">
        <v>459</v>
      </c>
      <c r="B69" s="705" t="s">
        <v>1865</v>
      </c>
      <c r="C69" s="721" t="str">
        <f>'Expenditures 15-22'!B220</f>
        <v>1275</v>
      </c>
      <c r="D69" s="727" t="str">
        <f>'Expenditures 15-22'!A220</f>
        <v>Remedial and Supplemental Programs - Pre-K</v>
      </c>
      <c r="E69" s="704"/>
      <c r="F69" s="1672">
        <f>'Expenditures 15-22'!K220</f>
        <v>0</v>
      </c>
      <c r="G69" s="701"/>
    </row>
    <row r="70" spans="1:9" x14ac:dyDescent="0.2">
      <c r="A70" s="705" t="s">
        <v>459</v>
      </c>
      <c r="B70" s="705" t="s">
        <v>1866</v>
      </c>
      <c r="C70" s="721">
        <f>'Expenditures 15-22'!B221</f>
        <v>1300</v>
      </c>
      <c r="D70" s="722" t="str">
        <f>'Expenditures 15-22'!A221</f>
        <v>Adult/Continuing Education Programs</v>
      </c>
      <c r="E70" s="704"/>
      <c r="F70" s="1672">
        <f>'Expenditures 15-22'!K221</f>
        <v>27</v>
      </c>
      <c r="G70" s="701"/>
    </row>
    <row r="71" spans="1:9" x14ac:dyDescent="0.2">
      <c r="A71" s="705" t="s">
        <v>459</v>
      </c>
      <c r="B71" s="705" t="s">
        <v>1867</v>
      </c>
      <c r="C71" s="721">
        <f>'Expenditures 15-22'!B224</f>
        <v>1600</v>
      </c>
      <c r="D71" s="722" t="str">
        <f>'Expenditures 15-22'!A224</f>
        <v>Summer School Programs</v>
      </c>
      <c r="E71" s="704"/>
      <c r="F71" s="1672">
        <f>'Expenditures 15-22'!K224</f>
        <v>801</v>
      </c>
      <c r="G71" s="701"/>
    </row>
    <row r="72" spans="1:9" x14ac:dyDescent="0.2">
      <c r="A72" s="705" t="s">
        <v>459</v>
      </c>
      <c r="B72" s="705" t="s">
        <v>1868</v>
      </c>
      <c r="C72" s="721">
        <f>'Expenditures 15-22'!B280</f>
        <v>3000</v>
      </c>
      <c r="D72" s="712" t="s">
        <v>446</v>
      </c>
      <c r="E72" s="704"/>
      <c r="F72" s="1672">
        <f>'Expenditures 15-22'!K280</f>
        <v>631</v>
      </c>
      <c r="G72" s="701"/>
    </row>
    <row r="73" spans="1:9" x14ac:dyDescent="0.2">
      <c r="A73" s="705" t="s">
        <v>459</v>
      </c>
      <c r="B73" s="705" t="s">
        <v>1869</v>
      </c>
      <c r="C73" s="721" t="str">
        <f>'Expenditures 15-22'!B285</f>
        <v>4000</v>
      </c>
      <c r="D73" s="722" t="str">
        <f>'Expenditures 15-22'!A285</f>
        <v>Total Payments to Other Govt Units</v>
      </c>
      <c r="E73" s="704"/>
      <c r="F73" s="1672">
        <f>'Expenditures 15-22'!K285</f>
        <v>0</v>
      </c>
      <c r="G73" s="701"/>
    </row>
    <row r="74" spans="1:9" x14ac:dyDescent="0.2">
      <c r="A74" s="705" t="s">
        <v>433</v>
      </c>
      <c r="B74" s="705" t="s">
        <v>1870</v>
      </c>
      <c r="C74" s="721" t="s">
        <v>855</v>
      </c>
      <c r="D74" s="722" t="s">
        <v>1473</v>
      </c>
      <c r="E74" s="704"/>
      <c r="F74" s="1676">
        <f>'Expenditures 15-22'!K334</f>
        <v>0</v>
      </c>
      <c r="G74" s="701"/>
    </row>
    <row r="75" spans="1:9" x14ac:dyDescent="0.2">
      <c r="A75" s="705" t="s">
        <v>2009</v>
      </c>
      <c r="B75" s="705" t="s">
        <v>2010</v>
      </c>
      <c r="C75" s="721" t="s">
        <v>975</v>
      </c>
      <c r="D75" s="722" t="s">
        <v>1088</v>
      </c>
      <c r="E75" s="704"/>
      <c r="F75" s="1676">
        <f>'Expenditures 15-22'!G342</f>
        <v>0</v>
      </c>
      <c r="G75" s="701"/>
    </row>
    <row r="76" spans="1:9" ht="10.5" customHeight="1" x14ac:dyDescent="0.2">
      <c r="A76" s="701" t="s">
        <v>433</v>
      </c>
      <c r="B76" s="705" t="s">
        <v>2011</v>
      </c>
      <c r="C76" s="711" t="s">
        <v>975</v>
      </c>
      <c r="D76" s="701" t="s">
        <v>288</v>
      </c>
      <c r="E76" s="704"/>
      <c r="F76" s="1676">
        <f>'Expenditures 15-22'!I342</f>
        <v>0</v>
      </c>
      <c r="G76" s="703"/>
    </row>
    <row r="77" spans="1:9" ht="12" thickBot="1" x14ac:dyDescent="0.25">
      <c r="A77" s="1333"/>
      <c r="B77" s="1338"/>
      <c r="C77" s="1335"/>
      <c r="D77" s="1339" t="s">
        <v>2012</v>
      </c>
      <c r="E77" s="1337" t="s">
        <v>952</v>
      </c>
      <c r="F77" s="1677">
        <f>SUM(F18:F76)</f>
        <v>15948085</v>
      </c>
      <c r="G77" s="701"/>
    </row>
    <row r="78" spans="1:9" s="728" customFormat="1" ht="12" customHeight="1" thickTop="1" thickBot="1" x14ac:dyDescent="0.25">
      <c r="A78" s="1340"/>
      <c r="B78" s="1338"/>
      <c r="C78" s="1335"/>
      <c r="D78" s="1339" t="s">
        <v>2013</v>
      </c>
      <c r="E78" s="1337"/>
      <c r="F78" s="1678">
        <f>(F14-F77)</f>
        <v>57566338</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3947.1</v>
      </c>
      <c r="G79" s="733"/>
      <c r="H79" s="705"/>
      <c r="I79" s="705"/>
    </row>
    <row r="80" spans="1:9" s="728" customFormat="1" ht="12" customHeight="1" thickBot="1" x14ac:dyDescent="0.25">
      <c r="A80" s="1342"/>
      <c r="B80" s="1338"/>
      <c r="C80" s="1335"/>
      <c r="D80" s="1339" t="s">
        <v>2014</v>
      </c>
      <c r="E80" s="1337" t="s">
        <v>952</v>
      </c>
      <c r="F80" s="1680">
        <f>IF(F79&gt;0,F78/F79," Complete Line 79")</f>
        <v>14584.464036887843</v>
      </c>
      <c r="G80" s="705"/>
    </row>
    <row r="81" spans="1:7" s="728" customFormat="1" ht="8.25" customHeight="1" thickTop="1" x14ac:dyDescent="0.2">
      <c r="A81" s="734"/>
      <c r="B81" s="705"/>
      <c r="C81" s="707"/>
      <c r="D81" s="735"/>
      <c r="E81" s="704"/>
      <c r="F81" s="1681"/>
      <c r="G81" s="705"/>
    </row>
    <row r="82" spans="1:7" s="728" customFormat="1" ht="12" thickBot="1" x14ac:dyDescent="0.25">
      <c r="A82" s="2362" t="s">
        <v>1098</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0</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16021</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836564</v>
      </c>
      <c r="G95" s="745"/>
    </row>
    <row r="96" spans="1:7" x14ac:dyDescent="0.2">
      <c r="A96" s="741" t="s">
        <v>139</v>
      </c>
      <c r="B96" s="741" t="s">
        <v>174</v>
      </c>
      <c r="C96" s="743">
        <v>1700</v>
      </c>
      <c r="D96" s="751" t="str">
        <f>'Revenues 9-14'!A82</f>
        <v>Total District/School Activity Income</v>
      </c>
      <c r="E96" s="739"/>
      <c r="F96" s="1683">
        <f>SUM('Revenues 9-14'!C82,'Revenues 9-14'!D82)</f>
        <v>30875</v>
      </c>
      <c r="G96" s="745"/>
    </row>
    <row r="97" spans="1:7" x14ac:dyDescent="0.2">
      <c r="A97" s="741" t="s">
        <v>456</v>
      </c>
      <c r="B97" s="741" t="s">
        <v>175</v>
      </c>
      <c r="C97" s="743">
        <f>'Revenues 9-14'!B84</f>
        <v>1811</v>
      </c>
      <c r="D97" s="744" t="str">
        <f>'Revenues 9-14'!A84</f>
        <v>Rentals - Regular Textbooks</v>
      </c>
      <c r="E97" s="739"/>
      <c r="F97" s="1683">
        <f>'Revenues 9-14'!C84</f>
        <v>789962</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0</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65781</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234988</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83">
        <f>('Revenues 9-14'!C106)</f>
        <v>118504</v>
      </c>
      <c r="G105" s="745"/>
    </row>
    <row r="106" spans="1:7" x14ac:dyDescent="0.2">
      <c r="A106" s="741" t="s">
        <v>500</v>
      </c>
      <c r="B106" s="741" t="s">
        <v>1911</v>
      </c>
      <c r="C106" s="746">
        <v>3100</v>
      </c>
      <c r="D106" s="752" t="str">
        <f>'Revenues 9-14'!A132</f>
        <v>Total Special Education</v>
      </c>
      <c r="E106" s="739"/>
      <c r="F106" s="1683">
        <f>SUM('Revenues 9-14'!C132:D132,'Revenues 9-14'!F132)</f>
        <v>695847</v>
      </c>
      <c r="G106" s="745"/>
    </row>
    <row r="107" spans="1:7" x14ac:dyDescent="0.2">
      <c r="A107" s="741" t="s">
        <v>668</v>
      </c>
      <c r="B107" s="741" t="s">
        <v>1912</v>
      </c>
      <c r="C107" s="753">
        <v>3200</v>
      </c>
      <c r="D107" s="744" t="str">
        <f>'Revenues 9-14'!A141</f>
        <v>Total Career and Technical Education</v>
      </c>
      <c r="E107" s="739"/>
      <c r="F107" s="1683">
        <f>SUM('Revenues 9-14'!C141,'Revenues 9-14'!D141,'Revenues 9-14'!G141)</f>
        <v>59538</v>
      </c>
      <c r="G107" s="745"/>
    </row>
    <row r="108" spans="1:7" x14ac:dyDescent="0.2">
      <c r="A108" s="754" t="s">
        <v>659</v>
      </c>
      <c r="B108" s="741" t="s">
        <v>1913</v>
      </c>
      <c r="C108" s="753">
        <v>3300</v>
      </c>
      <c r="D108" s="744" t="str">
        <f>'Revenues 9-14'!A145</f>
        <v>Total Bilingual Ed</v>
      </c>
      <c r="E108" s="739"/>
      <c r="F108" s="168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683">
        <f>'Revenues 9-14'!C146</f>
        <v>818</v>
      </c>
      <c r="G109" s="745"/>
    </row>
    <row r="110" spans="1:7" x14ac:dyDescent="0.2">
      <c r="A110" s="741" t="s">
        <v>668</v>
      </c>
      <c r="B110" s="741" t="s">
        <v>1915</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683">
        <f>SUM('Revenues 9-14'!C148,'Revenues 9-14'!D148)</f>
        <v>24910</v>
      </c>
      <c r="G111" s="745"/>
    </row>
    <row r="112" spans="1:7" x14ac:dyDescent="0.2">
      <c r="A112" s="741" t="s">
        <v>663</v>
      </c>
      <c r="B112" s="741" t="s">
        <v>1917</v>
      </c>
      <c r="C112" s="755">
        <v>3500</v>
      </c>
      <c r="D112" s="744" t="str">
        <f>'Revenues 9-14'!A155</f>
        <v>Total Transportation</v>
      </c>
      <c r="E112" s="739"/>
      <c r="F112" s="1683">
        <f>SUM('Revenues 9-14'!C155,'Revenues 9-14'!D155,'Revenues 9-14'!F155,'Revenues 9-14'!G155)</f>
        <v>3335419</v>
      </c>
      <c r="G112" s="745"/>
    </row>
    <row r="113" spans="1:7" x14ac:dyDescent="0.2">
      <c r="A113" s="741" t="s">
        <v>456</v>
      </c>
      <c r="B113" s="741" t="s">
        <v>1918</v>
      </c>
      <c r="C113" s="753">
        <f>'Revenues 9-14'!B156</f>
        <v>3610</v>
      </c>
      <c r="D113" s="744" t="str">
        <f>'Revenues 9-14'!A156</f>
        <v>Learning Improvement - Change Grants</v>
      </c>
      <c r="E113" s="739"/>
      <c r="F113" s="1683">
        <f>'Revenues 9-14'!C156</f>
        <v>0</v>
      </c>
      <c r="G113" s="745"/>
    </row>
    <row r="114" spans="1:7" x14ac:dyDescent="0.2">
      <c r="A114" s="741" t="s">
        <v>663</v>
      </c>
      <c r="B114" s="741" t="s">
        <v>1919</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682">
        <f>SUM('Revenues 9-14'!C163:G163)</f>
        <v>0</v>
      </c>
      <c r="G119" s="745"/>
    </row>
    <row r="120" spans="1:7" x14ac:dyDescent="0.2">
      <c r="A120" s="756" t="s">
        <v>501</v>
      </c>
      <c r="B120" s="756" t="s">
        <v>1925</v>
      </c>
      <c r="C120" s="757">
        <f>'Revenues 9-14'!B164</f>
        <v>3815</v>
      </c>
      <c r="D120" s="758" t="str">
        <f>'Revenues 9-14'!A164</f>
        <v>State Charter Schools</v>
      </c>
      <c r="E120" s="739"/>
      <c r="F120" s="168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683">
        <f>'Revenues 9-14'!D167</f>
        <v>50000</v>
      </c>
      <c r="G121" s="763"/>
    </row>
    <row r="122" spans="1:7" x14ac:dyDescent="0.2">
      <c r="A122" s="760" t="s">
        <v>497</v>
      </c>
      <c r="B122" s="760" t="s">
        <v>1927</v>
      </c>
      <c r="C122" s="761">
        <f>'Revenues 9-14'!B168</f>
        <v>3999</v>
      </c>
      <c r="D122" s="762" t="s">
        <v>540</v>
      </c>
      <c r="E122" s="764"/>
      <c r="F122" s="1683">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68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663</v>
      </c>
      <c r="B125" s="760" t="s">
        <v>1930</v>
      </c>
      <c r="C125" s="765">
        <v>4100</v>
      </c>
      <c r="D125" s="766" t="str">
        <f>'Revenues 9-14'!A188</f>
        <v>Total Title V</v>
      </c>
      <c r="E125" s="739"/>
      <c r="F125" s="168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683">
        <f>SUM('Revenues 9-14'!C198,'Revenues 9-14'!G198)</f>
        <v>105012</v>
      </c>
      <c r="G126" s="763"/>
    </row>
    <row r="127" spans="1:7" x14ac:dyDescent="0.2">
      <c r="A127" s="760" t="s">
        <v>663</v>
      </c>
      <c r="B127" s="760" t="s">
        <v>1932</v>
      </c>
      <c r="C127" s="765">
        <v>4300</v>
      </c>
      <c r="D127" s="766" t="str">
        <f>'Revenues 9-14'!A204</f>
        <v>Total Title I</v>
      </c>
      <c r="E127" s="739"/>
      <c r="F127" s="1683">
        <f>SUM('Revenues 9-14'!C204,'Revenues 9-14'!D204,'Revenues 9-14'!F204,'Revenues 9-14'!G204)</f>
        <v>184745</v>
      </c>
      <c r="G127" s="763"/>
    </row>
    <row r="128" spans="1:7" x14ac:dyDescent="0.2">
      <c r="A128" s="760" t="s">
        <v>663</v>
      </c>
      <c r="B128" s="760" t="s">
        <v>1933</v>
      </c>
      <c r="C128" s="765">
        <v>4400</v>
      </c>
      <c r="D128" s="766" t="str">
        <f>'Revenues 9-14'!A209</f>
        <v>Total Title IV</v>
      </c>
      <c r="E128" s="739"/>
      <c r="F128" s="1683">
        <f>SUM('Revenues 9-14'!C209,'Revenues 9-14'!D209,'Revenues 9-14'!F209,'Revenues 9-14'!G209)</f>
        <v>12692</v>
      </c>
      <c r="G128" s="763"/>
    </row>
    <row r="129" spans="1:7" x14ac:dyDescent="0.2">
      <c r="A129" s="760" t="s">
        <v>663</v>
      </c>
      <c r="B129" s="760" t="s">
        <v>1934</v>
      </c>
      <c r="C129" s="765">
        <f>'Revenues 9-14'!B213</f>
        <v>4620</v>
      </c>
      <c r="D129" s="766" t="str">
        <f>'Revenues 9-14'!A213</f>
        <v>Fed - Spec Education - IDEA - Flow Through</v>
      </c>
      <c r="E129" s="739"/>
      <c r="F129" s="1683">
        <f>SUM('Revenues 9-14'!C213:D213,'Revenues 9-14'!F213:G213)</f>
        <v>731934</v>
      </c>
      <c r="G129" s="763"/>
    </row>
    <row r="130" spans="1:7" x14ac:dyDescent="0.2">
      <c r="A130" s="760" t="s">
        <v>663</v>
      </c>
      <c r="B130" s="760" t="s">
        <v>1935</v>
      </c>
      <c r="C130" s="765">
        <f>'Revenues 9-14'!B214</f>
        <v>4625</v>
      </c>
      <c r="D130" s="766" t="str">
        <f>'Revenues 9-14'!A214</f>
        <v>Fed - Spec Education - IDEA - Room &amp; Board</v>
      </c>
      <c r="E130" s="739"/>
      <c r="F130" s="1683">
        <f>SUM('Revenues 9-14'!C214,'Revenues 9-14'!D214,'Revenues 9-14'!F214,'Revenues 9-14'!G214)</f>
        <v>0</v>
      </c>
      <c r="G130" s="763"/>
    </row>
    <row r="131" spans="1:7" x14ac:dyDescent="0.2">
      <c r="A131" s="760" t="s">
        <v>663</v>
      </c>
      <c r="B131" s="760" t="s">
        <v>1936</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1937</v>
      </c>
      <c r="C133" s="765">
        <v>4700</v>
      </c>
      <c r="D133" s="762" t="str">
        <f>'Revenues 9-14'!A221</f>
        <v>Total CTE - Perkins</v>
      </c>
      <c r="E133" s="739"/>
      <c r="F133" s="1683">
        <f>SUM('Revenues 9-14'!C221,'Revenues 9-14'!D221,'Revenues 9-14'!G221)</f>
        <v>16685</v>
      </c>
      <c r="G133" s="763">
        <v>6303</v>
      </c>
    </row>
    <row r="134" spans="1:7" s="703" customFormat="1" hidden="1" x14ac:dyDescent="0.2">
      <c r="A134" s="767" t="s">
        <v>204</v>
      </c>
      <c r="B134" s="767" t="s">
        <v>1938</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683">
        <v>0</v>
      </c>
      <c r="G139" s="738"/>
    </row>
    <row r="140" spans="1:7" s="703" customFormat="1" hidden="1" x14ac:dyDescent="0.2">
      <c r="A140" s="767" t="s">
        <v>204</v>
      </c>
      <c r="B140" s="767" t="s">
        <v>1944</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1952</v>
      </c>
      <c r="C158" s="773" t="s">
        <v>836</v>
      </c>
      <c r="D158" s="774" t="s">
        <v>772</v>
      </c>
      <c r="E158" s="775"/>
      <c r="F158" s="1683">
        <f>SUM(F134:F157)</f>
        <v>0</v>
      </c>
      <c r="G158" s="738"/>
    </row>
    <row r="159" spans="1:7" s="703" customFormat="1" x14ac:dyDescent="0.2">
      <c r="A159" s="771" t="s">
        <v>456</v>
      </c>
      <c r="B159" s="772" t="s">
        <v>1953</v>
      </c>
      <c r="C159" s="773" t="s">
        <v>1413</v>
      </c>
      <c r="D159" s="774" t="s">
        <v>1414</v>
      </c>
      <c r="E159" s="775"/>
      <c r="F159" s="1683">
        <f>SUM('Revenues 9-14'!C253)</f>
        <v>0</v>
      </c>
      <c r="G159" s="738"/>
    </row>
    <row r="160" spans="1:7" s="703" customFormat="1" x14ac:dyDescent="0.2">
      <c r="A160" s="771" t="s">
        <v>497</v>
      </c>
      <c r="B160" s="772" t="s">
        <v>1954</v>
      </c>
      <c r="C160" s="773" t="s">
        <v>1452</v>
      </c>
      <c r="D160" s="774" t="s">
        <v>1453</v>
      </c>
      <c r="E160" s="775"/>
      <c r="F160" s="168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683">
        <f>SUM('Revenues 9-14'!C255,'Revenues 9-14'!F255,'Revenues 9-14'!G255)</f>
        <v>9558</v>
      </c>
      <c r="G161" s="776">
        <v>6306</v>
      </c>
    </row>
    <row r="162" spans="1:7" x14ac:dyDescent="0.2">
      <c r="A162" s="760" t="s">
        <v>5</v>
      </c>
      <c r="B162" s="760" t="s">
        <v>1956</v>
      </c>
      <c r="C162" s="765">
        <f>'Revenues 9-14'!B256</f>
        <v>4909</v>
      </c>
      <c r="D162" s="762" t="str">
        <f>'Revenues 9-14'!A256</f>
        <v>Title III - Language Inst Program - Limited Eng (LIPLEP)</v>
      </c>
      <c r="E162" s="739"/>
      <c r="F162" s="1683">
        <f>SUM('Revenues 9-14'!C256,'Revenues 9-14'!F256,'Revenues 9-14'!G256)</f>
        <v>1400</v>
      </c>
      <c r="G162" s="776"/>
    </row>
    <row r="163" spans="1:7" x14ac:dyDescent="0.2">
      <c r="A163" s="760" t="s">
        <v>663</v>
      </c>
      <c r="B163" s="760" t="s">
        <v>1957</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682">
        <f>SUM('Revenues 9-14'!C259,'Revenues 9-14'!D259,'Revenues 9-14'!F259,'Revenues 9-14'!G259)</f>
        <v>75815</v>
      </c>
      <c r="G165" s="763"/>
    </row>
    <row r="166" spans="1:7" x14ac:dyDescent="0.2">
      <c r="A166" s="760" t="s">
        <v>663</v>
      </c>
      <c r="B166" s="760" t="s">
        <v>1960</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683">
        <f>SUM('Revenues 9-14'!C263:D263,'Revenues 9-14'!F263:G263)</f>
        <v>130142</v>
      </c>
      <c r="G169" s="780">
        <v>6320</v>
      </c>
    </row>
    <row r="170" spans="1:7" x14ac:dyDescent="0.2">
      <c r="A170" s="760" t="s">
        <v>663</v>
      </c>
      <c r="B170" s="760" t="s">
        <v>1962</v>
      </c>
      <c r="C170" s="765">
        <f>'Revenues 9-14'!B264</f>
        <v>4992</v>
      </c>
      <c r="D170" s="766" t="str">
        <f>'Revenues 9-14'!A264</f>
        <v>Medicaid Matching Funds - Fee-for-Service Program</v>
      </c>
      <c r="E170" s="739"/>
      <c r="F170" s="1683">
        <f>SUM('Revenues 9-14'!C264:D264,'Revenues 9-14'!F264:G264)</f>
        <v>149190</v>
      </c>
      <c r="G170" s="780"/>
    </row>
    <row r="171" spans="1:7" x14ac:dyDescent="0.2">
      <c r="A171" s="781" t="s">
        <v>663</v>
      </c>
      <c r="B171" s="777" t="s">
        <v>1963</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1886</v>
      </c>
      <c r="C172" s="1421">
        <v>3100</v>
      </c>
      <c r="D172" s="1422" t="s">
        <v>1888</v>
      </c>
      <c r="E172" s="739"/>
      <c r="F172" s="1684">
        <v>1367386</v>
      </c>
      <c r="G172" s="760"/>
    </row>
    <row r="173" spans="1:7" x14ac:dyDescent="0.2">
      <c r="A173" s="1419" t="s">
        <v>659</v>
      </c>
      <c r="B173" s="1420" t="s">
        <v>1886</v>
      </c>
      <c r="C173" s="1421">
        <v>3300</v>
      </c>
      <c r="D173" s="1422" t="s">
        <v>1889</v>
      </c>
      <c r="E173" s="739"/>
      <c r="F173" s="1684">
        <v>18041</v>
      </c>
      <c r="G173" s="760"/>
    </row>
    <row r="174" spans="1:7" ht="6" customHeight="1" x14ac:dyDescent="0.2">
      <c r="A174" s="760"/>
      <c r="B174" s="760"/>
      <c r="C174" s="782"/>
      <c r="D174" s="760"/>
      <c r="E174" s="739"/>
      <c r="F174" s="1685"/>
      <c r="G174" s="780"/>
    </row>
    <row r="175" spans="1:7" x14ac:dyDescent="0.2">
      <c r="A175" s="1333"/>
      <c r="B175" s="1343"/>
      <c r="C175" s="1344"/>
      <c r="D175" s="1345" t="s">
        <v>2017</v>
      </c>
      <c r="E175" s="1346" t="s">
        <v>952</v>
      </c>
      <c r="F175" s="1686">
        <f>SUM(F85:F133,F158:F173)</f>
        <v>9061827</v>
      </c>
    </row>
    <row r="176" spans="1:7" ht="12" customHeight="1" x14ac:dyDescent="0.2">
      <c r="A176" s="1333"/>
      <c r="B176" s="1343"/>
      <c r="C176" s="1344"/>
      <c r="D176" s="1345" t="s">
        <v>2015</v>
      </c>
      <c r="E176" s="1346"/>
      <c r="F176" s="1683">
        <f>'PCTC-OEPP 27-28'!F78-F175</f>
        <v>48504511</v>
      </c>
    </row>
    <row r="177" spans="1:9" ht="12" customHeight="1" x14ac:dyDescent="0.2">
      <c r="A177" s="1333"/>
      <c r="B177" s="1343"/>
      <c r="C177" s="1344"/>
      <c r="D177" s="1345" t="s">
        <v>1795</v>
      </c>
      <c r="E177" s="1346"/>
      <c r="F177" s="1683">
        <f>'Cap Outlay Deprec 26'!I18</f>
        <v>4858433.9000000004</v>
      </c>
    </row>
    <row r="178" spans="1:9" ht="12" customHeight="1" x14ac:dyDescent="0.2">
      <c r="A178" s="1333"/>
      <c r="B178" s="1343"/>
      <c r="C178" s="1344"/>
      <c r="D178" s="1345" t="s">
        <v>2016</v>
      </c>
      <c r="E178" s="1346"/>
      <c r="F178" s="1683">
        <f>F176+F177</f>
        <v>53362944.899999999</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3947.1</v>
      </c>
      <c r="G179" s="763"/>
      <c r="I179" s="701"/>
    </row>
    <row r="180" spans="1:9" ht="12" customHeight="1" thickBot="1" x14ac:dyDescent="0.25">
      <c r="A180" s="1333"/>
      <c r="B180" s="1347"/>
      <c r="C180" s="1344"/>
      <c r="D180" s="1345" t="s">
        <v>2018</v>
      </c>
      <c r="E180" s="1346" t="s">
        <v>1531</v>
      </c>
      <c r="F180" s="1688">
        <f>F178/F179</f>
        <v>13519.53203617846</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1891</v>
      </c>
      <c r="B186" s="142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1"/>
  <sheetViews>
    <sheetView showGridLines="0" topLeftCell="A34" zoomScaleNormal="100" workbookViewId="0">
      <selection activeCell="I66" sqref="I66"/>
    </sheetView>
  </sheetViews>
  <sheetFormatPr defaultColWidth="9.140625" defaultRowHeight="15" x14ac:dyDescent="0.25"/>
  <cols>
    <col min="1" max="1" width="52" style="1773" customWidth="1"/>
    <col min="2" max="2" width="16.42578125" style="1774" bestFit="1" customWidth="1"/>
    <col min="3" max="3" width="33.7109375" style="1775" customWidth="1"/>
    <col min="4" max="4" width="16.28515625" style="1776" customWidth="1"/>
    <col min="5" max="5" width="23.5703125" style="1776" customWidth="1"/>
    <col min="6" max="6" width="23.28515625" style="1775" customWidth="1"/>
    <col min="7" max="16384" width="9.140625" style="1742"/>
  </cols>
  <sheetData>
    <row r="1" spans="1:6" ht="15" customHeight="1" x14ac:dyDescent="0.25">
      <c r="A1" s="1739" t="s">
        <v>1808</v>
      </c>
      <c r="B1" s="1740"/>
      <c r="C1" s="1741"/>
      <c r="D1" s="1741"/>
      <c r="E1" s="1741"/>
      <c r="F1" s="1741"/>
    </row>
    <row r="2" spans="1:6" x14ac:dyDescent="0.25">
      <c r="A2" s="1743"/>
      <c r="B2" s="1744"/>
      <c r="C2" s="1790" t="s">
        <v>2004</v>
      </c>
      <c r="D2" s="1743"/>
      <c r="E2" s="1743"/>
      <c r="F2" s="1743"/>
    </row>
    <row r="3" spans="1:6" ht="5.25" customHeight="1" x14ac:dyDescent="0.25">
      <c r="A3" s="1745"/>
      <c r="B3" s="1746"/>
      <c r="C3" s="1745"/>
      <c r="D3" s="1745"/>
      <c r="E3" s="1745"/>
      <c r="F3" s="1745"/>
    </row>
    <row r="4" spans="1:6" ht="18.75" customHeight="1" x14ac:dyDescent="0.25">
      <c r="A4" s="2376" t="s">
        <v>1796</v>
      </c>
      <c r="B4" s="2377"/>
      <c r="C4" s="2377"/>
      <c r="D4" s="2377"/>
      <c r="E4" s="2377"/>
      <c r="F4" s="2378"/>
    </row>
    <row r="5" spans="1:6" x14ac:dyDescent="0.25">
      <c r="A5" s="2379"/>
      <c r="B5" s="2380"/>
      <c r="C5" s="2380"/>
      <c r="D5" s="2380"/>
      <c r="E5" s="2380"/>
      <c r="F5" s="2381"/>
    </row>
    <row r="6" spans="1:6" ht="18.75" x14ac:dyDescent="0.25">
      <c r="A6" s="1747" t="s">
        <v>1797</v>
      </c>
      <c r="B6" s="1748"/>
      <c r="C6" s="1749"/>
      <c r="D6" s="1749"/>
      <c r="E6" s="1749"/>
      <c r="F6" s="1750"/>
    </row>
    <row r="7" spans="1:6" ht="47.25" customHeight="1" x14ac:dyDescent="0.25">
      <c r="A7" s="2382" t="s">
        <v>1986</v>
      </c>
      <c r="B7" s="2383"/>
      <c r="C7" s="2383"/>
      <c r="D7" s="2383"/>
      <c r="E7" s="2383"/>
      <c r="F7" s="2384"/>
    </row>
    <row r="8" spans="1:6" ht="20.25" customHeight="1" x14ac:dyDescent="0.25">
      <c r="A8" s="1780" t="s">
        <v>1988</v>
      </c>
      <c r="B8" s="1781"/>
      <c r="C8" s="1781"/>
      <c r="D8" s="1781"/>
      <c r="E8" s="1751"/>
      <c r="F8" s="1752"/>
    </row>
    <row r="9" spans="1:6" ht="18" customHeight="1" x14ac:dyDescent="0.25">
      <c r="A9" s="1753" t="s">
        <v>1985</v>
      </c>
      <c r="B9" s="1755"/>
      <c r="C9" s="1755"/>
      <c r="D9" s="1755"/>
      <c r="E9" s="1751"/>
      <c r="F9" s="1752"/>
    </row>
    <row r="10" spans="1:6" ht="15.75" customHeight="1" x14ac:dyDescent="0.25">
      <c r="A10" s="2385" t="s">
        <v>1982</v>
      </c>
      <c r="B10" s="2386"/>
      <c r="C10" s="2386"/>
      <c r="D10" s="2386"/>
      <c r="E10" s="2386"/>
      <c r="F10" s="2387"/>
    </row>
    <row r="11" spans="1:6" ht="33" customHeight="1" x14ac:dyDescent="0.25">
      <c r="A11" s="2382" t="s">
        <v>1987</v>
      </c>
      <c r="B11" s="2383"/>
      <c r="C11" s="2383"/>
      <c r="D11" s="2383"/>
      <c r="E11" s="2383"/>
      <c r="F11" s="2384"/>
    </row>
    <row r="12" spans="1:6" ht="15" customHeight="1" x14ac:dyDescent="0.25">
      <c r="A12" s="1753" t="s">
        <v>1983</v>
      </c>
      <c r="B12" s="1754"/>
      <c r="C12" s="1755"/>
      <c r="D12" s="1755"/>
      <c r="E12" s="1755"/>
      <c r="F12" s="1756"/>
    </row>
    <row r="13" spans="1:6" ht="17.25" customHeight="1" x14ac:dyDescent="0.25">
      <c r="A13" s="2382" t="s">
        <v>1984</v>
      </c>
      <c r="B13" s="2383"/>
      <c r="C13" s="2383"/>
      <c r="D13" s="2383"/>
      <c r="E13" s="2383"/>
      <c r="F13" s="2384"/>
    </row>
    <row r="14" spans="1:6" ht="15" customHeight="1" x14ac:dyDescent="0.25">
      <c r="A14" s="1753" t="s">
        <v>1801</v>
      </c>
      <c r="B14" s="1754"/>
      <c r="C14" s="1755"/>
      <c r="D14" s="1755"/>
      <c r="E14" s="1755"/>
      <c r="F14" s="175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757" t="s">
        <v>1802</v>
      </c>
      <c r="B16" s="1758" t="s">
        <v>1803</v>
      </c>
      <c r="C16" s="1757" t="s">
        <v>1804</v>
      </c>
      <c r="D16" s="1759" t="s">
        <v>1805</v>
      </c>
      <c r="E16" s="1759" t="s">
        <v>1806</v>
      </c>
      <c r="F16" s="1759" t="s">
        <v>1807</v>
      </c>
    </row>
    <row r="17" spans="1:7" x14ac:dyDescent="0.25">
      <c r="A17" s="1760" t="s">
        <v>1809</v>
      </c>
      <c r="B17" s="1785" t="s">
        <v>1800</v>
      </c>
      <c r="C17" s="1761" t="s">
        <v>1798</v>
      </c>
      <c r="D17" s="1762">
        <v>500000</v>
      </c>
      <c r="E17" s="1762" t="str">
        <f>IF(D17&lt;25000,D17,"25,000")</f>
        <v>25,000</v>
      </c>
      <c r="F17" s="1763">
        <f>IF(D17&gt;=25000,(D17-E17),"0")</f>
        <v>475000</v>
      </c>
    </row>
    <row r="18" spans="1:7" x14ac:dyDescent="0.25">
      <c r="A18" s="1794" t="s">
        <v>2053</v>
      </c>
      <c r="B18" s="1786">
        <v>202540300</v>
      </c>
      <c r="C18" s="1795" t="s">
        <v>2057</v>
      </c>
      <c r="D18" s="1764">
        <v>1550390.12</v>
      </c>
      <c r="E18" s="1784" t="str">
        <f t="shared" ref="E18:E80" si="0">IF(D18&lt;25000,D18,"25,000")</f>
        <v>25,000</v>
      </c>
      <c r="F18" s="1784">
        <f t="shared" ref="F18:F80" si="1">IF(D18&gt;=25000,(D18-E18),"0")</f>
        <v>1525390.12</v>
      </c>
      <c r="G18" s="1765"/>
    </row>
    <row r="19" spans="1:7" x14ac:dyDescent="0.25">
      <c r="A19" s="1794" t="s">
        <v>2056</v>
      </c>
      <c r="B19" s="1786">
        <v>102200300</v>
      </c>
      <c r="C19" s="1795" t="s">
        <v>2058</v>
      </c>
      <c r="D19" s="1764">
        <v>60600</v>
      </c>
      <c r="E19" s="1784" t="str">
        <f t="shared" si="0"/>
        <v>25,000</v>
      </c>
      <c r="F19" s="1784">
        <f t="shared" si="1"/>
        <v>35600</v>
      </c>
    </row>
    <row r="20" spans="1:7" x14ac:dyDescent="0.25">
      <c r="A20" s="1794" t="s">
        <v>2053</v>
      </c>
      <c r="B20" s="1786">
        <v>202540300</v>
      </c>
      <c r="C20" s="1795" t="s">
        <v>2059</v>
      </c>
      <c r="D20" s="1764">
        <v>56388.76</v>
      </c>
      <c r="E20" s="1784" t="str">
        <f t="shared" si="0"/>
        <v>25,000</v>
      </c>
      <c r="F20" s="1784">
        <f t="shared" si="1"/>
        <v>31388.760000000002</v>
      </c>
    </row>
    <row r="21" spans="1:7" x14ac:dyDescent="0.25">
      <c r="A21" s="1794" t="s">
        <v>2054</v>
      </c>
      <c r="B21" s="1786">
        <v>101000300</v>
      </c>
      <c r="C21" s="1795" t="s">
        <v>2060</v>
      </c>
      <c r="D21" s="1764">
        <v>196440</v>
      </c>
      <c r="E21" s="1784" t="str">
        <f t="shared" si="0"/>
        <v>25,000</v>
      </c>
      <c r="F21" s="1784">
        <f t="shared" si="1"/>
        <v>171440</v>
      </c>
    </row>
    <row r="22" spans="1:7" x14ac:dyDescent="0.25">
      <c r="A22" s="1794" t="s">
        <v>2056</v>
      </c>
      <c r="B22" s="1786">
        <v>102200300</v>
      </c>
      <c r="C22" s="1795" t="s">
        <v>2061</v>
      </c>
      <c r="D22" s="1764">
        <v>64394.53</v>
      </c>
      <c r="E22" s="1784" t="str">
        <f t="shared" si="0"/>
        <v>25,000</v>
      </c>
      <c r="F22" s="1784">
        <f t="shared" si="1"/>
        <v>39394.53</v>
      </c>
    </row>
    <row r="23" spans="1:7" x14ac:dyDescent="0.25">
      <c r="A23" s="1794" t="s">
        <v>2054</v>
      </c>
      <c r="B23" s="1786">
        <v>101000300</v>
      </c>
      <c r="C23" s="1795" t="s">
        <v>2062</v>
      </c>
      <c r="D23" s="1764">
        <v>28000</v>
      </c>
      <c r="E23" s="1784" t="str">
        <f t="shared" si="0"/>
        <v>25,000</v>
      </c>
      <c r="F23" s="1784">
        <f t="shared" si="1"/>
        <v>3000</v>
      </c>
    </row>
    <row r="24" spans="1:7" x14ac:dyDescent="0.25">
      <c r="A24" s="1794" t="s">
        <v>2054</v>
      </c>
      <c r="B24" s="1786">
        <v>101000600</v>
      </c>
      <c r="C24" s="1795" t="s">
        <v>2063</v>
      </c>
      <c r="D24" s="1764">
        <v>278342.2</v>
      </c>
      <c r="E24" s="1784" t="str">
        <f t="shared" si="0"/>
        <v>25,000</v>
      </c>
      <c r="F24" s="1784">
        <f t="shared" si="1"/>
        <v>253342.2</v>
      </c>
    </row>
    <row r="25" spans="1:7" x14ac:dyDescent="0.25">
      <c r="A25" s="1794" t="s">
        <v>2054</v>
      </c>
      <c r="B25" s="1786">
        <v>101000600</v>
      </c>
      <c r="C25" s="1795" t="s">
        <v>2064</v>
      </c>
      <c r="D25" s="1764">
        <v>123883.98</v>
      </c>
      <c r="E25" s="1784" t="str">
        <f t="shared" si="0"/>
        <v>25,000</v>
      </c>
      <c r="F25" s="1784">
        <f t="shared" si="1"/>
        <v>98883.98</v>
      </c>
    </row>
    <row r="26" spans="1:7" x14ac:dyDescent="0.25">
      <c r="A26" s="1794" t="s">
        <v>2054</v>
      </c>
      <c r="B26" s="1786">
        <v>101000300</v>
      </c>
      <c r="C26" s="1795" t="s">
        <v>2065</v>
      </c>
      <c r="D26" s="1764">
        <v>79092.5</v>
      </c>
      <c r="E26" s="1784" t="str">
        <f t="shared" si="0"/>
        <v>25,000</v>
      </c>
      <c r="F26" s="1784">
        <f t="shared" si="1"/>
        <v>54092.5</v>
      </c>
    </row>
    <row r="27" spans="1:7" x14ac:dyDescent="0.25">
      <c r="A27" s="1794" t="s">
        <v>2055</v>
      </c>
      <c r="B27" s="1786">
        <v>402550300</v>
      </c>
      <c r="C27" s="1795" t="s">
        <v>2066</v>
      </c>
      <c r="D27" s="1764">
        <v>246737.38</v>
      </c>
      <c r="E27" s="1784" t="str">
        <f t="shared" si="0"/>
        <v>25,000</v>
      </c>
      <c r="F27" s="1784">
        <f t="shared" si="1"/>
        <v>221737.38</v>
      </c>
    </row>
    <row r="28" spans="1:7" x14ac:dyDescent="0.25">
      <c r="A28" s="1794" t="s">
        <v>2056</v>
      </c>
      <c r="B28" s="1786">
        <v>102200300</v>
      </c>
      <c r="C28" s="1795" t="s">
        <v>2067</v>
      </c>
      <c r="D28" s="1764">
        <v>28403</v>
      </c>
      <c r="E28" s="1784" t="str">
        <f t="shared" si="0"/>
        <v>25,000</v>
      </c>
      <c r="F28" s="1784">
        <f t="shared" si="1"/>
        <v>3403</v>
      </c>
    </row>
    <row r="29" spans="1:7" x14ac:dyDescent="0.25">
      <c r="A29" s="1794" t="s">
        <v>2054</v>
      </c>
      <c r="B29" s="1786">
        <v>101000600</v>
      </c>
      <c r="C29" s="1795" t="s">
        <v>2068</v>
      </c>
      <c r="D29" s="1764">
        <v>109885.36</v>
      </c>
      <c r="E29" s="1784" t="str">
        <f t="shared" si="0"/>
        <v>25,000</v>
      </c>
      <c r="F29" s="1784">
        <f t="shared" si="1"/>
        <v>84885.36</v>
      </c>
    </row>
    <row r="30" spans="1:7" x14ac:dyDescent="0.25">
      <c r="A30" s="1794" t="s">
        <v>2054</v>
      </c>
      <c r="B30" s="1786">
        <v>101000600</v>
      </c>
      <c r="C30" s="1795" t="s">
        <v>2069</v>
      </c>
      <c r="D30" s="1764">
        <v>110037.17</v>
      </c>
      <c r="E30" s="1784" t="str">
        <f t="shared" si="0"/>
        <v>25,000</v>
      </c>
      <c r="F30" s="1784">
        <f t="shared" si="1"/>
        <v>85037.17</v>
      </c>
    </row>
    <row r="31" spans="1:7" x14ac:dyDescent="0.25">
      <c r="A31" s="1794" t="s">
        <v>2054</v>
      </c>
      <c r="B31" s="1786">
        <v>101000300</v>
      </c>
      <c r="C31" s="1795" t="s">
        <v>2070</v>
      </c>
      <c r="D31" s="1764">
        <v>252152.33</v>
      </c>
      <c r="E31" s="1784" t="str">
        <f t="shared" si="0"/>
        <v>25,000</v>
      </c>
      <c r="F31" s="1784">
        <f t="shared" si="1"/>
        <v>227152.33</v>
      </c>
    </row>
    <row r="32" spans="1:7" x14ac:dyDescent="0.25">
      <c r="A32" s="1794" t="s">
        <v>2054</v>
      </c>
      <c r="B32" s="1786">
        <v>101000300</v>
      </c>
      <c r="C32" s="1795" t="s">
        <v>2071</v>
      </c>
      <c r="D32" s="1764">
        <v>28353.599999999999</v>
      </c>
      <c r="E32" s="1784" t="str">
        <f t="shared" si="0"/>
        <v>25,000</v>
      </c>
      <c r="F32" s="1784">
        <f t="shared" si="1"/>
        <v>3353.5999999999985</v>
      </c>
    </row>
    <row r="33" spans="1:6" x14ac:dyDescent="0.25">
      <c r="A33" s="1794" t="s">
        <v>2054</v>
      </c>
      <c r="B33" s="1786">
        <v>101000300</v>
      </c>
      <c r="C33" s="1795" t="s">
        <v>2072</v>
      </c>
      <c r="D33" s="1764">
        <v>25042.42</v>
      </c>
      <c r="E33" s="1784" t="str">
        <f t="shared" si="0"/>
        <v>25,000</v>
      </c>
      <c r="F33" s="1784">
        <f t="shared" si="1"/>
        <v>42.419999999998254</v>
      </c>
    </row>
    <row r="34" spans="1:6" x14ac:dyDescent="0.25">
      <c r="A34" s="1794" t="s">
        <v>2055</v>
      </c>
      <c r="B34" s="1786">
        <v>402550300</v>
      </c>
      <c r="C34" s="1795" t="s">
        <v>2073</v>
      </c>
      <c r="D34" s="1764">
        <v>1272134.17</v>
      </c>
      <c r="E34" s="1784" t="str">
        <f t="shared" si="0"/>
        <v>25,000</v>
      </c>
      <c r="F34" s="1784">
        <f t="shared" si="1"/>
        <v>1247134.17</v>
      </c>
    </row>
    <row r="35" spans="1:6" x14ac:dyDescent="0.25">
      <c r="A35" s="1794" t="s">
        <v>2054</v>
      </c>
      <c r="B35" s="1786">
        <v>101000300</v>
      </c>
      <c r="C35" s="1795" t="s">
        <v>2074</v>
      </c>
      <c r="D35" s="1764">
        <v>58662.5</v>
      </c>
      <c r="E35" s="1784" t="str">
        <f t="shared" si="0"/>
        <v>25,000</v>
      </c>
      <c r="F35" s="1784">
        <f t="shared" si="1"/>
        <v>33662.5</v>
      </c>
    </row>
    <row r="36" spans="1:6" x14ac:dyDescent="0.25">
      <c r="A36" s="1794" t="s">
        <v>2055</v>
      </c>
      <c r="B36" s="1786">
        <v>402550300</v>
      </c>
      <c r="C36" s="1795" t="s">
        <v>2075</v>
      </c>
      <c r="D36" s="1764">
        <v>48059.19</v>
      </c>
      <c r="E36" s="1784" t="str">
        <f t="shared" si="0"/>
        <v>25,000</v>
      </c>
      <c r="F36" s="1784">
        <f t="shared" si="1"/>
        <v>23059.190000000002</v>
      </c>
    </row>
    <row r="37" spans="1:6" x14ac:dyDescent="0.25">
      <c r="A37" s="1794" t="s">
        <v>2056</v>
      </c>
      <c r="B37" s="1787">
        <v>102200300</v>
      </c>
      <c r="C37" s="1795" t="s">
        <v>2076</v>
      </c>
      <c r="D37" s="1764">
        <v>28369.56</v>
      </c>
      <c r="E37" s="1784" t="str">
        <f t="shared" si="0"/>
        <v>25,000</v>
      </c>
      <c r="F37" s="1784">
        <f t="shared" si="1"/>
        <v>3369.5600000000013</v>
      </c>
    </row>
    <row r="38" spans="1:6" x14ac:dyDescent="0.25">
      <c r="A38" s="1794" t="s">
        <v>2056</v>
      </c>
      <c r="B38" s="1787">
        <v>102540300</v>
      </c>
      <c r="C38" s="1795" t="s">
        <v>2077</v>
      </c>
      <c r="D38" s="1764">
        <v>26000</v>
      </c>
      <c r="E38" s="1784" t="str">
        <f t="shared" si="0"/>
        <v>25,000</v>
      </c>
      <c r="F38" s="1784">
        <f t="shared" si="1"/>
        <v>1000</v>
      </c>
    </row>
    <row r="39" spans="1:6" x14ac:dyDescent="0.25">
      <c r="A39" s="1794" t="s">
        <v>2056</v>
      </c>
      <c r="B39" s="1787">
        <v>102300300</v>
      </c>
      <c r="C39" s="1795" t="s">
        <v>2078</v>
      </c>
      <c r="D39" s="1764">
        <v>26000</v>
      </c>
      <c r="E39" s="1784" t="str">
        <f t="shared" si="0"/>
        <v>25,000</v>
      </c>
      <c r="F39" s="1784">
        <f t="shared" si="1"/>
        <v>1000</v>
      </c>
    </row>
    <row r="40" spans="1:6" x14ac:dyDescent="0.25">
      <c r="A40" s="1794" t="s">
        <v>2056</v>
      </c>
      <c r="B40" s="1787">
        <v>102200300</v>
      </c>
      <c r="C40" s="1795" t="s">
        <v>2079</v>
      </c>
      <c r="D40" s="1764">
        <v>27526.799999999999</v>
      </c>
      <c r="E40" s="1784" t="str">
        <f t="shared" si="0"/>
        <v>25,000</v>
      </c>
      <c r="F40" s="1784">
        <f t="shared" si="1"/>
        <v>2526.7999999999993</v>
      </c>
    </row>
    <row r="41" spans="1:6" x14ac:dyDescent="0.25">
      <c r="A41" s="1794" t="s">
        <v>2053</v>
      </c>
      <c r="B41" s="1787">
        <v>202540300</v>
      </c>
      <c r="C41" s="1795" t="s">
        <v>2080</v>
      </c>
      <c r="D41" s="1764">
        <v>67227.5</v>
      </c>
      <c r="E41" s="1784" t="str">
        <f t="shared" si="0"/>
        <v>25,000</v>
      </c>
      <c r="F41" s="1784">
        <f t="shared" si="1"/>
        <v>42227.5</v>
      </c>
    </row>
    <row r="42" spans="1:6" x14ac:dyDescent="0.25">
      <c r="A42" s="1794" t="s">
        <v>2054</v>
      </c>
      <c r="B42" s="1787">
        <v>101000600</v>
      </c>
      <c r="C42" s="1795" t="s">
        <v>2081</v>
      </c>
      <c r="D42" s="1764">
        <v>284841.06</v>
      </c>
      <c r="E42" s="1784" t="str">
        <f t="shared" si="0"/>
        <v>25,000</v>
      </c>
      <c r="F42" s="1784">
        <f t="shared" si="1"/>
        <v>259841.06</v>
      </c>
    </row>
    <row r="43" spans="1:6" x14ac:dyDescent="0.25">
      <c r="A43" s="1794" t="s">
        <v>2053</v>
      </c>
      <c r="B43" s="1787">
        <v>202540300</v>
      </c>
      <c r="C43" s="1795" t="s">
        <v>2082</v>
      </c>
      <c r="D43" s="1764">
        <v>63403.74</v>
      </c>
      <c r="E43" s="1784" t="str">
        <f t="shared" si="0"/>
        <v>25,000</v>
      </c>
      <c r="F43" s="1784">
        <f t="shared" si="1"/>
        <v>38403.74</v>
      </c>
    </row>
    <row r="44" spans="1:6" x14ac:dyDescent="0.25">
      <c r="A44" s="1794" t="s">
        <v>2054</v>
      </c>
      <c r="B44" s="1787">
        <v>101000600</v>
      </c>
      <c r="C44" s="1795" t="s">
        <v>2083</v>
      </c>
      <c r="D44" s="1764">
        <v>139495.04999999999</v>
      </c>
      <c r="E44" s="1784" t="str">
        <f t="shared" si="0"/>
        <v>25,000</v>
      </c>
      <c r="F44" s="1784">
        <f t="shared" si="1"/>
        <v>114495.04999999999</v>
      </c>
    </row>
    <row r="45" spans="1:6" x14ac:dyDescent="0.25">
      <c r="A45" s="1794" t="s">
        <v>2053</v>
      </c>
      <c r="B45" s="1787">
        <v>202540300</v>
      </c>
      <c r="C45" s="1795" t="s">
        <v>2084</v>
      </c>
      <c r="D45" s="1764">
        <v>32000</v>
      </c>
      <c r="E45" s="1784" t="str">
        <f t="shared" si="0"/>
        <v>25,000</v>
      </c>
      <c r="F45" s="1784">
        <f t="shared" si="1"/>
        <v>7000</v>
      </c>
    </row>
    <row r="46" spans="1:6" x14ac:dyDescent="0.25">
      <c r="A46" s="1794" t="s">
        <v>2053</v>
      </c>
      <c r="B46" s="1787">
        <v>202540300</v>
      </c>
      <c r="C46" s="1795" t="s">
        <v>2085</v>
      </c>
      <c r="D46" s="1764">
        <v>26335.58</v>
      </c>
      <c r="E46" s="1784" t="str">
        <f t="shared" si="0"/>
        <v>25,000</v>
      </c>
      <c r="F46" s="1784">
        <f t="shared" si="1"/>
        <v>1335.5800000000017</v>
      </c>
    </row>
    <row r="47" spans="1:6" x14ac:dyDescent="0.25">
      <c r="A47" s="1794" t="s">
        <v>2056</v>
      </c>
      <c r="B47" s="1787">
        <v>102300300</v>
      </c>
      <c r="C47" s="1795" t="s">
        <v>2086</v>
      </c>
      <c r="D47" s="1764">
        <v>70623.88</v>
      </c>
      <c r="E47" s="1784" t="str">
        <f t="shared" si="0"/>
        <v>25,000</v>
      </c>
      <c r="F47" s="1784">
        <f t="shared" si="1"/>
        <v>45623.880000000005</v>
      </c>
    </row>
    <row r="48" spans="1:6" x14ac:dyDescent="0.25">
      <c r="A48" s="1794" t="s">
        <v>2054</v>
      </c>
      <c r="B48" s="1787">
        <v>101000600</v>
      </c>
      <c r="C48" s="1795" t="s">
        <v>2087</v>
      </c>
      <c r="D48" s="1764">
        <v>38725.839999999997</v>
      </c>
      <c r="E48" s="1784" t="str">
        <f t="shared" si="0"/>
        <v>25,000</v>
      </c>
      <c r="F48" s="1784">
        <f t="shared" si="1"/>
        <v>13725.839999999997</v>
      </c>
    </row>
    <row r="49" spans="1:6" x14ac:dyDescent="0.25">
      <c r="A49" s="1794" t="s">
        <v>2053</v>
      </c>
      <c r="B49" s="1787">
        <v>202540300</v>
      </c>
      <c r="C49" s="1795" t="s">
        <v>2088</v>
      </c>
      <c r="D49" s="1764">
        <v>31411</v>
      </c>
      <c r="E49" s="1784" t="str">
        <f t="shared" si="0"/>
        <v>25,000</v>
      </c>
      <c r="F49" s="1784">
        <f t="shared" si="1"/>
        <v>6411</v>
      </c>
    </row>
    <row r="50" spans="1:6" x14ac:dyDescent="0.25">
      <c r="A50" s="1794" t="s">
        <v>2056</v>
      </c>
      <c r="B50" s="1787">
        <v>102200300</v>
      </c>
      <c r="C50" s="1795" t="s">
        <v>2089</v>
      </c>
      <c r="D50" s="1764">
        <v>172360.22</v>
      </c>
      <c r="E50" s="1784" t="str">
        <f t="shared" si="0"/>
        <v>25,000</v>
      </c>
      <c r="F50" s="1784">
        <f t="shared" si="1"/>
        <v>147360.22</v>
      </c>
    </row>
    <row r="51" spans="1:6" x14ac:dyDescent="0.25">
      <c r="A51" s="1794" t="s">
        <v>2056</v>
      </c>
      <c r="B51" s="1787">
        <v>102900300</v>
      </c>
      <c r="C51" s="1795" t="s">
        <v>2090</v>
      </c>
      <c r="D51" s="1764">
        <v>529367.04000000004</v>
      </c>
      <c r="E51" s="1784" t="str">
        <f t="shared" si="0"/>
        <v>25,000</v>
      </c>
      <c r="F51" s="1784">
        <f t="shared" si="1"/>
        <v>504367.04000000004</v>
      </c>
    </row>
    <row r="52" spans="1:6" x14ac:dyDescent="0.25">
      <c r="A52" s="1794" t="s">
        <v>2053</v>
      </c>
      <c r="B52" s="1787">
        <v>202540300</v>
      </c>
      <c r="C52" s="1795" t="s">
        <v>2091</v>
      </c>
      <c r="D52" s="1764">
        <v>27679.09</v>
      </c>
      <c r="E52" s="1784" t="str">
        <f t="shared" si="0"/>
        <v>25,000</v>
      </c>
      <c r="F52" s="1784">
        <f t="shared" si="1"/>
        <v>2679.09</v>
      </c>
    </row>
    <row r="53" spans="1:6" x14ac:dyDescent="0.25">
      <c r="A53" s="1794" t="s">
        <v>2053</v>
      </c>
      <c r="B53" s="1787">
        <v>202540300</v>
      </c>
      <c r="C53" s="1795" t="s">
        <v>2092</v>
      </c>
      <c r="D53" s="1764">
        <v>28850</v>
      </c>
      <c r="E53" s="1784" t="str">
        <f t="shared" si="0"/>
        <v>25,000</v>
      </c>
      <c r="F53" s="1784">
        <f t="shared" si="1"/>
        <v>3850</v>
      </c>
    </row>
    <row r="54" spans="1:6" x14ac:dyDescent="0.25">
      <c r="A54" s="1794" t="s">
        <v>2054</v>
      </c>
      <c r="B54" s="1787">
        <v>101000600</v>
      </c>
      <c r="C54" s="1795" t="s">
        <v>2093</v>
      </c>
      <c r="D54" s="1764">
        <v>86352.48</v>
      </c>
      <c r="E54" s="1784" t="str">
        <f t="shared" si="0"/>
        <v>25,000</v>
      </c>
      <c r="F54" s="1784">
        <f t="shared" si="1"/>
        <v>61352.479999999996</v>
      </c>
    </row>
    <row r="55" spans="1:6" x14ac:dyDescent="0.25">
      <c r="A55" s="1794" t="s">
        <v>2053</v>
      </c>
      <c r="B55" s="1787">
        <v>202540300</v>
      </c>
      <c r="C55" s="1795" t="s">
        <v>2094</v>
      </c>
      <c r="D55" s="1764">
        <v>28152.91</v>
      </c>
      <c r="E55" s="1784" t="str">
        <f t="shared" si="0"/>
        <v>25,000</v>
      </c>
      <c r="F55" s="1784">
        <f t="shared" si="1"/>
        <v>3152.91</v>
      </c>
    </row>
    <row r="56" spans="1:6" x14ac:dyDescent="0.25">
      <c r="A56" s="1794" t="s">
        <v>2055</v>
      </c>
      <c r="B56" s="1787">
        <v>402550300</v>
      </c>
      <c r="C56" s="1795" t="s">
        <v>2095</v>
      </c>
      <c r="D56" s="1764">
        <v>183733.75</v>
      </c>
      <c r="E56" s="1784" t="str">
        <f t="shared" si="0"/>
        <v>25,000</v>
      </c>
      <c r="F56" s="1784">
        <f t="shared" si="1"/>
        <v>158733.75</v>
      </c>
    </row>
    <row r="57" spans="1:6" x14ac:dyDescent="0.25">
      <c r="A57" s="1794" t="s">
        <v>2054</v>
      </c>
      <c r="B57" s="1787">
        <v>101000600</v>
      </c>
      <c r="C57" s="1795" t="s">
        <v>2096</v>
      </c>
      <c r="D57" s="1764">
        <v>196535.51</v>
      </c>
      <c r="E57" s="1784" t="str">
        <f t="shared" si="0"/>
        <v>25,000</v>
      </c>
      <c r="F57" s="1784">
        <f t="shared" si="1"/>
        <v>171535.51</v>
      </c>
    </row>
    <row r="58" spans="1:6" x14ac:dyDescent="0.25">
      <c r="A58" s="1794" t="s">
        <v>2055</v>
      </c>
      <c r="B58" s="1787">
        <v>402550300</v>
      </c>
      <c r="C58" s="1795" t="s">
        <v>2097</v>
      </c>
      <c r="D58" s="1764">
        <v>34059.800000000003</v>
      </c>
      <c r="E58" s="1784" t="str">
        <f t="shared" si="0"/>
        <v>25,000</v>
      </c>
      <c r="F58" s="1784">
        <f t="shared" si="1"/>
        <v>9059.8000000000029</v>
      </c>
    </row>
    <row r="59" spans="1:6" x14ac:dyDescent="0.25">
      <c r="A59" s="1794" t="s">
        <v>2053</v>
      </c>
      <c r="B59" s="1787">
        <v>202540300</v>
      </c>
      <c r="C59" s="1795" t="s">
        <v>2098</v>
      </c>
      <c r="D59" s="1764">
        <v>47105</v>
      </c>
      <c r="E59" s="1784" t="str">
        <f t="shared" si="0"/>
        <v>25,000</v>
      </c>
      <c r="F59" s="1784">
        <f t="shared" si="1"/>
        <v>22105</v>
      </c>
    </row>
    <row r="60" spans="1:6" x14ac:dyDescent="0.25">
      <c r="A60" s="1794" t="s">
        <v>2053</v>
      </c>
      <c r="B60" s="1787">
        <v>202540300</v>
      </c>
      <c r="C60" s="1795" t="s">
        <v>2099</v>
      </c>
      <c r="D60" s="1764">
        <v>45461.9</v>
      </c>
      <c r="E60" s="1784" t="str">
        <f t="shared" si="0"/>
        <v>25,000</v>
      </c>
      <c r="F60" s="1784">
        <f t="shared" si="1"/>
        <v>20461.900000000001</v>
      </c>
    </row>
    <row r="61" spans="1:6" x14ac:dyDescent="0.25">
      <c r="A61" s="1794" t="s">
        <v>2054</v>
      </c>
      <c r="B61" s="1787">
        <v>101000600</v>
      </c>
      <c r="C61" s="1795" t="s">
        <v>2100</v>
      </c>
      <c r="D61" s="1764">
        <v>116616.12</v>
      </c>
      <c r="E61" s="1784" t="str">
        <f t="shared" si="0"/>
        <v>25,000</v>
      </c>
      <c r="F61" s="1784">
        <f t="shared" si="1"/>
        <v>91616.12</v>
      </c>
    </row>
    <row r="62" spans="1:6" x14ac:dyDescent="0.25">
      <c r="A62" s="1794" t="s">
        <v>2053</v>
      </c>
      <c r="B62" s="1787">
        <v>202540300</v>
      </c>
      <c r="C62" s="1795" t="s">
        <v>2101</v>
      </c>
      <c r="D62" s="1764">
        <v>29235</v>
      </c>
      <c r="E62" s="1784" t="str">
        <f t="shared" si="0"/>
        <v>25,000</v>
      </c>
      <c r="F62" s="1784">
        <f t="shared" si="1"/>
        <v>4235</v>
      </c>
    </row>
    <row r="63" spans="1:6" x14ac:dyDescent="0.25">
      <c r="A63" s="1794" t="s">
        <v>2054</v>
      </c>
      <c r="B63" s="1787">
        <v>101000600</v>
      </c>
      <c r="C63" s="1795" t="s">
        <v>2102</v>
      </c>
      <c r="D63" s="1764">
        <v>100842.42</v>
      </c>
      <c r="E63" s="1784" t="str">
        <f t="shared" si="0"/>
        <v>25,000</v>
      </c>
      <c r="F63" s="1784">
        <f t="shared" si="1"/>
        <v>75842.42</v>
      </c>
    </row>
    <row r="64" spans="1:6" x14ac:dyDescent="0.25">
      <c r="A64" s="1794" t="s">
        <v>2056</v>
      </c>
      <c r="B64" s="1787">
        <v>102200300</v>
      </c>
      <c r="C64" s="1795" t="s">
        <v>2103</v>
      </c>
      <c r="D64" s="1764">
        <v>57621.87</v>
      </c>
      <c r="E64" s="1784" t="str">
        <f t="shared" si="0"/>
        <v>25,000</v>
      </c>
      <c r="F64" s="1784">
        <f t="shared" si="1"/>
        <v>32621.870000000003</v>
      </c>
    </row>
    <row r="65" spans="1:6" x14ac:dyDescent="0.25">
      <c r="A65" s="1794" t="s">
        <v>2053</v>
      </c>
      <c r="B65" s="1787">
        <v>202540300</v>
      </c>
      <c r="C65" s="1795" t="s">
        <v>2104</v>
      </c>
      <c r="D65" s="1764">
        <v>30744.61</v>
      </c>
      <c r="E65" s="1784" t="str">
        <f t="shared" si="0"/>
        <v>25,000</v>
      </c>
      <c r="F65" s="1784">
        <f t="shared" si="1"/>
        <v>5744.6100000000006</v>
      </c>
    </row>
    <row r="66" spans="1:6" x14ac:dyDescent="0.25">
      <c r="A66" s="1794" t="s">
        <v>2053</v>
      </c>
      <c r="B66" s="1787">
        <v>202540300</v>
      </c>
      <c r="C66" s="1795" t="s">
        <v>2105</v>
      </c>
      <c r="D66" s="1764">
        <v>45858.77</v>
      </c>
      <c r="E66" s="1784" t="str">
        <f t="shared" si="0"/>
        <v>25,000</v>
      </c>
      <c r="F66" s="1784">
        <f t="shared" si="1"/>
        <v>20858.769999999997</v>
      </c>
    </row>
    <row r="67" spans="1:6" x14ac:dyDescent="0.25">
      <c r="A67" s="1794" t="s">
        <v>2053</v>
      </c>
      <c r="B67" s="1787">
        <v>202540300</v>
      </c>
      <c r="C67" s="1795" t="s">
        <v>2106</v>
      </c>
      <c r="D67" s="1764">
        <v>29770.23</v>
      </c>
      <c r="E67" s="1784" t="str">
        <f t="shared" si="0"/>
        <v>25,000</v>
      </c>
      <c r="F67" s="1784">
        <f t="shared" si="1"/>
        <v>4770.2299999999996</v>
      </c>
    </row>
    <row r="68" spans="1:6" x14ac:dyDescent="0.25">
      <c r="A68" s="1794"/>
      <c r="B68" s="1787"/>
      <c r="C68" s="1767"/>
      <c r="D68" s="1764"/>
      <c r="E68" s="1784">
        <f t="shared" si="0"/>
        <v>0</v>
      </c>
      <c r="F68" s="1784" t="str">
        <f t="shared" si="1"/>
        <v>0</v>
      </c>
    </row>
    <row r="69" spans="1:6" x14ac:dyDescent="0.25">
      <c r="A69" s="1766"/>
      <c r="B69" s="1787"/>
      <c r="C69" s="1767"/>
      <c r="D69" s="1764"/>
      <c r="E69" s="1784">
        <f t="shared" si="0"/>
        <v>0</v>
      </c>
      <c r="F69" s="1784" t="str">
        <f t="shared" si="1"/>
        <v>0</v>
      </c>
    </row>
    <row r="70" spans="1:6" x14ac:dyDescent="0.25">
      <c r="A70" s="1766"/>
      <c r="B70" s="1787"/>
      <c r="C70" s="1767"/>
      <c r="D70" s="1764"/>
      <c r="E70" s="1784">
        <f t="shared" si="0"/>
        <v>0</v>
      </c>
      <c r="F70" s="1784" t="str">
        <f t="shared" si="1"/>
        <v>0</v>
      </c>
    </row>
    <row r="71" spans="1:6" x14ac:dyDescent="0.25">
      <c r="A71" s="1766"/>
      <c r="B71" s="1787"/>
      <c r="C71" s="1767"/>
      <c r="D71" s="1764"/>
      <c r="E71" s="1784">
        <f t="shared" si="0"/>
        <v>0</v>
      </c>
      <c r="F71" s="1784" t="str">
        <f t="shared" si="1"/>
        <v>0</v>
      </c>
    </row>
    <row r="72" spans="1:6" x14ac:dyDescent="0.25">
      <c r="A72" s="1766"/>
      <c r="B72" s="1787"/>
      <c r="C72" s="1767"/>
      <c r="D72" s="1764"/>
      <c r="E72" s="1784">
        <f t="shared" si="0"/>
        <v>0</v>
      </c>
      <c r="F72" s="1784" t="str">
        <f t="shared" si="1"/>
        <v>0</v>
      </c>
    </row>
    <row r="73" spans="1:6" x14ac:dyDescent="0.25">
      <c r="A73" s="1766"/>
      <c r="B73" s="1787"/>
      <c r="C73" s="1767"/>
      <c r="D73" s="1764"/>
      <c r="E73" s="1784">
        <f t="shared" si="0"/>
        <v>0</v>
      </c>
      <c r="F73" s="1784" t="str">
        <f t="shared" si="1"/>
        <v>0</v>
      </c>
    </row>
    <row r="74" spans="1:6" x14ac:dyDescent="0.25">
      <c r="A74" s="1766"/>
      <c r="B74" s="1787"/>
      <c r="C74" s="1767"/>
      <c r="D74" s="1764"/>
      <c r="E74" s="1784">
        <f t="shared" si="0"/>
        <v>0</v>
      </c>
      <c r="F74" s="1784" t="str">
        <f t="shared" si="1"/>
        <v>0</v>
      </c>
    </row>
    <row r="75" spans="1:6" x14ac:dyDescent="0.25">
      <c r="A75" s="1766"/>
      <c r="B75" s="1787"/>
      <c r="C75" s="1767"/>
      <c r="D75" s="1764"/>
      <c r="E75" s="1784">
        <f t="shared" si="0"/>
        <v>0</v>
      </c>
      <c r="F75" s="1784" t="str">
        <f t="shared" si="1"/>
        <v>0</v>
      </c>
    </row>
    <row r="76" spans="1:6" x14ac:dyDescent="0.25">
      <c r="A76" s="1766"/>
      <c r="B76" s="1787"/>
      <c r="C76" s="1767"/>
      <c r="D76" s="1764"/>
      <c r="E76" s="1784">
        <f t="shared" si="0"/>
        <v>0</v>
      </c>
      <c r="F76" s="1784" t="str">
        <f t="shared" si="1"/>
        <v>0</v>
      </c>
    </row>
    <row r="77" spans="1:6" x14ac:dyDescent="0.25">
      <c r="A77" s="1766"/>
      <c r="B77" s="1787"/>
      <c r="C77" s="1767"/>
      <c r="D77" s="1764"/>
      <c r="E77" s="1784">
        <f t="shared" si="0"/>
        <v>0</v>
      </c>
      <c r="F77" s="1784" t="str">
        <f t="shared" si="1"/>
        <v>0</v>
      </c>
    </row>
    <row r="78" spans="1:6" x14ac:dyDescent="0.25">
      <c r="A78" s="1766"/>
      <c r="B78" s="1787"/>
      <c r="C78" s="1767"/>
      <c r="D78" s="1764"/>
      <c r="E78" s="1784">
        <f t="shared" si="0"/>
        <v>0</v>
      </c>
      <c r="F78" s="1784" t="str">
        <f t="shared" si="1"/>
        <v>0</v>
      </c>
    </row>
    <row r="79" spans="1:6" x14ac:dyDescent="0.25">
      <c r="A79" s="1766"/>
      <c r="B79" s="1787"/>
      <c r="C79" s="1767"/>
      <c r="D79" s="1764"/>
      <c r="E79" s="1784">
        <f t="shared" si="0"/>
        <v>0</v>
      </c>
      <c r="F79" s="1784" t="str">
        <f t="shared" si="1"/>
        <v>0</v>
      </c>
    </row>
    <row r="80" spans="1:6" x14ac:dyDescent="0.25">
      <c r="A80" s="1766"/>
      <c r="B80" s="1787"/>
      <c r="C80" s="1767"/>
      <c r="D80" s="1764"/>
      <c r="E80" s="1784">
        <f t="shared" si="0"/>
        <v>0</v>
      </c>
      <c r="F80" s="1784" t="str">
        <f t="shared" si="1"/>
        <v>0</v>
      </c>
    </row>
    <row r="81" spans="1:6" x14ac:dyDescent="0.25">
      <c r="A81" s="1766"/>
      <c r="B81" s="1787"/>
      <c r="C81" s="1767"/>
      <c r="D81" s="1764"/>
      <c r="E81" s="1784">
        <f t="shared" ref="E81:E140" si="2">IF(D81&lt;25000,D81,"25,000")</f>
        <v>0</v>
      </c>
      <c r="F81" s="1784" t="str">
        <f t="shared" ref="F81:F140" si="3">IF(D81&gt;=25000,(D81-E81),"0")</f>
        <v>0</v>
      </c>
    </row>
    <row r="82" spans="1:6" x14ac:dyDescent="0.25">
      <c r="A82" s="1766"/>
      <c r="B82" s="1787"/>
      <c r="C82" s="1767"/>
      <c r="D82" s="1764"/>
      <c r="E82" s="1784">
        <f t="shared" si="2"/>
        <v>0</v>
      </c>
      <c r="F82" s="1784" t="str">
        <f t="shared" si="3"/>
        <v>0</v>
      </c>
    </row>
    <row r="83" spans="1:6" x14ac:dyDescent="0.25">
      <c r="A83" s="1766"/>
      <c r="B83" s="1787"/>
      <c r="C83" s="1767"/>
      <c r="D83" s="1764"/>
      <c r="E83" s="1784">
        <f t="shared" si="2"/>
        <v>0</v>
      </c>
      <c r="F83" s="1784" t="str">
        <f t="shared" si="3"/>
        <v>0</v>
      </c>
    </row>
    <row r="84" spans="1:6" x14ac:dyDescent="0.25">
      <c r="A84" s="1766"/>
      <c r="B84" s="1787"/>
      <c r="C84" s="1767"/>
      <c r="D84" s="1764"/>
      <c r="E84" s="1784">
        <f t="shared" si="2"/>
        <v>0</v>
      </c>
      <c r="F84" s="1784" t="str">
        <f t="shared" si="3"/>
        <v>0</v>
      </c>
    </row>
    <row r="85" spans="1:6" x14ac:dyDescent="0.25">
      <c r="A85" s="1766"/>
      <c r="B85" s="1787"/>
      <c r="C85" s="1767"/>
      <c r="D85" s="1764"/>
      <c r="E85" s="1784">
        <f t="shared" si="2"/>
        <v>0</v>
      </c>
      <c r="F85" s="1784" t="str">
        <f t="shared" si="3"/>
        <v>0</v>
      </c>
    </row>
    <row r="86" spans="1:6" x14ac:dyDescent="0.25">
      <c r="A86" s="1766"/>
      <c r="B86" s="1787"/>
      <c r="C86" s="1767"/>
      <c r="D86" s="1764"/>
      <c r="E86" s="1784">
        <f t="shared" si="2"/>
        <v>0</v>
      </c>
      <c r="F86" s="1784" t="str">
        <f t="shared" si="3"/>
        <v>0</v>
      </c>
    </row>
    <row r="87" spans="1:6" x14ac:dyDescent="0.25">
      <c r="A87" s="1766"/>
      <c r="B87" s="1787"/>
      <c r="C87" s="1767"/>
      <c r="D87" s="1764"/>
      <c r="E87" s="1784">
        <f t="shared" si="2"/>
        <v>0</v>
      </c>
      <c r="F87" s="1784" t="str">
        <f t="shared" si="3"/>
        <v>0</v>
      </c>
    </row>
    <row r="88" spans="1:6" x14ac:dyDescent="0.25">
      <c r="A88" s="1766"/>
      <c r="B88" s="1787"/>
      <c r="C88" s="1767"/>
      <c r="D88" s="1764"/>
      <c r="E88" s="1784">
        <f t="shared" si="2"/>
        <v>0</v>
      </c>
      <c r="F88" s="1784" t="str">
        <f t="shared" si="3"/>
        <v>0</v>
      </c>
    </row>
    <row r="89" spans="1:6" x14ac:dyDescent="0.25">
      <c r="A89" s="1766"/>
      <c r="B89" s="1787"/>
      <c r="C89" s="1767"/>
      <c r="D89" s="1764"/>
      <c r="E89" s="1784">
        <f t="shared" si="2"/>
        <v>0</v>
      </c>
      <c r="F89" s="1784" t="str">
        <f t="shared" si="3"/>
        <v>0</v>
      </c>
    </row>
    <row r="90" spans="1:6" x14ac:dyDescent="0.25">
      <c r="A90" s="1766"/>
      <c r="B90" s="1787"/>
      <c r="C90" s="1767"/>
      <c r="D90" s="1764"/>
      <c r="E90" s="1784">
        <f t="shared" si="2"/>
        <v>0</v>
      </c>
      <c r="F90" s="1784" t="str">
        <f t="shared" si="3"/>
        <v>0</v>
      </c>
    </row>
    <row r="91" spans="1:6" x14ac:dyDescent="0.25">
      <c r="A91" s="1766"/>
      <c r="B91" s="1787"/>
      <c r="C91" s="1767"/>
      <c r="D91" s="1764"/>
      <c r="E91" s="1784">
        <f t="shared" si="2"/>
        <v>0</v>
      </c>
      <c r="F91" s="1784" t="str">
        <f t="shared" si="3"/>
        <v>0</v>
      </c>
    </row>
    <row r="92" spans="1:6" x14ac:dyDescent="0.25">
      <c r="A92" s="1766"/>
      <c r="B92" s="1787"/>
      <c r="C92" s="1767"/>
      <c r="D92" s="1764"/>
      <c r="E92" s="1784">
        <f t="shared" si="2"/>
        <v>0</v>
      </c>
      <c r="F92" s="1784" t="str">
        <f t="shared" si="3"/>
        <v>0</v>
      </c>
    </row>
    <row r="93" spans="1:6" x14ac:dyDescent="0.25">
      <c r="A93" s="1766"/>
      <c r="B93" s="1787"/>
      <c r="C93" s="1767"/>
      <c r="D93" s="1764"/>
      <c r="E93" s="1784">
        <f t="shared" si="2"/>
        <v>0</v>
      </c>
      <c r="F93" s="1784" t="str">
        <f t="shared" si="3"/>
        <v>0</v>
      </c>
    </row>
    <row r="94" spans="1:6" x14ac:dyDescent="0.25">
      <c r="A94" s="1766"/>
      <c r="B94" s="1787"/>
      <c r="C94" s="1767"/>
      <c r="D94" s="1764"/>
      <c r="E94" s="1784">
        <f t="shared" si="2"/>
        <v>0</v>
      </c>
      <c r="F94" s="1784" t="str">
        <f t="shared" si="3"/>
        <v>0</v>
      </c>
    </row>
    <row r="95" spans="1:6" x14ac:dyDescent="0.25">
      <c r="A95" s="1766"/>
      <c r="B95" s="1787"/>
      <c r="C95" s="1767"/>
      <c r="D95" s="1764"/>
      <c r="E95" s="1784">
        <f t="shared" si="2"/>
        <v>0</v>
      </c>
      <c r="F95" s="1784" t="str">
        <f t="shared" si="3"/>
        <v>0</v>
      </c>
    </row>
    <row r="96" spans="1:6" x14ac:dyDescent="0.25">
      <c r="A96" s="1766"/>
      <c r="B96" s="1787"/>
      <c r="C96" s="1767"/>
      <c r="D96" s="1764"/>
      <c r="E96" s="1784">
        <f t="shared" si="2"/>
        <v>0</v>
      </c>
      <c r="F96" s="1784" t="str">
        <f t="shared" si="3"/>
        <v>0</v>
      </c>
    </row>
    <row r="97" spans="1:6" x14ac:dyDescent="0.25">
      <c r="A97" s="1766"/>
      <c r="B97" s="1787"/>
      <c r="C97" s="1767"/>
      <c r="D97" s="1764"/>
      <c r="E97" s="1784">
        <f t="shared" si="2"/>
        <v>0</v>
      </c>
      <c r="F97" s="1784" t="str">
        <f t="shared" si="3"/>
        <v>0</v>
      </c>
    </row>
    <row r="98" spans="1:6" x14ac:dyDescent="0.25">
      <c r="A98" s="1766"/>
      <c r="B98" s="1787"/>
      <c r="C98" s="1767"/>
      <c r="D98" s="1764"/>
      <c r="E98" s="1784">
        <f t="shared" si="2"/>
        <v>0</v>
      </c>
      <c r="F98" s="1784" t="str">
        <f t="shared" si="3"/>
        <v>0</v>
      </c>
    </row>
    <row r="99" spans="1:6" x14ac:dyDescent="0.25">
      <c r="A99" s="1766"/>
      <c r="B99" s="1787"/>
      <c r="C99" s="1767"/>
      <c r="D99" s="1764"/>
      <c r="E99" s="1784">
        <f t="shared" si="2"/>
        <v>0</v>
      </c>
      <c r="F99" s="1784" t="str">
        <f t="shared" si="3"/>
        <v>0</v>
      </c>
    </row>
    <row r="100" spans="1:6" x14ac:dyDescent="0.25">
      <c r="A100" s="1766"/>
      <c r="B100" s="1787"/>
      <c r="C100" s="1767"/>
      <c r="D100" s="1764"/>
      <c r="E100" s="1784">
        <f t="shared" si="2"/>
        <v>0</v>
      </c>
      <c r="F100" s="1784" t="str">
        <f t="shared" si="3"/>
        <v>0</v>
      </c>
    </row>
    <row r="101" spans="1:6" x14ac:dyDescent="0.25">
      <c r="A101" s="1766"/>
      <c r="B101" s="1787"/>
      <c r="C101" s="1767"/>
      <c r="D101" s="1764"/>
      <c r="E101" s="1784">
        <f t="shared" si="2"/>
        <v>0</v>
      </c>
      <c r="F101" s="1784" t="str">
        <f t="shared" si="3"/>
        <v>0</v>
      </c>
    </row>
    <row r="102" spans="1:6" x14ac:dyDescent="0.25">
      <c r="A102" s="1766"/>
      <c r="B102" s="1787"/>
      <c r="C102" s="1767"/>
      <c r="D102" s="1764"/>
      <c r="E102" s="1784">
        <f t="shared" si="2"/>
        <v>0</v>
      </c>
      <c r="F102" s="1784" t="str">
        <f t="shared" si="3"/>
        <v>0</v>
      </c>
    </row>
    <row r="103" spans="1:6" x14ac:dyDescent="0.25">
      <c r="A103" s="1766"/>
      <c r="B103" s="1787"/>
      <c r="C103" s="1767"/>
      <c r="D103" s="1764"/>
      <c r="E103" s="1784">
        <f t="shared" si="2"/>
        <v>0</v>
      </c>
      <c r="F103" s="1784" t="str">
        <f t="shared" si="3"/>
        <v>0</v>
      </c>
    </row>
    <row r="104" spans="1:6" x14ac:dyDescent="0.25">
      <c r="A104" s="1766"/>
      <c r="B104" s="1787"/>
      <c r="C104" s="1767"/>
      <c r="D104" s="1764"/>
      <c r="E104" s="1784">
        <f t="shared" si="2"/>
        <v>0</v>
      </c>
      <c r="F104" s="1784" t="str">
        <f t="shared" si="3"/>
        <v>0</v>
      </c>
    </row>
    <row r="105" spans="1:6" x14ac:dyDescent="0.25">
      <c r="A105" s="1766"/>
      <c r="B105" s="1787"/>
      <c r="C105" s="1767"/>
      <c r="D105" s="1764"/>
      <c r="E105" s="1784">
        <f t="shared" si="2"/>
        <v>0</v>
      </c>
      <c r="F105" s="1784" t="str">
        <f t="shared" si="3"/>
        <v>0</v>
      </c>
    </row>
    <row r="106" spans="1:6" x14ac:dyDescent="0.25">
      <c r="A106" s="1766"/>
      <c r="B106" s="1787"/>
      <c r="C106" s="1767"/>
      <c r="D106" s="1764"/>
      <c r="E106" s="1784">
        <f t="shared" si="2"/>
        <v>0</v>
      </c>
      <c r="F106" s="1784" t="str">
        <f t="shared" si="3"/>
        <v>0</v>
      </c>
    </row>
    <row r="107" spans="1:6" x14ac:dyDescent="0.25">
      <c r="A107" s="1766"/>
      <c r="B107" s="1787"/>
      <c r="C107" s="1767"/>
      <c r="D107" s="1764"/>
      <c r="E107" s="1784">
        <f t="shared" si="2"/>
        <v>0</v>
      </c>
      <c r="F107" s="1784" t="str">
        <f t="shared" si="3"/>
        <v>0</v>
      </c>
    </row>
    <row r="108" spans="1:6" x14ac:dyDescent="0.25">
      <c r="A108" s="1766"/>
      <c r="B108" s="1787"/>
      <c r="C108" s="1767"/>
      <c r="D108" s="1764"/>
      <c r="E108" s="1784">
        <f t="shared" si="2"/>
        <v>0</v>
      </c>
      <c r="F108" s="1784" t="str">
        <f t="shared" si="3"/>
        <v>0</v>
      </c>
    </row>
    <row r="109" spans="1:6" x14ac:dyDescent="0.25">
      <c r="A109" s="1766"/>
      <c r="B109" s="1787"/>
      <c r="C109" s="1767"/>
      <c r="D109" s="1764"/>
      <c r="E109" s="1784">
        <f t="shared" si="2"/>
        <v>0</v>
      </c>
      <c r="F109" s="1784" t="str">
        <f t="shared" si="3"/>
        <v>0</v>
      </c>
    </row>
    <row r="110" spans="1:6" x14ac:dyDescent="0.25">
      <c r="A110" s="1766"/>
      <c r="B110" s="1787"/>
      <c r="C110" s="1767"/>
      <c r="D110" s="1764"/>
      <c r="E110" s="1784">
        <f t="shared" si="2"/>
        <v>0</v>
      </c>
      <c r="F110" s="1784" t="str">
        <f t="shared" si="3"/>
        <v>0</v>
      </c>
    </row>
    <row r="111" spans="1:6" x14ac:dyDescent="0.25">
      <c r="A111" s="1766"/>
      <c r="B111" s="1787"/>
      <c r="C111" s="1767"/>
      <c r="D111" s="1764"/>
      <c r="E111" s="1784">
        <f t="shared" si="2"/>
        <v>0</v>
      </c>
      <c r="F111" s="1784" t="str">
        <f t="shared" si="3"/>
        <v>0</v>
      </c>
    </row>
    <row r="112" spans="1:6" x14ac:dyDescent="0.25">
      <c r="A112" s="1766"/>
      <c r="B112" s="1787"/>
      <c r="C112" s="1767"/>
      <c r="D112" s="1764"/>
      <c r="E112" s="1784">
        <f t="shared" si="2"/>
        <v>0</v>
      </c>
      <c r="F112" s="1784" t="str">
        <f t="shared" si="3"/>
        <v>0</v>
      </c>
    </row>
    <row r="113" spans="1:6" x14ac:dyDescent="0.25">
      <c r="A113" s="1766"/>
      <c r="B113" s="1787"/>
      <c r="C113" s="1767"/>
      <c r="D113" s="1764"/>
      <c r="E113" s="1784">
        <f t="shared" si="2"/>
        <v>0</v>
      </c>
      <c r="F113" s="1784" t="str">
        <f t="shared" si="3"/>
        <v>0</v>
      </c>
    </row>
    <row r="114" spans="1:6" x14ac:dyDescent="0.25">
      <c r="A114" s="1766"/>
      <c r="B114" s="1787"/>
      <c r="C114" s="1767"/>
      <c r="D114" s="1764"/>
      <c r="E114" s="1784">
        <f t="shared" si="2"/>
        <v>0</v>
      </c>
      <c r="F114" s="1784" t="str">
        <f t="shared" si="3"/>
        <v>0</v>
      </c>
    </row>
    <row r="115" spans="1:6" x14ac:dyDescent="0.25">
      <c r="A115" s="1766"/>
      <c r="B115" s="1787"/>
      <c r="C115" s="1767"/>
      <c r="D115" s="1764"/>
      <c r="E115" s="1784">
        <f t="shared" si="2"/>
        <v>0</v>
      </c>
      <c r="F115" s="1784" t="str">
        <f t="shared" si="3"/>
        <v>0</v>
      </c>
    </row>
    <row r="116" spans="1:6" x14ac:dyDescent="0.25">
      <c r="A116" s="1766"/>
      <c r="B116" s="1787"/>
      <c r="C116" s="1767"/>
      <c r="D116" s="1764"/>
      <c r="E116" s="1784">
        <f t="shared" si="2"/>
        <v>0</v>
      </c>
      <c r="F116" s="1784" t="str">
        <f t="shared" si="3"/>
        <v>0</v>
      </c>
    </row>
    <row r="117" spans="1:6" x14ac:dyDescent="0.25">
      <c r="A117" s="1766"/>
      <c r="B117" s="1787"/>
      <c r="C117" s="1767"/>
      <c r="D117" s="1764"/>
      <c r="E117" s="1784">
        <f t="shared" si="2"/>
        <v>0</v>
      </c>
      <c r="F117" s="1784" t="str">
        <f t="shared" si="3"/>
        <v>0</v>
      </c>
    </row>
    <row r="118" spans="1:6" x14ac:dyDescent="0.25">
      <c r="A118" s="1766"/>
      <c r="B118" s="1787"/>
      <c r="C118" s="1767"/>
      <c r="D118" s="1764"/>
      <c r="E118" s="1784">
        <f t="shared" si="2"/>
        <v>0</v>
      </c>
      <c r="F118" s="1784" t="str">
        <f t="shared" si="3"/>
        <v>0</v>
      </c>
    </row>
    <row r="119" spans="1:6" x14ac:dyDescent="0.25">
      <c r="A119" s="1766"/>
      <c r="B119" s="1787"/>
      <c r="C119" s="1767"/>
      <c r="D119" s="1764"/>
      <c r="E119" s="1784">
        <f t="shared" si="2"/>
        <v>0</v>
      </c>
      <c r="F119" s="1784" t="str">
        <f t="shared" si="3"/>
        <v>0</v>
      </c>
    </row>
    <row r="120" spans="1:6" x14ac:dyDescent="0.25">
      <c r="A120" s="1766"/>
      <c r="B120" s="1787"/>
      <c r="C120" s="1767"/>
      <c r="D120" s="1764"/>
      <c r="E120" s="1784">
        <f t="shared" si="2"/>
        <v>0</v>
      </c>
      <c r="F120" s="1784" t="str">
        <f t="shared" si="3"/>
        <v>0</v>
      </c>
    </row>
    <row r="121" spans="1:6" x14ac:dyDescent="0.25">
      <c r="A121" s="1766"/>
      <c r="B121" s="1787"/>
      <c r="C121" s="1767"/>
      <c r="D121" s="1764"/>
      <c r="E121" s="1784">
        <f t="shared" si="2"/>
        <v>0</v>
      </c>
      <c r="F121" s="1784" t="str">
        <f t="shared" si="3"/>
        <v>0</v>
      </c>
    </row>
    <row r="122" spans="1:6" x14ac:dyDescent="0.25">
      <c r="A122" s="1766"/>
      <c r="B122" s="1787"/>
      <c r="C122" s="1767"/>
      <c r="D122" s="1764"/>
      <c r="E122" s="1784">
        <f t="shared" si="2"/>
        <v>0</v>
      </c>
      <c r="F122" s="1784" t="str">
        <f t="shared" si="3"/>
        <v>0</v>
      </c>
    </row>
    <row r="123" spans="1:6" x14ac:dyDescent="0.25">
      <c r="A123" s="1766"/>
      <c r="B123" s="1787"/>
      <c r="C123" s="1767"/>
      <c r="D123" s="1764"/>
      <c r="E123" s="1784">
        <f t="shared" si="2"/>
        <v>0</v>
      </c>
      <c r="F123" s="1784" t="str">
        <f t="shared" si="3"/>
        <v>0</v>
      </c>
    </row>
    <row r="124" spans="1:6" x14ac:dyDescent="0.25">
      <c r="A124" s="1766"/>
      <c r="B124" s="1787"/>
      <c r="C124" s="1767"/>
      <c r="D124" s="1764"/>
      <c r="E124" s="1784">
        <f t="shared" si="2"/>
        <v>0</v>
      </c>
      <c r="F124" s="1784" t="str">
        <f t="shared" si="3"/>
        <v>0</v>
      </c>
    </row>
    <row r="125" spans="1:6" x14ac:dyDescent="0.25">
      <c r="A125" s="1766"/>
      <c r="B125" s="1787"/>
      <c r="C125" s="1767"/>
      <c r="D125" s="1764"/>
      <c r="E125" s="1784">
        <f t="shared" si="2"/>
        <v>0</v>
      </c>
      <c r="F125" s="1784" t="str">
        <f t="shared" si="3"/>
        <v>0</v>
      </c>
    </row>
    <row r="126" spans="1:6" x14ac:dyDescent="0.25">
      <c r="A126" s="1766"/>
      <c r="B126" s="1787"/>
      <c r="C126" s="1767"/>
      <c r="D126" s="1764"/>
      <c r="E126" s="1784">
        <f t="shared" si="2"/>
        <v>0</v>
      </c>
      <c r="F126" s="1784" t="str">
        <f t="shared" si="3"/>
        <v>0</v>
      </c>
    </row>
    <row r="127" spans="1:6" x14ac:dyDescent="0.25">
      <c r="A127" s="1766"/>
      <c r="B127" s="1787"/>
      <c r="C127" s="1767"/>
      <c r="D127" s="1764"/>
      <c r="E127" s="1784">
        <f t="shared" si="2"/>
        <v>0</v>
      </c>
      <c r="F127" s="1784" t="str">
        <f t="shared" si="3"/>
        <v>0</v>
      </c>
    </row>
    <row r="128" spans="1:6" x14ac:dyDescent="0.25">
      <c r="A128" s="1766"/>
      <c r="B128" s="1787"/>
      <c r="C128" s="1767"/>
      <c r="D128" s="1764"/>
      <c r="E128" s="1784">
        <f t="shared" si="2"/>
        <v>0</v>
      </c>
      <c r="F128" s="1784" t="str">
        <f t="shared" si="3"/>
        <v>0</v>
      </c>
    </row>
    <row r="129" spans="1:6" x14ac:dyDescent="0.25">
      <c r="A129" s="1766"/>
      <c r="B129" s="1787"/>
      <c r="C129" s="1767"/>
      <c r="D129" s="1764"/>
      <c r="E129" s="1784">
        <f t="shared" si="2"/>
        <v>0</v>
      </c>
      <c r="F129" s="1784" t="str">
        <f t="shared" si="3"/>
        <v>0</v>
      </c>
    </row>
    <row r="130" spans="1:6" x14ac:dyDescent="0.25">
      <c r="A130" s="1766"/>
      <c r="B130" s="1787"/>
      <c r="C130" s="1767"/>
      <c r="D130" s="1764"/>
      <c r="E130" s="1784">
        <f t="shared" si="2"/>
        <v>0</v>
      </c>
      <c r="F130" s="1784" t="str">
        <f t="shared" si="3"/>
        <v>0</v>
      </c>
    </row>
    <row r="131" spans="1:6" x14ac:dyDescent="0.25">
      <c r="A131" s="1766"/>
      <c r="B131" s="1787"/>
      <c r="C131" s="1767"/>
      <c r="D131" s="1764"/>
      <c r="E131" s="1784">
        <f t="shared" si="2"/>
        <v>0</v>
      </c>
      <c r="F131" s="1784" t="str">
        <f t="shared" si="3"/>
        <v>0</v>
      </c>
    </row>
    <row r="132" spans="1:6" x14ac:dyDescent="0.25">
      <c r="A132" s="1766"/>
      <c r="B132" s="1787"/>
      <c r="C132" s="1767"/>
      <c r="D132" s="1764"/>
      <c r="E132" s="1784">
        <f t="shared" si="2"/>
        <v>0</v>
      </c>
      <c r="F132" s="1784" t="str">
        <f t="shared" si="3"/>
        <v>0</v>
      </c>
    </row>
    <row r="133" spans="1:6" x14ac:dyDescent="0.25">
      <c r="A133" s="1766"/>
      <c r="B133" s="1787"/>
      <c r="C133" s="1767"/>
      <c r="D133" s="1764"/>
      <c r="E133" s="1784">
        <f t="shared" si="2"/>
        <v>0</v>
      </c>
      <c r="F133" s="1784" t="str">
        <f t="shared" si="3"/>
        <v>0</v>
      </c>
    </row>
    <row r="134" spans="1:6" x14ac:dyDescent="0.25">
      <c r="A134" s="1766"/>
      <c r="B134" s="1787"/>
      <c r="C134" s="1767"/>
      <c r="D134" s="1764"/>
      <c r="E134" s="1784">
        <f t="shared" si="2"/>
        <v>0</v>
      </c>
      <c r="F134" s="1784" t="str">
        <f t="shared" si="3"/>
        <v>0</v>
      </c>
    </row>
    <row r="135" spans="1:6" x14ac:dyDescent="0.25">
      <c r="A135" s="1766"/>
      <c r="B135" s="1787"/>
      <c r="C135" s="1767"/>
      <c r="D135" s="1764"/>
      <c r="E135" s="1784">
        <f t="shared" si="2"/>
        <v>0</v>
      </c>
      <c r="F135" s="1784" t="str">
        <f t="shared" si="3"/>
        <v>0</v>
      </c>
    </row>
    <row r="136" spans="1:6" x14ac:dyDescent="0.25">
      <c r="A136" s="1766"/>
      <c r="B136" s="1787"/>
      <c r="C136" s="1767"/>
      <c r="D136" s="1764"/>
      <c r="E136" s="1784">
        <f t="shared" si="2"/>
        <v>0</v>
      </c>
      <c r="F136" s="1784" t="str">
        <f t="shared" si="3"/>
        <v>0</v>
      </c>
    </row>
    <row r="137" spans="1:6" x14ac:dyDescent="0.25">
      <c r="A137" s="1766"/>
      <c r="B137" s="1787"/>
      <c r="C137" s="1767"/>
      <c r="D137" s="1764"/>
      <c r="E137" s="1784">
        <f t="shared" si="2"/>
        <v>0</v>
      </c>
      <c r="F137" s="1784" t="str">
        <f t="shared" si="3"/>
        <v>0</v>
      </c>
    </row>
    <row r="138" spans="1:6" x14ac:dyDescent="0.25">
      <c r="A138" s="1766"/>
      <c r="B138" s="1787"/>
      <c r="C138" s="1767"/>
      <c r="D138" s="1764"/>
      <c r="E138" s="1784">
        <f t="shared" si="2"/>
        <v>0</v>
      </c>
      <c r="F138" s="1784" t="str">
        <f t="shared" si="3"/>
        <v>0</v>
      </c>
    </row>
    <row r="139" spans="1:6" x14ac:dyDescent="0.25">
      <c r="A139" s="1766"/>
      <c r="B139" s="1787"/>
      <c r="C139" s="1767"/>
      <c r="D139" s="1764"/>
      <c r="E139" s="1784">
        <f t="shared" si="2"/>
        <v>0</v>
      </c>
      <c r="F139" s="1784" t="str">
        <f t="shared" si="3"/>
        <v>0</v>
      </c>
    </row>
    <row r="140" spans="1:6" x14ac:dyDescent="0.25">
      <c r="A140" s="1766"/>
      <c r="B140" s="1788"/>
      <c r="C140" s="1767"/>
      <c r="D140" s="1764"/>
      <c r="E140" s="1784">
        <f t="shared" si="2"/>
        <v>0</v>
      </c>
      <c r="F140" s="1784" t="str">
        <f t="shared" si="3"/>
        <v>0</v>
      </c>
    </row>
    <row r="141" spans="1:6" x14ac:dyDescent="0.25">
      <c r="A141" s="1768" t="s">
        <v>155</v>
      </c>
      <c r="B141" s="1789"/>
      <c r="C141" s="1769"/>
      <c r="D141" s="1770">
        <f>SUM(D18:D140)</f>
        <v>7269305.9399999995</v>
      </c>
      <c r="E141" s="1771">
        <f>SUM(E18:E140)</f>
        <v>0</v>
      </c>
      <c r="F141" s="1772">
        <f>SUM(F18:F140)</f>
        <v>6019305.9400000004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21" sqref="E2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1663</v>
      </c>
      <c r="B5" s="2389"/>
      <c r="C5" s="2389"/>
      <c r="D5" s="2389"/>
      <c r="E5" s="2389"/>
      <c r="F5" s="2389"/>
      <c r="G5" s="2390"/>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1895</v>
      </c>
      <c r="B10" s="803"/>
      <c r="C10" s="807"/>
      <c r="D10" s="804"/>
      <c r="E10" s="1690">
        <f>'Revenues 9-14'!C75</f>
        <v>836564</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691">
        <v>12560</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32551736</v>
      </c>
      <c r="F19" s="1692"/>
      <c r="G19" s="1694">
        <f>'Expenditures 15-22'!K33-SUM('Expenditures 15-22'!G33,'Expenditures 15-22'!I33)+'Expenditures 15-22'!D229</f>
        <v>32551736</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4810667</v>
      </c>
      <c r="F21" s="1695"/>
      <c r="G21" s="1698">
        <f>'Expenditures 15-22'!K42-SUM('Expenditures 15-22'!G42,'Expenditures 15-22'!I42)+'Expenditures 15-22'!K120-SUM('Expenditures 15-22'!G120,'Expenditures 15-22'!I120)+'Expenditures 15-22'!K180-SUM('Expenditures 15-22'!G180,'Expenditures 15-22'!I180)+'Expenditures 15-22'!D238</f>
        <v>4810667</v>
      </c>
      <c r="H21" s="817"/>
      <c r="I21" s="157"/>
    </row>
    <row r="22" spans="1:9" s="542" customFormat="1" ht="12" customHeight="1" x14ac:dyDescent="0.2">
      <c r="A22" s="824" t="s">
        <v>560</v>
      </c>
      <c r="B22" s="825"/>
      <c r="C22" s="823">
        <v>2200</v>
      </c>
      <c r="D22" s="1695"/>
      <c r="E22" s="1697">
        <f>'Expenditures 15-22'!K47-SUM('Expenditures 15-22'!G47,'Expenditures 15-22'!I47)+'Expenditures 15-22'!D243</f>
        <v>4177824</v>
      </c>
      <c r="F22" s="1695"/>
      <c r="G22" s="1698">
        <f>'Expenditures 15-22'!K47-SUM('Expenditures 15-22'!G47,'Expenditures 15-22'!I47)+'Expenditures 15-22'!D243</f>
        <v>4177824</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969845</v>
      </c>
      <c r="F23" s="1695"/>
      <c r="G23" s="1697">
        <f>'Expenditures 15-22'!K53-SUM('Expenditures 15-22'!G53,'Expenditures 15-22'!I53)+'Expenditures 15-22'!D257+'Expenditures 15-22'!K330-SUM('Expenditures 15-22'!G330,'Expenditures 15-22'!I330)</f>
        <v>969845</v>
      </c>
      <c r="H23" s="817"/>
      <c r="I23" s="157"/>
    </row>
    <row r="24" spans="1:9" s="542" customFormat="1" ht="12" customHeight="1" x14ac:dyDescent="0.2">
      <c r="A24" s="824" t="s">
        <v>562</v>
      </c>
      <c r="B24" s="825"/>
      <c r="C24" s="823">
        <v>2400</v>
      </c>
      <c r="D24" s="1695"/>
      <c r="E24" s="1697">
        <f>'Expenditures 15-22'!K57-SUM('Expenditures 15-22'!G57,'Expenditures 15-22'!I57)+'Expenditures 15-22'!D261</f>
        <v>2431155</v>
      </c>
      <c r="F24" s="1695"/>
      <c r="G24" s="1698">
        <f>'Expenditures 15-22'!K57-SUM('Expenditures 15-22'!G57,'Expenditures 15-22'!I57)+'Expenditures 15-22'!D261</f>
        <v>2431155</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201525</v>
      </c>
      <c r="E26" s="1697">
        <f>'Expenditures 15-22'!K122-SUM('Expenditures 15-22'!G122,'Expenditures 15-22'!I122)+E7</f>
        <v>0</v>
      </c>
      <c r="F26" s="1697">
        <f>'Expenditures 15-22'!K59-SUM('Expenditures 15-22'!G59,'Expenditures 15-22'!I59)+'Expenditures 15-22'!D263-E7</f>
        <v>201525</v>
      </c>
      <c r="G26" s="1698">
        <f>'Expenditures 15-22'!K122-SUM('Expenditures 15-22'!G122,'Expenditures 15-22'!I122)+E7</f>
        <v>0</v>
      </c>
      <c r="H26" s="817"/>
      <c r="I26" s="157"/>
    </row>
    <row r="27" spans="1:9" s="542" customFormat="1" ht="12" customHeight="1" x14ac:dyDescent="0.2">
      <c r="A27" s="824" t="s">
        <v>460</v>
      </c>
      <c r="B27" s="827"/>
      <c r="C27" s="823">
        <v>2520</v>
      </c>
      <c r="D27" s="1697">
        <f>'Expenditures 15-22'!K60-SUM('Expenditures 15-22'!G60,'Expenditures 15-22'!I60)+'Expenditures 15-22'!D264-E8</f>
        <v>600753</v>
      </c>
      <c r="E27" s="1697">
        <f>E8</f>
        <v>0</v>
      </c>
      <c r="F27" s="1697">
        <f>'Expenditures 15-22'!K60-SUM('Expenditures 15-22'!G60,'Expenditures 15-22'!I60)+'Expenditures 15-22'!D264-E8</f>
        <v>600753</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4523341</v>
      </c>
      <c r="F28" s="1699">
        <f>'Expenditures 15-22'!K61-SUM('Expenditures 15-22'!G61,'Expenditures 15-22'!I61)+'Expenditures 15-22'!K124-SUM('Expenditures 15-22'!G124,'Expenditures 15-22'!I124)+'Expenditures 15-22'!D266-E9</f>
        <v>4523341</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4653740</v>
      </c>
      <c r="F29" s="1695"/>
      <c r="G29" s="1698">
        <f>'Expenditures 15-22'!K62-SUM('Expenditures 15-22'!G62,'Expenditures 15-22'!I62)+'Expenditures 15-22'!K125-SUM('Expenditures 15-22'!G125,'Expenditures 15-22'!I125)+'Expenditures 15-22'!K182-SUM('Expenditures 15-22'!G182,'Expenditures 15-22'!I182)+'Expenditures 15-22'!D267</f>
        <v>4653740</v>
      </c>
      <c r="H29" s="815"/>
    </row>
    <row r="30" spans="1:9" ht="12" customHeight="1" x14ac:dyDescent="0.2">
      <c r="A30" s="824" t="s">
        <v>100</v>
      </c>
      <c r="B30" s="827"/>
      <c r="C30" s="823">
        <v>2560</v>
      </c>
      <c r="D30" s="1695"/>
      <c r="E30" s="1697">
        <f>'Expenditures 15-22'!K63-SUM('Expenditures 15-22'!G63,'Expenditures 15-22'!I63)+'Expenditures 15-22'!D268-E10</f>
        <v>296986</v>
      </c>
      <c r="F30" s="1695"/>
      <c r="G30" s="1697">
        <f>'Expenditures 15-22'!K63-SUM('Expenditures 15-22'!G63,'Expenditures 15-22'!I63)+'Expenditures 15-22'!D268-E10</f>
        <v>296986</v>
      </c>
    </row>
    <row r="31" spans="1:9" ht="12" customHeight="1" x14ac:dyDescent="0.2">
      <c r="A31" s="824" t="s">
        <v>101</v>
      </c>
      <c r="B31" s="827"/>
      <c r="C31" s="823">
        <v>2570</v>
      </c>
      <c r="D31" s="1697">
        <f>'Expenditures 15-22'!K64-SUM('Expenditures 15-22'!G64,'Expenditures 15-22'!I64)+'Expenditures 15-22'!D269-E12</f>
        <v>6483</v>
      </c>
      <c r="E31" s="1697">
        <f>E12</f>
        <v>0</v>
      </c>
      <c r="F31" s="1697">
        <f>'Expenditures 15-22'!K64-SUM('Expenditures 15-22'!G64,'Expenditures 15-22'!I64)+'Expenditures 15-22'!D269-E12</f>
        <v>6483</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517</v>
      </c>
      <c r="B34" s="827"/>
      <c r="C34" s="823">
        <v>2620</v>
      </c>
      <c r="D34" s="1695"/>
      <c r="E34" s="1697">
        <f>'Expenditures 15-22'!K68-SUM('Expenditures 15-22'!G68,'Expenditures 15-22'!I68)+'Expenditures 15-22'!D273</f>
        <v>6273</v>
      </c>
      <c r="F34" s="1695"/>
      <c r="G34" s="1697">
        <f>'Expenditures 15-22'!K68-SUM('Expenditures 15-22'!G68,'Expenditures 15-22'!I68)+'Expenditures 15-22'!D273</f>
        <v>6273</v>
      </c>
    </row>
    <row r="35" spans="1:7" ht="12" customHeight="1" x14ac:dyDescent="0.2">
      <c r="A35" s="824" t="s">
        <v>1054</v>
      </c>
      <c r="B35" s="827"/>
      <c r="C35" s="823">
        <v>2630</v>
      </c>
      <c r="D35" s="1695"/>
      <c r="E35" s="1697">
        <f>'Expenditures 15-22'!K69-SUM('Expenditures 15-22'!G69,'Expenditures 15-22'!I69)+'Expenditures 15-22'!D274</f>
        <v>16176</v>
      </c>
      <c r="F35" s="1695"/>
      <c r="G35" s="1697">
        <f>'Expenditures 15-22'!K69-SUM('Expenditures 15-22'!G69,'Expenditures 15-22'!I69)+'Expenditures 15-22'!D274</f>
        <v>16176</v>
      </c>
    </row>
    <row r="36" spans="1:7" ht="12" customHeight="1" x14ac:dyDescent="0.2">
      <c r="A36" s="824" t="s">
        <v>400</v>
      </c>
      <c r="B36" s="827"/>
      <c r="C36" s="823">
        <v>2640</v>
      </c>
      <c r="D36" s="1697">
        <f>'Expenditures 15-22'!K70-SUM('Expenditures 15-22'!G70,'Expenditures 15-22'!I70)+'Expenditures 15-22'!D275-E13</f>
        <v>297643</v>
      </c>
      <c r="E36" s="1697">
        <f>E13</f>
        <v>0</v>
      </c>
      <c r="F36" s="1697">
        <f>'Expenditures 15-22'!K70-SUM('Expenditures 15-22'!G70,'Expenditures 15-22'!I70)+'Expenditures 15-22'!D275-E13</f>
        <v>297643</v>
      </c>
      <c r="G36" s="1697">
        <f>E13</f>
        <v>0</v>
      </c>
    </row>
    <row r="37" spans="1:7" ht="12" customHeight="1" x14ac:dyDescent="0.2">
      <c r="A37" s="824" t="s">
        <v>401</v>
      </c>
      <c r="B37" s="827"/>
      <c r="C37" s="823">
        <v>2660</v>
      </c>
      <c r="D37" s="1697">
        <f>'Expenditures 15-22'!K71-SUM('Expenditures 15-22'!G71,'Expenditures 15-22'!I71)+'Expenditures 15-22'!D276-E14</f>
        <v>19159</v>
      </c>
      <c r="E37" s="1697">
        <f>E14</f>
        <v>0</v>
      </c>
      <c r="F37" s="1697">
        <f>'Expenditures 15-22'!K71-SUM('Expenditures 15-22'!G71,'Expenditures 15-22'!I71)+'Expenditures 15-22'!D276-E14</f>
        <v>19159</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464634</v>
      </c>
      <c r="F38" s="1695"/>
      <c r="G38" s="1697">
        <f>'Expenditures 15-22'!K73-SUM('Expenditures 15-22'!G73,'Expenditures 15-22'!I73)+'Expenditures 15-22'!K128-SUM('Expenditures 15-22'!G128,'Expenditures 15-22'!I128)+'Expenditures 15-22'!K183-SUM('Expenditures 15-22'!G183,'Expenditures 15-22'!I183)+'Expenditures 15-22'!D278</f>
        <v>464634</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41367</v>
      </c>
      <c r="F39" s="1695"/>
      <c r="G39" s="1697">
        <f>'Expenditures 15-22'!K75-SUM('Expenditures 15-22'!G75,'Expenditures 15-22'!I75)+'Expenditures 15-22'!K130-SUM('Expenditures 15-22'!G130,'Expenditures 15-22'!I130)+'Expenditures 15-22'!K185-SUM('Expenditures 15-22'!G185,'Expenditures 15-22'!I185)+'Expenditures 15-22'!D280</f>
        <v>41367</v>
      </c>
    </row>
    <row r="40" spans="1:7" ht="12" customHeight="1" x14ac:dyDescent="0.2">
      <c r="A40" s="820" t="s">
        <v>1799</v>
      </c>
      <c r="B40" s="821"/>
      <c r="C40" s="823"/>
      <c r="D40" s="1695"/>
      <c r="E40" s="1699">
        <f>-'Contracts Paid in CY 29'!F141</f>
        <v>-6019305.9400000004</v>
      </c>
      <c r="F40" s="1695"/>
      <c r="G40" s="1699">
        <f>-'Contracts Paid in CY 29'!F141</f>
        <v>-6019305.9400000004</v>
      </c>
    </row>
    <row r="41" spans="1:7" ht="12" customHeight="1" x14ac:dyDescent="0.2">
      <c r="A41" s="828" t="s">
        <v>155</v>
      </c>
      <c r="B41" s="829"/>
      <c r="C41" s="830"/>
      <c r="D41" s="1699">
        <f>SUM(D19:D39)</f>
        <v>1125563</v>
      </c>
      <c r="E41" s="1699">
        <f>SUM(E19:E40)</f>
        <v>48924438.060000002</v>
      </c>
      <c r="F41" s="1699">
        <f>SUM(F19:F39)</f>
        <v>5648904</v>
      </c>
      <c r="G41" s="1699">
        <f>SUM(G19:G40)</f>
        <v>44401097.060000002</v>
      </c>
    </row>
    <row r="42" spans="1:7" x14ac:dyDescent="0.2">
      <c r="A42" s="817"/>
      <c r="B42" s="157"/>
      <c r="C42" s="831"/>
      <c r="D42" s="2391" t="s">
        <v>519</v>
      </c>
      <c r="E42" s="2392"/>
      <c r="F42" s="832" t="s">
        <v>520</v>
      </c>
      <c r="G42" s="833"/>
    </row>
    <row r="43" spans="1:7" ht="12" customHeight="1" x14ac:dyDescent="0.2">
      <c r="A43" s="817"/>
      <c r="B43" s="157"/>
      <c r="C43" s="831"/>
      <c r="D43" s="1348" t="s">
        <v>470</v>
      </c>
      <c r="E43" s="1700">
        <f>D41</f>
        <v>1125563</v>
      </c>
      <c r="F43" s="1348" t="s">
        <v>470</v>
      </c>
      <c r="G43" s="1700">
        <f>F41</f>
        <v>5648904</v>
      </c>
    </row>
    <row r="44" spans="1:7" ht="12" customHeight="1" x14ac:dyDescent="0.2">
      <c r="A44" s="817"/>
      <c r="B44" s="157"/>
      <c r="C44" s="831"/>
      <c r="D44" s="1348" t="s">
        <v>471</v>
      </c>
      <c r="E44" s="1700">
        <f>E41</f>
        <v>48924438.060000002</v>
      </c>
      <c r="F44" s="1348" t="s">
        <v>471</v>
      </c>
      <c r="G44" s="1700">
        <f>G41</f>
        <v>44401097.060000002</v>
      </c>
    </row>
    <row r="45" spans="1:7" ht="12" customHeight="1" x14ac:dyDescent="0.2">
      <c r="A45" s="817"/>
      <c r="B45" s="157"/>
      <c r="C45" s="157"/>
      <c r="D45" s="1349" t="s">
        <v>999</v>
      </c>
      <c r="E45" s="1701">
        <f>(E43/E44)</f>
        <v>2.3006150803809557E-2</v>
      </c>
      <c r="F45" s="1349" t="s">
        <v>999</v>
      </c>
      <c r="G45" s="1701">
        <f>(G43/G44)</f>
        <v>0.12722442403543621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10" t="s">
        <v>1365</v>
      </c>
      <c r="B1" s="2410"/>
      <c r="C1" s="2410"/>
      <c r="D1" s="2410"/>
      <c r="E1" s="2410"/>
      <c r="F1" s="2410"/>
    </row>
    <row r="2" spans="1:15" x14ac:dyDescent="0.2">
      <c r="A2" s="1403" t="s">
        <v>1879</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11" t="s">
        <v>1532</v>
      </c>
      <c r="B5" s="2412"/>
      <c r="C5" s="2413"/>
      <c r="D5" s="2413"/>
      <c r="E5" s="2413"/>
      <c r="F5" s="2413"/>
      <c r="G5" s="1397"/>
      <c r="L5" s="1397"/>
      <c r="M5" s="1737"/>
      <c r="N5" s="1737"/>
      <c r="O5" s="1737"/>
    </row>
    <row r="6" spans="1:15" ht="12" customHeight="1" x14ac:dyDescent="0.25">
      <c r="A6" s="1370"/>
      <c r="B6" s="1371"/>
      <c r="C6" s="2414" t="str">
        <f>COVER!A17</f>
        <v xml:space="preserve"> Kaneland CUSD 302</v>
      </c>
      <c r="D6" s="2414"/>
      <c r="E6" s="2414"/>
      <c r="F6" s="1372"/>
      <c r="G6" s="1397"/>
      <c r="L6" s="1397"/>
      <c r="M6" s="1737"/>
      <c r="N6" s="1737"/>
      <c r="O6" s="1737"/>
    </row>
    <row r="7" spans="1:15" ht="11.25" customHeight="1" thickBot="1" x14ac:dyDescent="0.3">
      <c r="A7" s="1370"/>
      <c r="B7" s="1371"/>
      <c r="C7" s="2415">
        <f>COVER!A13</f>
        <v>31045302026</v>
      </c>
      <c r="D7" s="2415"/>
      <c r="E7" s="2415"/>
      <c r="F7" s="1372"/>
      <c r="G7" s="1397"/>
      <c r="L7" s="1397"/>
      <c r="M7" s="1737"/>
      <c r="N7" s="1737"/>
      <c r="O7" s="1737"/>
    </row>
    <row r="8" spans="1:15" ht="25.5" customHeight="1" thickBot="1" x14ac:dyDescent="0.25">
      <c r="A8" s="1409" t="s">
        <v>1875</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1372</v>
      </c>
      <c r="B14" s="1384"/>
      <c r="C14" s="1385"/>
      <c r="D14" s="1385"/>
      <c r="E14" s="1388"/>
      <c r="F14" s="1387"/>
      <c r="G14" s="1397"/>
      <c r="H14" s="1397">
        <f t="shared" si="0"/>
        <v>0</v>
      </c>
      <c r="I14" s="1397">
        <f t="shared" si="1"/>
        <v>0</v>
      </c>
      <c r="J14" s="1397">
        <f t="shared" si="2"/>
        <v>0</v>
      </c>
      <c r="L14" s="1397"/>
      <c r="M14" s="1737"/>
      <c r="N14" s="1737"/>
      <c r="O14" s="1737"/>
    </row>
    <row r="15" spans="1:15" ht="12" customHeight="1" x14ac:dyDescent="0.2">
      <c r="A15" s="1383" t="s">
        <v>1373</v>
      </c>
      <c r="B15" s="1384"/>
      <c r="C15" s="1385"/>
      <c r="D15" s="1385"/>
      <c r="E15" s="1388"/>
      <c r="F15" s="1387"/>
      <c r="G15" s="1397"/>
      <c r="H15" s="1397">
        <f t="shared" si="0"/>
        <v>0</v>
      </c>
      <c r="I15" s="1397">
        <f t="shared" si="1"/>
        <v>0</v>
      </c>
      <c r="J15" s="1397">
        <f t="shared" si="2"/>
        <v>0</v>
      </c>
      <c r="L15" s="1397"/>
      <c r="M15" s="1737"/>
      <c r="N15" s="1737"/>
      <c r="O15" s="1737"/>
    </row>
    <row r="16" spans="1:15" ht="12" customHeight="1" x14ac:dyDescent="0.2">
      <c r="A16" s="1383" t="s">
        <v>1374</v>
      </c>
      <c r="B16" s="1384"/>
      <c r="C16" s="1385"/>
      <c r="D16" s="1385"/>
      <c r="E16" s="1388"/>
      <c r="F16" s="1387"/>
      <c r="G16" s="1397"/>
      <c r="H16" s="1397">
        <f t="shared" si="0"/>
        <v>0</v>
      </c>
      <c r="I16" s="1397">
        <f t="shared" si="1"/>
        <v>0</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c r="D18" s="1385"/>
      <c r="E18" s="1388"/>
      <c r="F18" s="1387"/>
      <c r="G18" s="1397"/>
      <c r="H18" s="1397">
        <f t="shared" si="0"/>
        <v>0</v>
      </c>
      <c r="I18" s="1397">
        <f t="shared" si="1"/>
        <v>0</v>
      </c>
      <c r="J18" s="1397">
        <f t="shared" si="2"/>
        <v>0</v>
      </c>
      <c r="L18" s="1397"/>
      <c r="M18" s="1737"/>
      <c r="N18" s="1737"/>
      <c r="O18" s="1737"/>
    </row>
    <row r="19" spans="1:15" ht="12" customHeight="1" x14ac:dyDescent="0.2">
      <c r="A19" s="1383" t="s">
        <v>1513</v>
      </c>
      <c r="B19" s="1384"/>
      <c r="C19" s="1385" t="s">
        <v>2019</v>
      </c>
      <c r="D19" s="1385" t="s">
        <v>2019</v>
      </c>
      <c r="E19" s="1388" t="s">
        <v>2041</v>
      </c>
      <c r="F19" s="1387" t="s">
        <v>2042</v>
      </c>
      <c r="G19" s="1397"/>
      <c r="H19" s="1397">
        <f t="shared" si="0"/>
        <v>5</v>
      </c>
      <c r="I19" s="1397">
        <f t="shared" si="1"/>
        <v>5</v>
      </c>
      <c r="J19" s="1397">
        <f t="shared" si="2"/>
        <v>0</v>
      </c>
      <c r="L19" s="1397"/>
      <c r="M19" s="1737"/>
      <c r="N19" s="1737"/>
      <c r="O19" s="1737"/>
    </row>
    <row r="20" spans="1:15" ht="12" customHeight="1" x14ac:dyDescent="0.2">
      <c r="A20" s="1383" t="s">
        <v>1514</v>
      </c>
      <c r="B20" s="1384"/>
      <c r="C20" s="1385" t="s">
        <v>2019</v>
      </c>
      <c r="D20" s="1385" t="s">
        <v>2019</v>
      </c>
      <c r="E20" s="1388" t="s">
        <v>2041</v>
      </c>
      <c r="F20" s="1387" t="s">
        <v>2043</v>
      </c>
      <c r="G20" s="1397"/>
      <c r="H20" s="1397">
        <f t="shared" si="0"/>
        <v>5</v>
      </c>
      <c r="I20" s="1397">
        <f t="shared" si="1"/>
        <v>5</v>
      </c>
      <c r="J20" s="1397">
        <f t="shared" si="2"/>
        <v>0</v>
      </c>
      <c r="L20" s="1397"/>
      <c r="M20" s="1737"/>
      <c r="N20" s="1737"/>
      <c r="O20" s="1737"/>
    </row>
    <row r="21" spans="1:15" ht="12" customHeight="1" x14ac:dyDescent="0.2">
      <c r="A21" s="1383" t="s">
        <v>1515</v>
      </c>
      <c r="B21" s="1384"/>
      <c r="C21" s="1385"/>
      <c r="D21" s="1385"/>
      <c r="E21" s="1388"/>
      <c r="F21" s="1387"/>
      <c r="G21" s="1397"/>
      <c r="H21" s="1397">
        <f t="shared" si="0"/>
        <v>0</v>
      </c>
      <c r="I21" s="1397">
        <f t="shared" si="1"/>
        <v>0</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t="s">
        <v>2019</v>
      </c>
      <c r="D23" s="1385" t="s">
        <v>2019</v>
      </c>
      <c r="E23" s="1388" t="s">
        <v>2041</v>
      </c>
      <c r="F23" s="1387" t="s">
        <v>2044</v>
      </c>
      <c r="G23" s="1397"/>
      <c r="H23" s="1397">
        <f t="shared" si="0"/>
        <v>5</v>
      </c>
      <c r="I23" s="1397">
        <f t="shared" si="1"/>
        <v>5</v>
      </c>
      <c r="J23" s="1397">
        <f t="shared" si="2"/>
        <v>0</v>
      </c>
      <c r="L23" s="1397"/>
      <c r="M23" s="1737"/>
      <c r="N23" s="1737"/>
      <c r="O23" s="1737"/>
    </row>
    <row r="24" spans="1:15" ht="12" customHeight="1" x14ac:dyDescent="0.2">
      <c r="A24" s="1383" t="s">
        <v>1518</v>
      </c>
      <c r="B24" s="1384"/>
      <c r="C24" s="1385"/>
      <c r="D24" s="1385"/>
      <c r="E24" s="1388"/>
      <c r="F24" s="1387"/>
      <c r="G24" s="1397"/>
      <c r="H24" s="1397">
        <f t="shared" si="0"/>
        <v>0</v>
      </c>
      <c r="I24" s="1397">
        <f t="shared" si="1"/>
        <v>0</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2019</v>
      </c>
      <c r="D26" s="1385" t="s">
        <v>2019</v>
      </c>
      <c r="E26" s="1388" t="s">
        <v>2041</v>
      </c>
      <c r="F26" s="1387" t="s">
        <v>2045</v>
      </c>
      <c r="G26" s="1397"/>
      <c r="H26" s="1397">
        <f t="shared" si="0"/>
        <v>5</v>
      </c>
      <c r="I26" s="1397">
        <f t="shared" si="1"/>
        <v>5</v>
      </c>
      <c r="J26" s="1397">
        <f t="shared" si="2"/>
        <v>0</v>
      </c>
      <c r="L26" s="1397"/>
      <c r="M26" s="1737"/>
      <c r="N26" s="1737"/>
      <c r="O26" s="1737"/>
    </row>
    <row r="27" spans="1:15" ht="18.75" x14ac:dyDescent="0.2">
      <c r="A27" s="1383" t="s">
        <v>1521</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1522</v>
      </c>
      <c r="B28" s="1384"/>
      <c r="C28" s="1385" t="s">
        <v>2019</v>
      </c>
      <c r="D28" s="1385" t="s">
        <v>2019</v>
      </c>
      <c r="E28" s="1388" t="s">
        <v>2041</v>
      </c>
      <c r="F28" s="1387" t="s">
        <v>2046</v>
      </c>
      <c r="G28" s="1397"/>
      <c r="H28" s="1397">
        <f t="shared" si="0"/>
        <v>5</v>
      </c>
      <c r="I28" s="1397">
        <f t="shared" si="1"/>
        <v>5</v>
      </c>
      <c r="J28" s="1397">
        <f t="shared" si="2"/>
        <v>0</v>
      </c>
      <c r="L28" s="1397"/>
      <c r="M28" s="1737"/>
      <c r="N28" s="1737"/>
      <c r="O28" s="1737"/>
    </row>
    <row r="29" spans="1:15" ht="12" customHeight="1" x14ac:dyDescent="0.2">
      <c r="A29" s="1383" t="s">
        <v>1523</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1524</v>
      </c>
      <c r="B30" s="1384"/>
      <c r="C30" s="1385"/>
      <c r="D30" s="1385"/>
      <c r="E30" s="1388"/>
      <c r="F30" s="1387"/>
      <c r="G30" s="1397"/>
      <c r="H30" s="1397">
        <f t="shared" si="0"/>
        <v>0</v>
      </c>
      <c r="I30" s="1397">
        <f t="shared" si="1"/>
        <v>0</v>
      </c>
      <c r="J30" s="1397">
        <f t="shared" si="2"/>
        <v>0</v>
      </c>
      <c r="L30" s="1397"/>
      <c r="M30" s="1737"/>
      <c r="N30" s="1737"/>
      <c r="O30" s="1737"/>
    </row>
    <row r="31" spans="1:15" ht="12" customHeight="1" x14ac:dyDescent="0.2">
      <c r="A31" s="1383" t="s">
        <v>1525</v>
      </c>
      <c r="B31" s="1384"/>
      <c r="C31" s="1385" t="s">
        <v>2019</v>
      </c>
      <c r="D31" s="1385" t="s">
        <v>2019</v>
      </c>
      <c r="E31" s="1388" t="s">
        <v>2041</v>
      </c>
      <c r="F31" s="1387" t="s">
        <v>2047</v>
      </c>
      <c r="G31" s="1397"/>
      <c r="H31" s="1397">
        <f t="shared" si="0"/>
        <v>5</v>
      </c>
      <c r="I31" s="1397">
        <f t="shared" si="1"/>
        <v>5</v>
      </c>
      <c r="J31" s="1397">
        <f t="shared" si="2"/>
        <v>0</v>
      </c>
      <c r="L31" s="1738"/>
      <c r="M31" s="1737"/>
      <c r="N31" s="1737"/>
      <c r="O31" s="1737"/>
    </row>
    <row r="32" spans="1:15" ht="12" customHeight="1" x14ac:dyDescent="0.2">
      <c r="A32" s="1383" t="s">
        <v>1526</v>
      </c>
      <c r="B32" s="1384"/>
      <c r="C32" s="1385" t="s">
        <v>2019</v>
      </c>
      <c r="D32" s="1385" t="s">
        <v>2019</v>
      </c>
      <c r="E32" s="1388" t="s">
        <v>2041</v>
      </c>
      <c r="F32" s="1387" t="s">
        <v>2048</v>
      </c>
      <c r="G32" s="1397"/>
      <c r="H32" s="1397">
        <f t="shared" si="0"/>
        <v>5</v>
      </c>
      <c r="I32" s="1397">
        <f t="shared" si="1"/>
        <v>5</v>
      </c>
      <c r="J32" s="1397">
        <f t="shared" si="2"/>
        <v>0</v>
      </c>
      <c r="L32" s="1397"/>
      <c r="M32" s="1737"/>
      <c r="N32" s="1737"/>
      <c r="O32" s="1737"/>
    </row>
    <row r="33" spans="1:15" ht="12" customHeight="1" x14ac:dyDescent="0.2">
      <c r="A33" s="1383" t="s">
        <v>1527</v>
      </c>
      <c r="B33" s="1384"/>
      <c r="C33" s="1385" t="s">
        <v>2019</v>
      </c>
      <c r="D33" s="1385" t="s">
        <v>2019</v>
      </c>
      <c r="E33" s="1388" t="s">
        <v>2041</v>
      </c>
      <c r="F33" s="1387" t="s">
        <v>2049</v>
      </c>
      <c r="G33" s="1397"/>
      <c r="H33" s="1397">
        <f t="shared" si="0"/>
        <v>5</v>
      </c>
      <c r="I33" s="1397">
        <f t="shared" si="1"/>
        <v>5</v>
      </c>
      <c r="J33" s="1397">
        <f t="shared" si="2"/>
        <v>0</v>
      </c>
      <c r="L33" s="1397"/>
      <c r="M33" s="1737"/>
      <c r="N33" s="1737"/>
      <c r="O33" s="1737"/>
    </row>
    <row r="34" spans="1:15" ht="12" customHeight="1" x14ac:dyDescent="0.25">
      <c r="A34" s="1389"/>
      <c r="B34" s="1389"/>
      <c r="C34" s="1389"/>
      <c r="D34" s="1389"/>
      <c r="E34" s="1389"/>
      <c r="F34" s="1389"/>
      <c r="G34" s="1397"/>
      <c r="H34" s="1397">
        <f>SUM(H11:H32)</f>
        <v>35</v>
      </c>
      <c r="I34" s="1397">
        <f>SUM(I11:I32)</f>
        <v>35</v>
      </c>
      <c r="J34" s="1397">
        <f>SUM(J11:J32)</f>
        <v>0</v>
      </c>
      <c r="K34" s="1397">
        <f>SUM(H34:J34)</f>
        <v>70</v>
      </c>
      <c r="L34" s="1397"/>
      <c r="M34" s="1737"/>
      <c r="N34" s="1737"/>
      <c r="O34" s="1737"/>
    </row>
    <row r="35" spans="1:15" ht="12" customHeight="1" x14ac:dyDescent="0.2">
      <c r="A35" s="1390" t="s">
        <v>1378</v>
      </c>
      <c r="B35" s="139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392"/>
      <c r="B39" s="1392"/>
      <c r="C39" s="1392"/>
      <c r="D39" s="1392"/>
      <c r="E39" s="1392"/>
      <c r="F39" s="1392"/>
    </row>
    <row r="40" spans="1:15" s="1389" customFormat="1" ht="12" customHeight="1" x14ac:dyDescent="0.25">
      <c r="A40" s="1393" t="s">
        <v>1377</v>
      </c>
      <c r="B40" s="1394"/>
      <c r="C40" s="2405"/>
      <c r="D40" s="2405"/>
      <c r="E40" s="2405"/>
      <c r="F40" s="2406"/>
      <c r="H40" s="1398"/>
      <c r="I40" s="1398"/>
      <c r="J40" s="1398"/>
      <c r="K40" s="1398"/>
    </row>
    <row r="41" spans="1:15" s="1389" customFormat="1" ht="12" customHeight="1" x14ac:dyDescent="0.25">
      <c r="A41" s="2407"/>
      <c r="B41" s="2408"/>
      <c r="C41" s="2408"/>
      <c r="D41" s="2408"/>
      <c r="E41" s="2408"/>
      <c r="F41" s="2409"/>
      <c r="H41" s="1398"/>
      <c r="I41" s="1398"/>
      <c r="J41" s="1398"/>
      <c r="K41" s="1398"/>
    </row>
    <row r="42" spans="1:15" s="1389" customFormat="1" ht="12" customHeight="1" x14ac:dyDescent="0.25">
      <c r="A42" s="2407"/>
      <c r="B42" s="2408"/>
      <c r="C42" s="2408"/>
      <c r="D42" s="2408"/>
      <c r="E42" s="2408"/>
      <c r="F42" s="2409"/>
      <c r="H42" s="1398"/>
      <c r="I42" s="1398"/>
      <c r="J42" s="1398"/>
      <c r="K42" s="1398"/>
    </row>
    <row r="43" spans="1:15" s="1389" customFormat="1" ht="15" x14ac:dyDescent="0.25">
      <c r="A43" s="2396"/>
      <c r="B43" s="2397"/>
      <c r="C43" s="2397"/>
      <c r="D43" s="2397"/>
      <c r="E43" s="2397"/>
      <c r="F43" s="2398"/>
      <c r="H43" s="1398"/>
      <c r="I43" s="1398"/>
      <c r="J43" s="1398"/>
      <c r="K43" s="1398"/>
    </row>
    <row r="44" spans="1:15" s="1389" customFormat="1" ht="12" hidden="1" customHeight="1" x14ac:dyDescent="0.25">
      <c r="A44" s="2396"/>
      <c r="B44" s="2397"/>
      <c r="C44" s="2397"/>
      <c r="D44" s="2397"/>
      <c r="E44" s="2397"/>
      <c r="F44" s="2398"/>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4B4B-1E84-4CAC-BCAF-4E0345BEFD6F}">
  <sheetPr codeName="Sheet12">
    <tabColor rgb="FF92D050"/>
    <pageSetUpPr fitToPage="1"/>
  </sheetPr>
  <dimension ref="A1:N83"/>
  <sheetViews>
    <sheetView showGridLines="0" topLeftCell="A22" zoomScaleNormal="100" workbookViewId="0">
      <selection activeCell="B37" sqref="B37"/>
    </sheetView>
  </sheetViews>
  <sheetFormatPr defaultColWidth="9.140625" defaultRowHeight="12.75" x14ac:dyDescent="0.2"/>
  <cols>
    <col min="1" max="1" width="2.85546875" style="1806" customWidth="1"/>
    <col min="2" max="2" width="3" style="1806" customWidth="1"/>
    <col min="3" max="3" width="48.5703125" style="1806" customWidth="1"/>
    <col min="4" max="4" width="7.42578125" style="1806" customWidth="1"/>
    <col min="5" max="5" width="11.28515625" style="1806" customWidth="1"/>
    <col min="6" max="6" width="10.85546875" style="1806" customWidth="1"/>
    <col min="7" max="8" width="9.140625" style="1806"/>
    <col min="9" max="9" width="11.140625" style="1806" customWidth="1"/>
    <col min="10" max="10" width="10.85546875" style="1806" customWidth="1"/>
    <col min="11" max="11" width="9.140625" style="1806"/>
    <col min="12" max="12" width="14.140625" style="1806" customWidth="1"/>
    <col min="13" max="13" width="9.140625" style="1806"/>
    <col min="14" max="14" width="18.7109375" style="1806" customWidth="1"/>
    <col min="15" max="16384" width="9.140625" style="1806"/>
  </cols>
  <sheetData>
    <row r="1" spans="1:14" x14ac:dyDescent="0.2">
      <c r="A1" s="1801"/>
      <c r="B1" s="1802"/>
      <c r="C1" s="1802"/>
      <c r="D1" s="1802"/>
      <c r="E1" s="1802"/>
      <c r="F1" s="1802"/>
      <c r="G1" s="1803" t="s">
        <v>402</v>
      </c>
      <c r="H1" s="1804"/>
      <c r="I1" s="1802"/>
      <c r="J1" s="1802"/>
      <c r="K1" s="1802"/>
      <c r="L1" s="1802"/>
      <c r="M1" s="1802"/>
      <c r="N1" s="1805"/>
    </row>
    <row r="2" spans="1:14" x14ac:dyDescent="0.2">
      <c r="A2" s="1807"/>
      <c r="B2" s="847"/>
      <c r="C2" s="847"/>
      <c r="D2" s="847"/>
      <c r="E2" s="847"/>
      <c r="F2" s="847"/>
      <c r="G2" s="1800" t="s">
        <v>2003</v>
      </c>
      <c r="H2" s="1808"/>
      <c r="I2" s="847"/>
      <c r="J2" s="847"/>
      <c r="K2" s="847"/>
      <c r="L2" s="847"/>
      <c r="M2" s="847"/>
      <c r="N2" s="1809"/>
    </row>
    <row r="3" spans="1:14" x14ac:dyDescent="0.2">
      <c r="A3" s="1807"/>
      <c r="B3" s="847"/>
      <c r="C3" s="847"/>
      <c r="D3" s="847"/>
      <c r="E3" s="847"/>
      <c r="F3" s="847"/>
      <c r="G3" s="1800" t="s">
        <v>403</v>
      </c>
      <c r="H3" s="847"/>
      <c r="I3" s="847"/>
      <c r="J3" s="847"/>
      <c r="K3" s="847"/>
      <c r="L3" s="847"/>
      <c r="M3" s="847"/>
      <c r="N3" s="1809"/>
    </row>
    <row r="4" spans="1:14" x14ac:dyDescent="0.2">
      <c r="A4" s="1807"/>
      <c r="B4" s="847"/>
      <c r="C4" s="847"/>
      <c r="D4" s="847"/>
      <c r="E4" s="847"/>
      <c r="F4" s="847"/>
      <c r="G4" s="1800" t="s">
        <v>863</v>
      </c>
      <c r="H4" s="847"/>
      <c r="I4" s="847"/>
      <c r="J4" s="847"/>
      <c r="K4" s="847"/>
      <c r="L4" s="847"/>
      <c r="M4" s="847"/>
      <c r="N4" s="1809"/>
    </row>
    <row r="5" spans="1:14" x14ac:dyDescent="0.2">
      <c r="A5" s="1807"/>
      <c r="B5" s="847"/>
      <c r="C5" s="847"/>
      <c r="D5" s="847"/>
      <c r="E5" s="847"/>
      <c r="F5" s="1800"/>
      <c r="G5" s="1800"/>
      <c r="H5" s="847"/>
      <c r="I5" s="847"/>
      <c r="J5" s="847"/>
      <c r="K5" s="847"/>
      <c r="L5" s="847"/>
      <c r="M5" s="847"/>
      <c r="N5" s="1809"/>
    </row>
    <row r="6" spans="1:14" x14ac:dyDescent="0.2">
      <c r="A6" s="1810" t="s">
        <v>667</v>
      </c>
      <c r="B6" s="1268"/>
      <c r="C6" s="1268"/>
      <c r="D6" s="1268"/>
      <c r="E6" s="1269"/>
      <c r="F6" s="1811"/>
      <c r="G6" s="1800"/>
      <c r="H6" s="847"/>
      <c r="I6" s="1812" t="s">
        <v>1021</v>
      </c>
      <c r="J6" s="2419" t="str">
        <f>COVER!A17</f>
        <v xml:space="preserve"> Kaneland CUSD 302</v>
      </c>
      <c r="K6" s="2419"/>
      <c r="L6" s="2420"/>
      <c r="M6" s="847"/>
      <c r="N6" s="1809"/>
    </row>
    <row r="7" spans="1:14" x14ac:dyDescent="0.2">
      <c r="A7" s="2421" t="s">
        <v>864</v>
      </c>
      <c r="B7" s="2422"/>
      <c r="C7" s="2422"/>
      <c r="D7" s="2422"/>
      <c r="E7" s="2423"/>
      <c r="F7" s="1813"/>
      <c r="G7" s="847"/>
      <c r="H7" s="847"/>
      <c r="I7" s="1812" t="s">
        <v>369</v>
      </c>
      <c r="J7" s="2424">
        <f>COVER!A13</f>
        <v>31045302026</v>
      </c>
      <c r="K7" s="2424"/>
      <c r="L7" s="2424"/>
      <c r="M7" s="847"/>
      <c r="N7" s="1809"/>
    </row>
    <row r="8" spans="1:14" x14ac:dyDescent="0.2">
      <c r="A8" s="1814"/>
      <c r="B8" s="1815"/>
      <c r="C8" s="1815"/>
      <c r="D8" s="1815"/>
      <c r="E8" s="1816"/>
      <c r="F8" s="1817"/>
      <c r="G8" s="1818"/>
      <c r="H8" s="1818"/>
      <c r="I8" s="1818"/>
      <c r="J8" s="1818"/>
      <c r="K8" s="1818"/>
      <c r="L8" s="1818"/>
      <c r="M8" s="847"/>
      <c r="N8" s="1809"/>
    </row>
    <row r="9" spans="1:14" x14ac:dyDescent="0.2">
      <c r="A9" s="1819"/>
      <c r="B9" s="1820"/>
      <c r="C9" s="1820"/>
      <c r="D9" s="1821"/>
      <c r="E9" s="1822" t="s">
        <v>2107</v>
      </c>
      <c r="F9" s="1823"/>
      <c r="G9" s="1823"/>
      <c r="H9" s="1823"/>
      <c r="I9" s="1824" t="s">
        <v>2108</v>
      </c>
      <c r="J9" s="1823"/>
      <c r="K9" s="1823"/>
      <c r="L9" s="1825"/>
      <c r="M9" s="847"/>
      <c r="N9" s="1809"/>
    </row>
    <row r="10" spans="1:14" x14ac:dyDescent="0.2">
      <c r="A10" s="1807"/>
      <c r="B10" s="847"/>
      <c r="C10" s="1800"/>
      <c r="D10" s="1826"/>
      <c r="E10" s="1827" t="s">
        <v>422</v>
      </c>
      <c r="F10" s="1828" t="s">
        <v>423</v>
      </c>
      <c r="G10" s="1829" t="s">
        <v>429</v>
      </c>
      <c r="H10" s="1830"/>
      <c r="I10" s="1828" t="s">
        <v>422</v>
      </c>
      <c r="J10" s="1828" t="s">
        <v>423</v>
      </c>
      <c r="K10" s="1829" t="s">
        <v>429</v>
      </c>
      <c r="L10" s="1828"/>
      <c r="M10" s="847"/>
      <c r="N10" s="1809"/>
    </row>
    <row r="11" spans="1:14" ht="51" x14ac:dyDescent="0.2">
      <c r="A11" s="2425" t="s">
        <v>478</v>
      </c>
      <c r="B11" s="2426"/>
      <c r="C11" s="2427"/>
      <c r="D11" s="1831" t="s">
        <v>866</v>
      </c>
      <c r="E11" s="1831" t="s">
        <v>64</v>
      </c>
      <c r="F11" s="1831" t="s">
        <v>6</v>
      </c>
      <c r="G11" s="1832" t="s">
        <v>2109</v>
      </c>
      <c r="H11" s="1833" t="s">
        <v>155</v>
      </c>
      <c r="I11" s="1831" t="s">
        <v>64</v>
      </c>
      <c r="J11" s="1831" t="s">
        <v>6</v>
      </c>
      <c r="K11" s="1832" t="s">
        <v>2002</v>
      </c>
      <c r="L11" s="1833" t="s">
        <v>155</v>
      </c>
      <c r="M11" s="847"/>
      <c r="N11" s="1809"/>
    </row>
    <row r="12" spans="1:14" x14ac:dyDescent="0.2">
      <c r="A12" s="1834">
        <v>1</v>
      </c>
      <c r="B12" s="1835" t="s">
        <v>813</v>
      </c>
      <c r="C12" s="1836"/>
      <c r="D12" s="1837">
        <v>2320</v>
      </c>
      <c r="E12" s="1838">
        <f>'Expenditures 15-22'!K50</f>
        <v>352268</v>
      </c>
      <c r="F12" s="1839"/>
      <c r="G12" s="1840">
        <f>G68</f>
        <v>0</v>
      </c>
      <c r="H12" s="1838">
        <f t="shared" ref="H12:H18" si="0">SUM(E12:G12)</f>
        <v>352268</v>
      </c>
      <c r="I12" s="1841">
        <v>375953</v>
      </c>
      <c r="J12" s="1839"/>
      <c r="K12" s="1841"/>
      <c r="L12" s="1838">
        <f t="shared" ref="L12:L18" si="1">SUM(I12:K12)</f>
        <v>375953</v>
      </c>
      <c r="M12" s="847"/>
      <c r="N12" s="1809"/>
    </row>
    <row r="13" spans="1:14" x14ac:dyDescent="0.2">
      <c r="A13" s="1834">
        <v>2</v>
      </c>
      <c r="B13" s="1835" t="s">
        <v>42</v>
      </c>
      <c r="C13" s="1836"/>
      <c r="D13" s="1837">
        <v>2330</v>
      </c>
      <c r="E13" s="1838">
        <f>'Expenditures 15-22'!K51</f>
        <v>385319</v>
      </c>
      <c r="F13" s="1839"/>
      <c r="G13" s="1840">
        <f>H68</f>
        <v>0</v>
      </c>
      <c r="H13" s="1838">
        <f t="shared" si="0"/>
        <v>385319</v>
      </c>
      <c r="I13" s="1841">
        <v>408547</v>
      </c>
      <c r="J13" s="1839"/>
      <c r="K13" s="1841"/>
      <c r="L13" s="1838">
        <f t="shared" si="1"/>
        <v>408547</v>
      </c>
      <c r="M13" s="847"/>
      <c r="N13" s="1809"/>
    </row>
    <row r="14" spans="1:14" x14ac:dyDescent="0.2">
      <c r="A14" s="1834">
        <v>3</v>
      </c>
      <c r="B14" s="1835" t="s">
        <v>43</v>
      </c>
      <c r="C14" s="1836"/>
      <c r="D14" s="1842">
        <v>2490</v>
      </c>
      <c r="E14" s="1838">
        <f>'Expenditures 15-22'!K56</f>
        <v>0</v>
      </c>
      <c r="F14" s="1839"/>
      <c r="G14" s="1840">
        <f>I68</f>
        <v>0</v>
      </c>
      <c r="H14" s="1838">
        <f t="shared" si="0"/>
        <v>0</v>
      </c>
      <c r="I14" s="1841"/>
      <c r="J14" s="1839"/>
      <c r="K14" s="1841"/>
      <c r="L14" s="1838">
        <f t="shared" si="1"/>
        <v>0</v>
      </c>
      <c r="M14" s="847"/>
      <c r="N14" s="1809"/>
    </row>
    <row r="15" spans="1:14" x14ac:dyDescent="0.2">
      <c r="A15" s="1834">
        <v>4</v>
      </c>
      <c r="B15" s="1835" t="s">
        <v>1061</v>
      </c>
      <c r="C15" s="1836"/>
      <c r="D15" s="1837">
        <v>2510</v>
      </c>
      <c r="E15" s="1838">
        <f>'Expenditures 15-22'!K59</f>
        <v>199146</v>
      </c>
      <c r="F15" s="1838">
        <f>'Expenditures 15-22'!K122</f>
        <v>0</v>
      </c>
      <c r="G15" s="1840">
        <f>J68</f>
        <v>0</v>
      </c>
      <c r="H15" s="1838">
        <f t="shared" si="0"/>
        <v>199146</v>
      </c>
      <c r="I15" s="1841">
        <v>211224</v>
      </c>
      <c r="J15" s="1841"/>
      <c r="K15" s="1841"/>
      <c r="L15" s="1838">
        <f t="shared" si="1"/>
        <v>211224</v>
      </c>
      <c r="M15" s="847"/>
      <c r="N15" s="1809"/>
    </row>
    <row r="16" spans="1:14" x14ac:dyDescent="0.2">
      <c r="A16" s="1834">
        <v>5</v>
      </c>
      <c r="B16" s="1835" t="s">
        <v>101</v>
      </c>
      <c r="C16" s="1836"/>
      <c r="D16" s="1837">
        <v>2570</v>
      </c>
      <c r="E16" s="1838">
        <f>'Expenditures 15-22'!K64</f>
        <v>6483</v>
      </c>
      <c r="F16" s="1839"/>
      <c r="G16" s="1840">
        <f>K68</f>
        <v>0</v>
      </c>
      <c r="H16" s="1838">
        <f t="shared" si="0"/>
        <v>6483</v>
      </c>
      <c r="I16" s="1841">
        <v>6483</v>
      </c>
      <c r="J16" s="1839"/>
      <c r="K16" s="1841"/>
      <c r="L16" s="1838">
        <f t="shared" si="1"/>
        <v>6483</v>
      </c>
      <c r="M16" s="847"/>
      <c r="N16" s="1809"/>
    </row>
    <row r="17" spans="1:14" x14ac:dyDescent="0.2">
      <c r="A17" s="1834">
        <v>6</v>
      </c>
      <c r="B17" s="1835" t="s">
        <v>1053</v>
      </c>
      <c r="C17" s="1836"/>
      <c r="D17" s="1837">
        <v>2610</v>
      </c>
      <c r="E17" s="1838">
        <f>'Expenditures 15-22'!K67</f>
        <v>0</v>
      </c>
      <c r="F17" s="1839"/>
      <c r="G17" s="1840">
        <f>L68</f>
        <v>0</v>
      </c>
      <c r="H17" s="1838">
        <f t="shared" si="0"/>
        <v>0</v>
      </c>
      <c r="I17" s="1841"/>
      <c r="J17" s="1839"/>
      <c r="K17" s="1841"/>
      <c r="L17" s="1838">
        <f t="shared" si="1"/>
        <v>0</v>
      </c>
      <c r="M17" s="847"/>
      <c r="N17" s="1809"/>
    </row>
    <row r="18" spans="1:14" ht="26.25" customHeight="1" x14ac:dyDescent="0.2">
      <c r="A18" s="1843">
        <v>7</v>
      </c>
      <c r="B18" s="2428" t="s">
        <v>7</v>
      </c>
      <c r="C18" s="2428"/>
      <c r="D18" s="2429"/>
      <c r="E18" s="1841"/>
      <c r="F18" s="1841"/>
      <c r="G18" s="1841"/>
      <c r="H18" s="1838">
        <f t="shared" si="0"/>
        <v>0</v>
      </c>
      <c r="I18" s="1841"/>
      <c r="J18" s="1841"/>
      <c r="K18" s="1841"/>
      <c r="L18" s="1838">
        <f t="shared" si="1"/>
        <v>0</v>
      </c>
      <c r="M18" s="847"/>
      <c r="N18" s="1809"/>
    </row>
    <row r="19" spans="1:14" ht="13.5" thickBot="1" x14ac:dyDescent="0.25">
      <c r="A19" s="1834">
        <v>8</v>
      </c>
      <c r="B19" s="1844" t="s">
        <v>1153</v>
      </c>
      <c r="C19" s="847"/>
      <c r="D19" s="1845"/>
      <c r="E19" s="1846">
        <f t="shared" ref="E19:L19" si="2">SUM(E12:E17)-E18</f>
        <v>943216</v>
      </c>
      <c r="F19" s="1846">
        <f t="shared" si="2"/>
        <v>0</v>
      </c>
      <c r="G19" s="1846">
        <f t="shared" ref="G19" si="3">SUM(G12:G17)-G18</f>
        <v>0</v>
      </c>
      <c r="H19" s="1846">
        <f t="shared" si="2"/>
        <v>943216</v>
      </c>
      <c r="I19" s="1846">
        <f t="shared" si="2"/>
        <v>1002207</v>
      </c>
      <c r="J19" s="1846">
        <f t="shared" si="2"/>
        <v>0</v>
      </c>
      <c r="K19" s="1846">
        <f t="shared" si="2"/>
        <v>0</v>
      </c>
      <c r="L19" s="1846">
        <f t="shared" si="2"/>
        <v>1002207</v>
      </c>
      <c r="M19" s="847"/>
      <c r="N19" s="1809"/>
    </row>
    <row r="20" spans="1:14" ht="13.5" thickTop="1" x14ac:dyDescent="0.2">
      <c r="A20" s="1834">
        <v>9</v>
      </c>
      <c r="B20" s="2430" t="s">
        <v>2110</v>
      </c>
      <c r="C20" s="2430"/>
      <c r="D20" s="2431"/>
      <c r="E20" s="1847"/>
      <c r="F20" s="1847"/>
      <c r="G20" s="1847"/>
      <c r="H20" s="1847"/>
      <c r="I20" s="1847"/>
      <c r="J20" s="1847"/>
      <c r="K20" s="1847"/>
      <c r="L20" s="1848">
        <f>IF(AND(H19&gt;0,L19&gt;0),(((L19-H19)/H19)),"Enter Budget Data")</f>
        <v>6.2542408101643743E-2</v>
      </c>
      <c r="M20" s="847"/>
      <c r="N20" s="1809"/>
    </row>
    <row r="21" spans="1:14" x14ac:dyDescent="0.2">
      <c r="A21" s="1849" t="s">
        <v>194</v>
      </c>
      <c r="B21" s="294" t="s">
        <v>2111</v>
      </c>
      <c r="C21" s="847"/>
      <c r="D21" s="1850"/>
      <c r="E21" s="1851"/>
      <c r="F21" s="1852"/>
      <c r="G21" s="1852"/>
      <c r="H21" s="1852"/>
      <c r="I21" s="1852"/>
      <c r="J21" s="1852"/>
      <c r="K21" s="1852"/>
      <c r="L21" s="1853"/>
      <c r="M21" s="847"/>
      <c r="N21" s="1809"/>
    </row>
    <row r="22" spans="1:14" x14ac:dyDescent="0.2">
      <c r="A22" s="1807"/>
      <c r="B22" s="1854"/>
      <c r="C22" s="847"/>
      <c r="D22" s="847"/>
      <c r="E22" s="847"/>
      <c r="F22" s="847"/>
      <c r="G22" s="847"/>
      <c r="H22" s="847"/>
      <c r="I22" s="847"/>
      <c r="J22" s="847"/>
      <c r="K22" s="847"/>
      <c r="L22" s="847"/>
      <c r="M22" s="847"/>
      <c r="N22" s="1809"/>
    </row>
    <row r="23" spans="1:14" x14ac:dyDescent="0.2">
      <c r="A23" s="1855" t="s">
        <v>132</v>
      </c>
      <c r="B23" s="1854"/>
      <c r="C23" s="847"/>
      <c r="D23" s="847"/>
      <c r="E23" s="847"/>
      <c r="F23" s="847"/>
      <c r="G23" s="847"/>
      <c r="H23" s="847"/>
      <c r="I23" s="847"/>
      <c r="J23" s="847"/>
      <c r="K23" s="847"/>
      <c r="L23" s="847"/>
      <c r="M23" s="847"/>
      <c r="N23" s="1809"/>
    </row>
    <row r="24" spans="1:14" x14ac:dyDescent="0.2">
      <c r="A24" s="1856" t="s">
        <v>2112</v>
      </c>
      <c r="B24" s="1857"/>
      <c r="C24" s="1858"/>
      <c r="D24" s="1858"/>
      <c r="E24" s="1858"/>
      <c r="F24" s="1858"/>
      <c r="G24" s="1858"/>
      <c r="H24" s="1858"/>
      <c r="I24" s="1858"/>
      <c r="J24" s="1858"/>
      <c r="K24" s="1858"/>
      <c r="L24" s="847"/>
      <c r="M24" s="847"/>
      <c r="N24" s="1809"/>
    </row>
    <row r="25" spans="1:14" x14ac:dyDescent="0.2">
      <c r="A25" s="1856" t="s">
        <v>2113</v>
      </c>
      <c r="B25" s="1857"/>
      <c r="C25" s="1858"/>
      <c r="D25" s="1858"/>
      <c r="E25" s="1858"/>
      <c r="F25" s="1858"/>
      <c r="G25" s="1858"/>
      <c r="H25" s="1858"/>
      <c r="I25" s="1858"/>
      <c r="J25" s="1858"/>
      <c r="K25" s="1858"/>
      <c r="L25" s="847"/>
      <c r="M25" s="847"/>
      <c r="N25" s="1809"/>
    </row>
    <row r="26" spans="1:14" x14ac:dyDescent="0.2">
      <c r="A26" s="1859"/>
      <c r="B26" s="1854"/>
      <c r="C26" s="847"/>
      <c r="D26" s="847"/>
      <c r="E26" s="847"/>
      <c r="F26" s="847"/>
      <c r="G26" s="847"/>
      <c r="H26" s="847"/>
      <c r="I26" s="847"/>
      <c r="J26" s="847"/>
      <c r="K26" s="847"/>
      <c r="L26" s="847"/>
      <c r="M26" s="847"/>
      <c r="N26" s="1809"/>
    </row>
    <row r="27" spans="1:14" x14ac:dyDescent="0.2">
      <c r="A27" s="1807"/>
      <c r="B27" s="1854"/>
      <c r="C27" s="2432"/>
      <c r="D27" s="2432"/>
      <c r="E27" s="1860"/>
      <c r="F27" s="2433"/>
      <c r="G27" s="2433"/>
      <c r="H27" s="2433"/>
      <c r="I27" s="847"/>
      <c r="J27" s="847"/>
      <c r="K27" s="847"/>
      <c r="L27" s="847"/>
      <c r="M27" s="847"/>
      <c r="N27" s="1809"/>
    </row>
    <row r="28" spans="1:14" x14ac:dyDescent="0.2">
      <c r="A28" s="1807"/>
      <c r="B28" s="1854"/>
      <c r="C28" s="1861" t="s">
        <v>1026</v>
      </c>
      <c r="D28" s="1862"/>
      <c r="E28" s="1863"/>
      <c r="F28" s="2434" t="s">
        <v>1495</v>
      </c>
      <c r="G28" s="2434"/>
      <c r="H28" s="2434"/>
      <c r="I28" s="847"/>
      <c r="J28" s="847"/>
      <c r="K28" s="847"/>
      <c r="L28" s="847"/>
      <c r="M28" s="847"/>
      <c r="N28" s="1809"/>
    </row>
    <row r="29" spans="1:14" x14ac:dyDescent="0.2">
      <c r="A29" s="1807"/>
      <c r="B29" s="1854"/>
      <c r="C29" s="2435"/>
      <c r="D29" s="2435"/>
      <c r="E29" s="846"/>
      <c r="F29" s="2435"/>
      <c r="G29" s="2435"/>
      <c r="H29" s="2435"/>
      <c r="I29" s="847"/>
      <c r="J29" s="847"/>
      <c r="K29" s="847"/>
      <c r="L29" s="847"/>
      <c r="M29" s="847"/>
      <c r="N29" s="1809"/>
    </row>
    <row r="30" spans="1:14" x14ac:dyDescent="0.2">
      <c r="A30" s="1807"/>
      <c r="B30" s="1854"/>
      <c r="C30" s="1864" t="s">
        <v>1547</v>
      </c>
      <c r="D30" s="847"/>
      <c r="E30" s="1865"/>
      <c r="F30" s="2418" t="s">
        <v>1496</v>
      </c>
      <c r="G30" s="2418"/>
      <c r="H30" s="2418"/>
      <c r="I30" s="847"/>
      <c r="J30" s="847"/>
      <c r="K30" s="847"/>
      <c r="L30" s="847"/>
      <c r="M30" s="847"/>
      <c r="N30" s="1809"/>
    </row>
    <row r="31" spans="1:14" x14ac:dyDescent="0.2">
      <c r="A31" s="1807"/>
      <c r="B31" s="1854"/>
      <c r="C31" s="1866"/>
      <c r="D31" s="847"/>
      <c r="E31" s="1850"/>
      <c r="F31" s="1851"/>
      <c r="G31" s="1851"/>
      <c r="H31" s="1851"/>
      <c r="I31" s="847"/>
      <c r="J31" s="847"/>
      <c r="K31" s="847"/>
      <c r="L31" s="847"/>
      <c r="M31" s="847"/>
      <c r="N31" s="1809"/>
    </row>
    <row r="32" spans="1:14" x14ac:dyDescent="0.2">
      <c r="A32" s="1807"/>
      <c r="B32" s="1867" t="s">
        <v>1027</v>
      </c>
      <c r="C32" s="847"/>
      <c r="D32" s="847"/>
      <c r="E32" s="847"/>
      <c r="F32" s="847"/>
      <c r="G32" s="847"/>
      <c r="H32" s="847"/>
      <c r="I32" s="847"/>
      <c r="J32" s="847"/>
      <c r="K32" s="847"/>
      <c r="L32" s="847"/>
      <c r="M32" s="847"/>
      <c r="N32" s="1809"/>
    </row>
    <row r="33" spans="1:14" x14ac:dyDescent="0.2">
      <c r="A33" s="1807"/>
      <c r="B33" s="1868"/>
      <c r="C33" s="847"/>
      <c r="D33" s="847"/>
      <c r="E33" s="847"/>
      <c r="F33" s="847"/>
      <c r="G33" s="847"/>
      <c r="H33" s="847"/>
      <c r="I33" s="847"/>
      <c r="J33" s="847"/>
      <c r="K33" s="847"/>
      <c r="L33" s="847"/>
      <c r="M33" s="847"/>
      <c r="N33" s="1809"/>
    </row>
    <row r="34" spans="1:14" x14ac:dyDescent="0.2">
      <c r="A34" s="1807"/>
      <c r="B34" s="1869"/>
      <c r="C34" s="2438" t="s">
        <v>2114</v>
      </c>
      <c r="D34" s="2438"/>
      <c r="E34" s="2438"/>
      <c r="F34" s="2438"/>
      <c r="G34" s="2438"/>
      <c r="H34" s="2438"/>
      <c r="I34" s="2438"/>
      <c r="J34" s="2438"/>
      <c r="K34" s="1870"/>
      <c r="L34" s="847"/>
      <c r="M34" s="847"/>
      <c r="N34" s="1809"/>
    </row>
    <row r="35" spans="1:14" x14ac:dyDescent="0.2">
      <c r="A35" s="1807"/>
      <c r="B35" s="847"/>
      <c r="C35" s="2438"/>
      <c r="D35" s="2438"/>
      <c r="E35" s="2438"/>
      <c r="F35" s="2438"/>
      <c r="G35" s="2438"/>
      <c r="H35" s="2438"/>
      <c r="I35" s="2438"/>
      <c r="J35" s="2438"/>
      <c r="K35" s="1870"/>
      <c r="L35" s="847"/>
      <c r="M35" s="847"/>
      <c r="N35" s="1809"/>
    </row>
    <row r="36" spans="1:14" x14ac:dyDescent="0.2">
      <c r="A36" s="1807"/>
      <c r="B36" s="847"/>
      <c r="C36" s="1871"/>
      <c r="D36" s="847"/>
      <c r="E36" s="847"/>
      <c r="F36" s="847"/>
      <c r="G36" s="847"/>
      <c r="H36" s="847"/>
      <c r="I36" s="847"/>
      <c r="J36" s="847"/>
      <c r="K36" s="847"/>
      <c r="L36" s="847"/>
      <c r="M36" s="847"/>
      <c r="N36" s="1809"/>
    </row>
    <row r="37" spans="1:14" x14ac:dyDescent="0.2">
      <c r="A37" s="1807"/>
      <c r="B37" s="1869" t="s">
        <v>2019</v>
      </c>
      <c r="C37" s="2438" t="s">
        <v>2115</v>
      </c>
      <c r="D37" s="2438"/>
      <c r="E37" s="2438"/>
      <c r="F37" s="2438"/>
      <c r="G37" s="2438"/>
      <c r="H37" s="2438"/>
      <c r="I37" s="2438"/>
      <c r="J37" s="2438"/>
      <c r="K37" s="1870"/>
      <c r="L37" s="838"/>
      <c r="M37" s="847"/>
      <c r="N37" s="1809"/>
    </row>
    <row r="38" spans="1:14" x14ac:dyDescent="0.2">
      <c r="A38" s="1807"/>
      <c r="B38" s="847"/>
      <c r="C38" s="2438"/>
      <c r="D38" s="2438"/>
      <c r="E38" s="2438"/>
      <c r="F38" s="2438"/>
      <c r="G38" s="2438"/>
      <c r="H38" s="2438"/>
      <c r="I38" s="2438"/>
      <c r="J38" s="2438"/>
      <c r="K38" s="1870"/>
      <c r="L38" s="838"/>
      <c r="M38" s="847"/>
      <c r="N38" s="1809"/>
    </row>
    <row r="39" spans="1:14" x14ac:dyDescent="0.2">
      <c r="A39" s="1807"/>
      <c r="B39" s="847"/>
      <c r="C39" s="1871"/>
      <c r="D39" s="847"/>
      <c r="E39" s="1872"/>
      <c r="F39" s="1873"/>
      <c r="G39" s="1873"/>
      <c r="H39" s="1872"/>
      <c r="I39" s="847"/>
      <c r="J39" s="847"/>
      <c r="K39" s="847"/>
      <c r="L39" s="847"/>
      <c r="M39" s="847"/>
      <c r="N39" s="1809"/>
    </row>
    <row r="40" spans="1:14" x14ac:dyDescent="0.2">
      <c r="A40" s="1807"/>
      <c r="B40" s="1869"/>
      <c r="C40" s="2439" t="s">
        <v>2116</v>
      </c>
      <c r="D40" s="2440"/>
      <c r="E40" s="2440"/>
      <c r="F40" s="2440"/>
      <c r="G40" s="2440"/>
      <c r="H40" s="2440"/>
      <c r="I40" s="2440"/>
      <c r="J40" s="2440"/>
      <c r="K40" s="1874"/>
      <c r="L40" s="847"/>
      <c r="M40" s="847"/>
      <c r="N40" s="1809"/>
    </row>
    <row r="41" spans="1:14" x14ac:dyDescent="0.2">
      <c r="A41" s="1807"/>
      <c r="B41" s="847"/>
      <c r="C41" s="839"/>
      <c r="D41" s="839"/>
      <c r="E41" s="839"/>
      <c r="F41" s="839"/>
      <c r="G41" s="839"/>
      <c r="H41" s="839"/>
      <c r="I41" s="839"/>
      <c r="J41" s="839"/>
      <c r="K41" s="839"/>
      <c r="L41" s="847"/>
      <c r="M41" s="847"/>
      <c r="N41" s="1809"/>
    </row>
    <row r="42" spans="1:14" ht="13.5" thickBot="1" x14ac:dyDescent="0.25">
      <c r="A42" s="1875"/>
      <c r="B42" s="1876"/>
      <c r="C42" s="1876"/>
      <c r="D42" s="1876"/>
      <c r="E42" s="1876"/>
      <c r="F42" s="1876"/>
      <c r="G42" s="1876"/>
      <c r="H42" s="1876"/>
      <c r="I42" s="1876"/>
      <c r="J42" s="1876"/>
      <c r="K42" s="1876"/>
      <c r="L42" s="1876"/>
      <c r="M42" s="1876"/>
      <c r="N42" s="1877"/>
    </row>
    <row r="43" spans="1:14" ht="27" thickBot="1" x14ac:dyDescent="0.45">
      <c r="A43" s="2441" t="s">
        <v>2117</v>
      </c>
      <c r="B43" s="2442"/>
      <c r="C43" s="2442"/>
      <c r="D43" s="2442"/>
      <c r="E43" s="2442"/>
      <c r="F43" s="2442"/>
      <c r="G43" s="2442"/>
      <c r="H43" s="2442"/>
      <c r="I43" s="2442"/>
      <c r="J43" s="2442"/>
      <c r="K43" s="2442"/>
      <c r="L43" s="2442"/>
      <c r="M43" s="2442"/>
      <c r="N43" s="2443"/>
    </row>
    <row r="44" spans="1:14" x14ac:dyDescent="0.2">
      <c r="A44" s="1878"/>
      <c r="B44" s="1879"/>
      <c r="C44" s="1879"/>
      <c r="D44" s="1879"/>
      <c r="E44" s="1879"/>
      <c r="F44" s="1879"/>
      <c r="G44" s="1879"/>
      <c r="H44" s="1879"/>
      <c r="I44" s="1879"/>
      <c r="J44" s="1879"/>
      <c r="K44" s="1879"/>
      <c r="L44" s="1879"/>
      <c r="M44" s="1879"/>
      <c r="N44" s="1880"/>
    </row>
    <row r="45" spans="1:14" x14ac:dyDescent="0.2">
      <c r="A45" s="1878" t="s">
        <v>2118</v>
      </c>
      <c r="B45" s="1879"/>
      <c r="C45" s="1879"/>
      <c r="D45" s="1879"/>
      <c r="E45" s="1879"/>
      <c r="F45" s="1879"/>
      <c r="G45" s="1879"/>
      <c r="H45" s="1879"/>
      <c r="I45" s="1879"/>
      <c r="J45" s="1879"/>
      <c r="K45" s="1879"/>
      <c r="L45" s="1879"/>
      <c r="M45" s="1879"/>
      <c r="N45" s="1880"/>
    </row>
    <row r="46" spans="1:14" x14ac:dyDescent="0.2">
      <c r="A46" s="2444" t="s">
        <v>2119</v>
      </c>
      <c r="B46" s="2445"/>
      <c r="C46" s="2445"/>
      <c r="D46" s="2445"/>
      <c r="E46" s="2445"/>
      <c r="F46" s="2445"/>
      <c r="G46" s="2445"/>
      <c r="H46" s="2445"/>
      <c r="I46" s="2445"/>
      <c r="J46" s="2445"/>
      <c r="K46" s="2445"/>
      <c r="L46" s="2445"/>
      <c r="M46" s="2445"/>
      <c r="N46" s="2446"/>
    </row>
    <row r="47" spans="1:14" x14ac:dyDescent="0.2">
      <c r="A47" s="2444"/>
      <c r="B47" s="2445"/>
      <c r="C47" s="2445"/>
      <c r="D47" s="2445"/>
      <c r="E47" s="2445"/>
      <c r="F47" s="2445"/>
      <c r="G47" s="2445"/>
      <c r="H47" s="2445"/>
      <c r="I47" s="2445"/>
      <c r="J47" s="2445"/>
      <c r="K47" s="2445"/>
      <c r="L47" s="2445"/>
      <c r="M47" s="2445"/>
      <c r="N47" s="2446"/>
    </row>
    <row r="48" spans="1:14" x14ac:dyDescent="0.2">
      <c r="A48" s="1881"/>
      <c r="B48" s="1879"/>
      <c r="C48" s="1879"/>
      <c r="D48" s="1882"/>
      <c r="E48" s="1882"/>
      <c r="F48" s="1882"/>
      <c r="G48" s="1882"/>
      <c r="H48" s="1882"/>
      <c r="I48" s="1882"/>
      <c r="J48" s="1882"/>
      <c r="K48" s="1882"/>
      <c r="L48" s="1882"/>
      <c r="M48" s="1882"/>
      <c r="N48" s="1883"/>
    </row>
    <row r="49" spans="1:14" s="1888" customFormat="1" ht="15.75" x14ac:dyDescent="0.25">
      <c r="A49" s="1884" t="s">
        <v>2120</v>
      </c>
      <c r="B49" s="1885"/>
      <c r="C49" s="1885"/>
      <c r="D49" s="1886"/>
      <c r="E49" s="1886"/>
      <c r="F49" s="1886"/>
      <c r="G49" s="1886"/>
      <c r="H49" s="1886"/>
      <c r="I49" s="1886"/>
      <c r="J49" s="1886"/>
      <c r="K49" s="1886"/>
      <c r="L49" s="1886"/>
      <c r="M49" s="1886"/>
      <c r="N49" s="1887"/>
    </row>
    <row r="50" spans="1:14" ht="15" x14ac:dyDescent="0.25">
      <c r="A50" s="1884" t="s">
        <v>2121</v>
      </c>
      <c r="B50" s="1879"/>
      <c r="C50" s="1879"/>
      <c r="D50" s="1879"/>
      <c r="E50" s="1879"/>
      <c r="F50" s="1879"/>
      <c r="G50" s="1879"/>
      <c r="H50" s="1879"/>
      <c r="I50" s="1879"/>
      <c r="J50" s="1879"/>
      <c r="K50" s="1879"/>
      <c r="L50" s="1879"/>
      <c r="M50" s="1879"/>
      <c r="N50" s="1880"/>
    </row>
    <row r="51" spans="1:14" x14ac:dyDescent="0.2">
      <c r="A51" s="1878"/>
      <c r="B51" s="1879"/>
      <c r="C51" s="1879"/>
      <c r="D51" s="1879"/>
      <c r="E51" s="1879"/>
      <c r="F51" s="1879"/>
      <c r="G51" s="1879"/>
      <c r="H51" s="1879"/>
      <c r="I51" s="1879"/>
      <c r="J51" s="1879"/>
      <c r="K51" s="1879"/>
      <c r="L51" s="1879"/>
      <c r="M51" s="1879"/>
      <c r="N51" s="1880"/>
    </row>
    <row r="52" spans="1:14" x14ac:dyDescent="0.2">
      <c r="A52" s="1878"/>
      <c r="B52" s="1879"/>
      <c r="C52" s="1879"/>
      <c r="D52" s="1879"/>
      <c r="E52" s="1879"/>
      <c r="F52" s="1879"/>
      <c r="G52" s="1879"/>
      <c r="H52" s="1879"/>
      <c r="I52" s="1879"/>
      <c r="J52" s="1879"/>
      <c r="K52" s="1812" t="s">
        <v>1021</v>
      </c>
      <c r="L52" s="2419" t="str">
        <f>J6</f>
        <v xml:space="preserve"> Kaneland CUSD 302</v>
      </c>
      <c r="M52" s="2419"/>
      <c r="N52" s="2447"/>
    </row>
    <row r="53" spans="1:14" x14ac:dyDescent="0.2">
      <c r="A53" s="1878"/>
      <c r="B53" s="1879"/>
      <c r="C53" s="1879"/>
      <c r="D53" s="1879"/>
      <c r="E53" s="1879"/>
      <c r="F53" s="1879"/>
      <c r="G53" s="1879"/>
      <c r="H53" s="1879"/>
      <c r="I53" s="1879"/>
      <c r="J53" s="1879"/>
      <c r="K53" s="1812" t="s">
        <v>369</v>
      </c>
      <c r="L53" s="2424">
        <f>J7</f>
        <v>31045302026</v>
      </c>
      <c r="M53" s="2424"/>
      <c r="N53" s="2448"/>
    </row>
    <row r="54" spans="1:14" ht="13.5" thickBot="1" x14ac:dyDescent="0.25">
      <c r="A54" s="1878"/>
      <c r="B54" s="1879"/>
      <c r="C54" s="1879"/>
      <c r="D54" s="1879"/>
      <c r="E54" s="1879"/>
      <c r="F54" s="1879"/>
      <c r="G54" s="1879"/>
      <c r="H54" s="1879"/>
      <c r="I54" s="1879"/>
      <c r="J54" s="1879"/>
      <c r="K54" s="1879"/>
      <c r="L54" s="1879"/>
      <c r="M54" s="1879"/>
      <c r="N54" s="1880"/>
    </row>
    <row r="55" spans="1:14" x14ac:dyDescent="0.2">
      <c r="A55" s="2449"/>
      <c r="B55" s="2450"/>
      <c r="C55" s="2450"/>
      <c r="D55" s="1889"/>
      <c r="E55" s="1889"/>
      <c r="F55" s="1889"/>
      <c r="G55" s="2451" t="s">
        <v>2122</v>
      </c>
      <c r="H55" s="2451"/>
      <c r="I55" s="2451"/>
      <c r="J55" s="2451"/>
      <c r="K55" s="2451"/>
      <c r="L55" s="2451"/>
      <c r="M55" s="2451"/>
      <c r="N55" s="2452"/>
    </row>
    <row r="56" spans="1:14" ht="63.75" x14ac:dyDescent="0.2">
      <c r="A56" s="2453" t="s">
        <v>2123</v>
      </c>
      <c r="B56" s="2454"/>
      <c r="C56" s="2455"/>
      <c r="D56" s="1890" t="s">
        <v>2124</v>
      </c>
      <c r="E56" s="1890" t="s">
        <v>2125</v>
      </c>
      <c r="F56" s="1891"/>
      <c r="G56" s="1890" t="s">
        <v>2126</v>
      </c>
      <c r="H56" s="1890" t="s">
        <v>2127</v>
      </c>
      <c r="I56" s="1890" t="s">
        <v>2128</v>
      </c>
      <c r="J56" s="1890" t="s">
        <v>2129</v>
      </c>
      <c r="K56" s="1890" t="s">
        <v>2130</v>
      </c>
      <c r="L56" s="1890" t="s">
        <v>2131</v>
      </c>
      <c r="M56" s="1890" t="s">
        <v>2132</v>
      </c>
      <c r="N56" s="1892" t="s">
        <v>2133</v>
      </c>
    </row>
    <row r="57" spans="1:14" ht="24.75" customHeight="1" x14ac:dyDescent="0.2">
      <c r="A57" s="2456" t="s">
        <v>296</v>
      </c>
      <c r="B57" s="2457"/>
      <c r="C57" s="2457"/>
      <c r="D57" s="1893">
        <v>2361</v>
      </c>
      <c r="E57" s="1894">
        <f>'Expenditures 15-22'!K319</f>
        <v>0</v>
      </c>
      <c r="F57" s="1895"/>
      <c r="G57" s="1896"/>
      <c r="H57" s="1897"/>
      <c r="I57" s="1897"/>
      <c r="J57" s="1897"/>
      <c r="K57" s="1897"/>
      <c r="L57" s="1897"/>
      <c r="M57" s="1897"/>
      <c r="N57" s="1898">
        <f>IF((SUM(G57:M57))=E57,SUM(G57:M57),"Column N does not agree with Column E")</f>
        <v>0</v>
      </c>
    </row>
    <row r="58" spans="1:14" ht="24" customHeight="1" x14ac:dyDescent="0.2">
      <c r="A58" s="2436" t="s">
        <v>2134</v>
      </c>
      <c r="B58" s="2437"/>
      <c r="C58" s="2437"/>
      <c r="D58" s="1899">
        <v>2362</v>
      </c>
      <c r="E58" s="1900">
        <f>'Expenditures 15-22'!K320</f>
        <v>0</v>
      </c>
      <c r="F58" s="1895"/>
      <c r="G58" s="1901"/>
      <c r="H58" s="1902"/>
      <c r="I58" s="1902"/>
      <c r="J58" s="1902"/>
      <c r="K58" s="1902"/>
      <c r="L58" s="1902"/>
      <c r="M58" s="1902"/>
      <c r="N58" s="1898">
        <f>IF((SUM(G58:M58))=E58,SUM(G58:M58),"Column N does not agree with Column E")</f>
        <v>0</v>
      </c>
    </row>
    <row r="59" spans="1:14" ht="24.75" customHeight="1" x14ac:dyDescent="0.2">
      <c r="A59" s="2458" t="s">
        <v>297</v>
      </c>
      <c r="B59" s="2459"/>
      <c r="C59" s="2459"/>
      <c r="D59" s="1899">
        <v>2363</v>
      </c>
      <c r="E59" s="1900">
        <f>'Expenditures 15-22'!K321</f>
        <v>0</v>
      </c>
      <c r="F59" s="1895"/>
      <c r="G59" s="1901"/>
      <c r="H59" s="1902"/>
      <c r="I59" s="1902"/>
      <c r="J59" s="1902"/>
      <c r="K59" s="1902"/>
      <c r="L59" s="1902"/>
      <c r="M59" s="1902"/>
      <c r="N59" s="1898">
        <f>IF((SUM(G59:M59))=E59,SUM(G59:M59),"Column N does not agree with Column E")</f>
        <v>0</v>
      </c>
    </row>
    <row r="60" spans="1:14" ht="24" customHeight="1" x14ac:dyDescent="0.2">
      <c r="A60" s="2458" t="s">
        <v>236</v>
      </c>
      <c r="B60" s="2459"/>
      <c r="C60" s="2459"/>
      <c r="D60" s="1899">
        <v>2364</v>
      </c>
      <c r="E60" s="1900">
        <f>'Expenditures 15-22'!K322</f>
        <v>0</v>
      </c>
      <c r="F60" s="1895"/>
      <c r="G60" s="1901"/>
      <c r="H60" s="1902"/>
      <c r="I60" s="1902"/>
      <c r="J60" s="1902"/>
      <c r="K60" s="1902"/>
      <c r="L60" s="1902"/>
      <c r="M60" s="1902"/>
      <c r="N60" s="1898">
        <f t="shared" ref="N60:N67" si="4">IF((SUM(G60:M60))=E60,SUM(G60:M60),"Column N does not agree with Column E")</f>
        <v>0</v>
      </c>
    </row>
    <row r="61" spans="1:14" ht="24.75" customHeight="1" x14ac:dyDescent="0.2">
      <c r="A61" s="2458" t="s">
        <v>697</v>
      </c>
      <c r="B61" s="2459"/>
      <c r="C61" s="2459"/>
      <c r="D61" s="1899">
        <v>2365</v>
      </c>
      <c r="E61" s="1900">
        <f>'Expenditures 15-22'!K323</f>
        <v>0</v>
      </c>
      <c r="F61" s="1895"/>
      <c r="G61" s="1901"/>
      <c r="H61" s="1902"/>
      <c r="I61" s="1902"/>
      <c r="J61" s="1902"/>
      <c r="K61" s="1902"/>
      <c r="L61" s="1902"/>
      <c r="M61" s="1902"/>
      <c r="N61" s="1898">
        <f t="shared" si="4"/>
        <v>0</v>
      </c>
    </row>
    <row r="62" spans="1:14" ht="24" customHeight="1" x14ac:dyDescent="0.2">
      <c r="A62" s="2458" t="s">
        <v>237</v>
      </c>
      <c r="B62" s="2459"/>
      <c r="C62" s="2459"/>
      <c r="D62" s="1899">
        <v>2366</v>
      </c>
      <c r="E62" s="1900">
        <f>'Expenditures 15-22'!K324</f>
        <v>0</v>
      </c>
      <c r="F62" s="1895"/>
      <c r="G62" s="1901"/>
      <c r="H62" s="1902"/>
      <c r="I62" s="1902"/>
      <c r="J62" s="1902"/>
      <c r="K62" s="1902"/>
      <c r="L62" s="1902"/>
      <c r="M62" s="1902"/>
      <c r="N62" s="1898">
        <f t="shared" si="4"/>
        <v>0</v>
      </c>
    </row>
    <row r="63" spans="1:14" ht="24" customHeight="1" x14ac:dyDescent="0.2">
      <c r="A63" s="2436" t="s">
        <v>1022</v>
      </c>
      <c r="B63" s="2437"/>
      <c r="C63" s="2437"/>
      <c r="D63" s="1899">
        <v>2367</v>
      </c>
      <c r="E63" s="1900">
        <f>'Expenditures 15-22'!K325</f>
        <v>0</v>
      </c>
      <c r="F63" s="1895"/>
      <c r="G63" s="1901"/>
      <c r="H63" s="1902"/>
      <c r="I63" s="1902"/>
      <c r="J63" s="1902"/>
      <c r="K63" s="1902"/>
      <c r="L63" s="1902"/>
      <c r="M63" s="1902"/>
      <c r="N63" s="1898">
        <f t="shared" si="4"/>
        <v>0</v>
      </c>
    </row>
    <row r="64" spans="1:14" ht="24" customHeight="1" x14ac:dyDescent="0.2">
      <c r="A64" s="2458" t="s">
        <v>1023</v>
      </c>
      <c r="B64" s="2459"/>
      <c r="C64" s="2459"/>
      <c r="D64" s="1899">
        <v>2368</v>
      </c>
      <c r="E64" s="1900">
        <f>'Expenditures 15-22'!K326</f>
        <v>0</v>
      </c>
      <c r="F64" s="1895"/>
      <c r="G64" s="1901"/>
      <c r="H64" s="1902"/>
      <c r="I64" s="1902"/>
      <c r="J64" s="1902"/>
      <c r="K64" s="1902"/>
      <c r="L64" s="1902"/>
      <c r="M64" s="1902"/>
      <c r="N64" s="1898">
        <f t="shared" si="4"/>
        <v>0</v>
      </c>
    </row>
    <row r="65" spans="1:14" ht="24" customHeight="1" x14ac:dyDescent="0.2">
      <c r="A65" s="2458" t="s">
        <v>965</v>
      </c>
      <c r="B65" s="2459"/>
      <c r="C65" s="2459"/>
      <c r="D65" s="1899">
        <v>2369</v>
      </c>
      <c r="E65" s="1900">
        <f>'Expenditures 15-22'!K327</f>
        <v>0</v>
      </c>
      <c r="F65" s="1895"/>
      <c r="G65" s="1901"/>
      <c r="H65" s="1902"/>
      <c r="I65" s="1902"/>
      <c r="J65" s="1902"/>
      <c r="K65" s="1902"/>
      <c r="L65" s="1902"/>
      <c r="M65" s="1902"/>
      <c r="N65" s="1898">
        <f t="shared" si="4"/>
        <v>0</v>
      </c>
    </row>
    <row r="66" spans="1:14" ht="24" customHeight="1" x14ac:dyDescent="0.2">
      <c r="A66" s="2458" t="s">
        <v>469</v>
      </c>
      <c r="B66" s="2459"/>
      <c r="C66" s="2459"/>
      <c r="D66" s="1899">
        <v>2371</v>
      </c>
      <c r="E66" s="1900">
        <f>'Expenditures 15-22'!K328</f>
        <v>0</v>
      </c>
      <c r="F66" s="1895"/>
      <c r="G66" s="1901"/>
      <c r="H66" s="1902"/>
      <c r="I66" s="1902"/>
      <c r="J66" s="1902"/>
      <c r="K66" s="1902"/>
      <c r="L66" s="1902"/>
      <c r="M66" s="1902"/>
      <c r="N66" s="1898">
        <f t="shared" si="4"/>
        <v>0</v>
      </c>
    </row>
    <row r="67" spans="1:14" ht="24.75" customHeight="1" x14ac:dyDescent="0.2">
      <c r="A67" s="2460" t="s">
        <v>2135</v>
      </c>
      <c r="B67" s="2461"/>
      <c r="C67" s="2461"/>
      <c r="D67" s="1903">
        <v>2372</v>
      </c>
      <c r="E67" s="1904">
        <f>'Expenditures 15-22'!K329</f>
        <v>0</v>
      </c>
      <c r="F67" s="1895"/>
      <c r="G67" s="1905"/>
      <c r="H67" s="1906"/>
      <c r="I67" s="1906"/>
      <c r="J67" s="1906"/>
      <c r="K67" s="1906"/>
      <c r="L67" s="1906"/>
      <c r="M67" s="1906"/>
      <c r="N67" s="1898">
        <f t="shared" si="4"/>
        <v>0</v>
      </c>
    </row>
    <row r="68" spans="1:14" x14ac:dyDescent="0.2">
      <c r="A68" s="2462" t="s">
        <v>1153</v>
      </c>
      <c r="B68" s="2463"/>
      <c r="C68" s="2463"/>
      <c r="D68" s="1889"/>
      <c r="E68" s="1907">
        <f>SUM(E57:E67)</f>
        <v>0</v>
      </c>
      <c r="F68" s="1908"/>
      <c r="G68" s="1907">
        <f t="shared" ref="G68:N68" si="5">SUM(G57:G67)</f>
        <v>0</v>
      </c>
      <c r="H68" s="1907">
        <f t="shared" si="5"/>
        <v>0</v>
      </c>
      <c r="I68" s="1907">
        <f t="shared" si="5"/>
        <v>0</v>
      </c>
      <c r="J68" s="1907">
        <f t="shared" si="5"/>
        <v>0</v>
      </c>
      <c r="K68" s="1907">
        <f t="shared" si="5"/>
        <v>0</v>
      </c>
      <c r="L68" s="1907">
        <f t="shared" si="5"/>
        <v>0</v>
      </c>
      <c r="M68" s="1907">
        <f t="shared" si="5"/>
        <v>0</v>
      </c>
      <c r="N68" s="1909">
        <f t="shared" si="5"/>
        <v>0</v>
      </c>
    </row>
    <row r="69" spans="1:14" x14ac:dyDescent="0.2">
      <c r="A69" s="1910"/>
      <c r="N69" s="1911"/>
    </row>
    <row r="70" spans="1:14" ht="15.75" x14ac:dyDescent="0.25">
      <c r="A70" s="1912" t="s">
        <v>2136</v>
      </c>
      <c r="N70" s="1911"/>
    </row>
    <row r="71" spans="1:14" x14ac:dyDescent="0.2">
      <c r="A71" s="1910"/>
      <c r="N71" s="1911"/>
    </row>
    <row r="72" spans="1:14" x14ac:dyDescent="0.2">
      <c r="A72" s="1910"/>
      <c r="N72" s="1911"/>
    </row>
    <row r="73" spans="1:14" x14ac:dyDescent="0.2">
      <c r="A73" s="1910"/>
      <c r="N73" s="1911"/>
    </row>
    <row r="74" spans="1:14" x14ac:dyDescent="0.2">
      <c r="A74" s="1910"/>
      <c r="N74" s="1911"/>
    </row>
    <row r="75" spans="1:14" x14ac:dyDescent="0.2">
      <c r="A75" s="1910"/>
      <c r="N75" s="1911"/>
    </row>
    <row r="76" spans="1:14" x14ac:dyDescent="0.2">
      <c r="A76" s="1910"/>
      <c r="N76" s="1911"/>
    </row>
    <row r="77" spans="1:14" x14ac:dyDescent="0.2">
      <c r="A77" s="1910"/>
      <c r="N77" s="1911"/>
    </row>
    <row r="78" spans="1:14" x14ac:dyDescent="0.2">
      <c r="A78" s="1910"/>
      <c r="N78" s="1911"/>
    </row>
    <row r="79" spans="1:14" x14ac:dyDescent="0.2">
      <c r="A79" s="1910"/>
      <c r="N79" s="1911"/>
    </row>
    <row r="80" spans="1:14" x14ac:dyDescent="0.2">
      <c r="A80" s="1910"/>
      <c r="N80" s="1911"/>
    </row>
    <row r="81" spans="1:14" x14ac:dyDescent="0.2">
      <c r="A81" s="1910"/>
      <c r="N81" s="1911"/>
    </row>
    <row r="82" spans="1:14" x14ac:dyDescent="0.2">
      <c r="A82" s="1910"/>
      <c r="N82" s="1911"/>
    </row>
    <row r="83" spans="1:14" ht="13.5" thickBot="1" x14ac:dyDescent="0.25">
      <c r="A83" s="1913"/>
      <c r="B83" s="1914"/>
      <c r="C83" s="1914"/>
      <c r="D83" s="1914"/>
      <c r="E83" s="1914"/>
      <c r="F83" s="1914"/>
      <c r="G83" s="1914"/>
      <c r="H83" s="1914"/>
      <c r="I83" s="1914"/>
      <c r="J83" s="1914"/>
      <c r="K83" s="1914"/>
      <c r="L83" s="1914"/>
      <c r="M83" s="1914"/>
      <c r="N83" s="1915"/>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9" sqref="B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2050</v>
      </c>
    </row>
    <row r="6" spans="1:2" x14ac:dyDescent="0.2">
      <c r="A6" s="840">
        <v>2</v>
      </c>
      <c r="B6" s="307" t="s">
        <v>2051</v>
      </c>
    </row>
    <row r="7" spans="1:2" x14ac:dyDescent="0.2">
      <c r="A7" s="840">
        <v>3</v>
      </c>
      <c r="B7" s="307" t="s">
        <v>2052</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Kaneland CUSD 302</v>
      </c>
    </row>
    <row r="65" spans="2:2" x14ac:dyDescent="0.2">
      <c r="B65" s="842">
        <f>COVER!A13</f>
        <v>31045302026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D11" sqref="D1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9" sqref="G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64" t="s">
        <v>1668</v>
      </c>
      <c r="B18" s="246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autoPict="0" r:id="rId9">
            <anchor moveWithCells="1">
              <from>
                <xdr:col>1</xdr:col>
                <xdr:colOff>1885950</xdr:colOff>
                <xdr:row>0</xdr:row>
                <xdr:rowOff>142875</xdr:rowOff>
              </from>
              <to>
                <xdr:col>1</xdr:col>
                <xdr:colOff>2800350</xdr:colOff>
                <xdr:row>5</xdr:row>
                <xdr:rowOff>95250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5" t="s">
        <v>1672</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46"/>
      <c r="H2" s="846"/>
    </row>
    <row r="3" spans="1:8" ht="57" customHeight="1" x14ac:dyDescent="0.2">
      <c r="A3" s="2478" t="s">
        <v>1973</v>
      </c>
      <c r="B3" s="2479"/>
      <c r="C3" s="2479"/>
      <c r="D3" s="2479"/>
      <c r="E3" s="2479"/>
      <c r="F3" s="2480"/>
      <c r="G3" s="846"/>
      <c r="H3" s="846"/>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46"/>
      <c r="H4" s="846"/>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46"/>
      <c r="H5" s="846"/>
    </row>
    <row r="6" spans="1:8" s="847" customFormat="1" ht="41.25" customHeight="1" x14ac:dyDescent="0.2">
      <c r="A6" s="2481" t="s">
        <v>1673</v>
      </c>
      <c r="B6" s="2482"/>
      <c r="C6" s="2482"/>
      <c r="D6" s="2482"/>
      <c r="E6" s="2482"/>
      <c r="F6" s="248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49673463</v>
      </c>
      <c r="C8" s="1703">
        <f>'Acct Summary 7-8'!D8</f>
        <v>6189868</v>
      </c>
      <c r="D8" s="1703">
        <f>'Acct Summary 7-8'!F8</f>
        <v>5418540</v>
      </c>
      <c r="E8" s="1703">
        <f>'Acct Summary 7-8'!I8</f>
        <v>131912</v>
      </c>
      <c r="F8" s="1703">
        <f>SUM(B8:E8)</f>
        <v>61413783</v>
      </c>
    </row>
    <row r="9" spans="1:8" s="851" customFormat="1" ht="14.25" customHeight="1" thickBot="1" x14ac:dyDescent="0.25">
      <c r="A9" s="850" t="s">
        <v>1355</v>
      </c>
      <c r="B9" s="1704">
        <f>'Acct Summary 7-8'!C17</f>
        <v>50052424</v>
      </c>
      <c r="C9" s="1704">
        <f>'Acct Summary 7-8'!D17</f>
        <v>5453436</v>
      </c>
      <c r="D9" s="1704">
        <f>'Acct Summary 7-8'!F17</f>
        <v>4778997</v>
      </c>
      <c r="E9" s="1703"/>
      <c r="F9" s="1703">
        <f>SUM(B9:E9)</f>
        <v>60284857</v>
      </c>
    </row>
    <row r="10" spans="1:8" s="851" customFormat="1" ht="14.25" thickTop="1" thickBot="1" x14ac:dyDescent="0.25">
      <c r="A10" s="852" t="s">
        <v>1356</v>
      </c>
      <c r="B10" s="1705">
        <f>(B8-B9)</f>
        <v>-378961</v>
      </c>
      <c r="C10" s="1705">
        <f>(C8-C9)</f>
        <v>736432</v>
      </c>
      <c r="D10" s="1705">
        <f>(D8-D9)</f>
        <v>639543</v>
      </c>
      <c r="E10" s="1704">
        <f>(E8-E9)</f>
        <v>131912</v>
      </c>
      <c r="F10" s="1706">
        <f>SUM(F8-F9)</f>
        <v>1128926</v>
      </c>
    </row>
    <row r="11" spans="1:8" s="851" customFormat="1" ht="14.25" thickTop="1" thickBot="1" x14ac:dyDescent="0.25">
      <c r="A11" s="853" t="s">
        <v>1904</v>
      </c>
      <c r="B11" s="1707">
        <f>'Acct Summary 7-8'!C81</f>
        <v>3530524</v>
      </c>
      <c r="C11" s="1707">
        <f>'Acct Summary 7-8'!D81</f>
        <v>4345290</v>
      </c>
      <c r="D11" s="1707">
        <f>'Acct Summary 7-8'!F81</f>
        <v>3128234</v>
      </c>
      <c r="E11" s="1707">
        <f>'Acct Summary 7-8'!I81</f>
        <v>1479431</v>
      </c>
      <c r="F11" s="1708">
        <f>SUM(B11:E11)</f>
        <v>12483479</v>
      </c>
    </row>
    <row r="12" spans="1:8" ht="16.5" customHeight="1" thickTop="1" x14ac:dyDescent="0.2">
      <c r="A12" s="854"/>
      <c r="B12" s="855"/>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56"/>
      <c r="B13" s="857"/>
      <c r="C13" s="2469"/>
      <c r="D13" s="2470"/>
      <c r="E13" s="2470"/>
      <c r="F13" s="2471"/>
      <c r="H13" s="846"/>
    </row>
    <row r="14" spans="1:8" ht="19.5" customHeight="1" x14ac:dyDescent="0.2">
      <c r="A14" s="856"/>
      <c r="B14" s="857"/>
      <c r="C14" s="2469"/>
      <c r="D14" s="2470"/>
      <c r="E14" s="2470"/>
      <c r="F14" s="2471"/>
      <c r="H14" s="846"/>
    </row>
    <row r="15" spans="1:8" ht="17.25" customHeight="1" x14ac:dyDescent="0.2">
      <c r="A15" s="856"/>
      <c r="B15" s="857"/>
      <c r="C15" s="2472"/>
      <c r="D15" s="2473"/>
      <c r="E15" s="2473"/>
      <c r="F15" s="2474"/>
      <c r="H15" s="846"/>
    </row>
    <row r="16" spans="1:8" s="288" customFormat="1" ht="51.75" hidden="1" customHeight="1" x14ac:dyDescent="0.2">
      <c r="A16" s="2468" t="s">
        <v>1669</v>
      </c>
      <c r="B16" s="2468"/>
      <c r="C16" s="2468"/>
      <c r="D16" s="2468"/>
      <c r="E16" s="246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D99D-B9B1-45E9-B395-0F4A57BAA418}">
  <sheetPr codeName="Sheet51">
    <tabColor indexed="39"/>
    <pageSetUpPr fitToPage="1"/>
  </sheetPr>
  <dimension ref="A1:L84"/>
  <sheetViews>
    <sheetView showGridLines="0" defaultGridColor="0" topLeftCell="A5" colorId="8" zoomScale="110" zoomScaleNormal="110" workbookViewId="0">
      <selection activeCell="D82" sqref="D82"/>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6"/>
      <c r="B1" s="860"/>
      <c r="C1" s="861"/>
      <c r="D1" s="1917"/>
    </row>
    <row r="2" spans="1:4" ht="7.5" customHeight="1" thickTop="1" x14ac:dyDescent="0.2">
      <c r="A2" s="1410"/>
      <c r="B2" s="1411"/>
      <c r="C2" s="1412"/>
      <c r="D2" s="1413"/>
    </row>
    <row r="3" spans="1:4" ht="36" customHeight="1" x14ac:dyDescent="0.2">
      <c r="A3" s="2494" t="s">
        <v>660</v>
      </c>
      <c r="B3" s="2495"/>
      <c r="C3" s="2495"/>
      <c r="D3" s="2496"/>
    </row>
    <row r="4" spans="1:4" x14ac:dyDescent="0.2">
      <c r="A4" s="899" t="s">
        <v>1674</v>
      </c>
      <c r="B4" s="900"/>
      <c r="C4" s="901"/>
      <c r="D4" s="902"/>
    </row>
    <row r="5" spans="1:4" ht="21" customHeight="1" x14ac:dyDescent="0.2">
      <c r="A5" s="1918"/>
      <c r="B5" s="1919">
        <v>1</v>
      </c>
      <c r="C5" s="1920" t="s">
        <v>1975</v>
      </c>
      <c r="D5" s="1921"/>
    </row>
    <row r="6" spans="1:4" ht="14.25" customHeight="1" x14ac:dyDescent="0.2">
      <c r="A6" s="892"/>
      <c r="B6" s="862">
        <f t="shared" ref="B6:B13" si="0">B5+1</f>
        <v>2</v>
      </c>
      <c r="C6" s="863" t="s">
        <v>859</v>
      </c>
      <c r="D6" s="864"/>
    </row>
    <row r="7" spans="1:4" ht="12.75" x14ac:dyDescent="0.2">
      <c r="A7" s="892"/>
      <c r="B7" s="862">
        <f t="shared" si="0"/>
        <v>3</v>
      </c>
      <c r="C7" s="2497" t="s">
        <v>1490</v>
      </c>
      <c r="D7" s="2498"/>
    </row>
    <row r="8" spans="1:4" ht="12.75" x14ac:dyDescent="0.2">
      <c r="A8" s="892"/>
      <c r="B8" s="862"/>
      <c r="C8" s="1798" t="s">
        <v>1489</v>
      </c>
      <c r="D8" s="1799"/>
    </row>
    <row r="9" spans="1:4" ht="14.25" customHeight="1" x14ac:dyDescent="0.2">
      <c r="A9" s="892"/>
      <c r="B9" s="862">
        <f>B7+1</f>
        <v>4</v>
      </c>
      <c r="C9" s="863" t="s">
        <v>1880</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22" t="s">
        <v>774</v>
      </c>
      <c r="D13" s="864"/>
    </row>
    <row r="14" spans="1:4" ht="14.25" customHeight="1" x14ac:dyDescent="0.2">
      <c r="A14" s="892"/>
      <c r="B14" s="889">
        <v>9</v>
      </c>
      <c r="C14" s="890" t="s">
        <v>1491</v>
      </c>
      <c r="D14" s="891"/>
    </row>
    <row r="15" spans="1:4" ht="21.75" customHeight="1" x14ac:dyDescent="0.2">
      <c r="A15" s="2499" t="s">
        <v>1001</v>
      </c>
      <c r="B15" s="2500"/>
      <c r="C15" s="2500"/>
      <c r="D15" s="2501"/>
    </row>
    <row r="16" spans="1:4" ht="24" customHeight="1" x14ac:dyDescent="0.2">
      <c r="A16" s="2502" t="s">
        <v>658</v>
      </c>
      <c r="B16" s="2503"/>
      <c r="C16" s="2503"/>
      <c r="D16" s="2504"/>
    </row>
    <row r="17" spans="1:10" ht="12.75" customHeight="1" x14ac:dyDescent="0.2">
      <c r="A17" s="1923" t="s">
        <v>1675</v>
      </c>
      <c r="B17" s="1924"/>
      <c r="C17" s="1925"/>
      <c r="D17" s="1926"/>
    </row>
    <row r="18" spans="1:10" ht="12.75" customHeight="1" x14ac:dyDescent="0.2">
      <c r="A18" s="1927" t="s">
        <v>1976</v>
      </c>
      <c r="B18" s="1928"/>
      <c r="C18" s="1929"/>
      <c r="D18" s="1930"/>
    </row>
    <row r="19" spans="1:10" ht="6.75" customHeight="1" thickBot="1" x14ac:dyDescent="0.25">
      <c r="A19" s="1931"/>
      <c r="B19" s="1932"/>
      <c r="C19" s="1933"/>
      <c r="D19" s="1934"/>
    </row>
    <row r="20" spans="1:10" s="1939" customFormat="1" ht="12.75" thickTop="1" x14ac:dyDescent="0.2">
      <c r="A20" s="1935"/>
      <c r="B20" s="1936" t="s">
        <v>1676</v>
      </c>
      <c r="C20" s="1937"/>
      <c r="D20" s="1938" t="s">
        <v>705</v>
      </c>
    </row>
    <row r="21" spans="1:10" x14ac:dyDescent="0.2">
      <c r="A21" s="865"/>
      <c r="B21" s="1940">
        <v>1</v>
      </c>
      <c r="C21" s="2505" t="s">
        <v>311</v>
      </c>
      <c r="D21" s="2506"/>
    </row>
    <row r="22" spans="1:10" ht="12.75" x14ac:dyDescent="0.2">
      <c r="A22" s="893"/>
      <c r="B22" s="894">
        <v>2</v>
      </c>
      <c r="C22" s="2507" t="s">
        <v>1510</v>
      </c>
      <c r="D22" s="2508"/>
    </row>
    <row r="23" spans="1:10" ht="12.2" customHeight="1" x14ac:dyDescent="0.2">
      <c r="A23" s="893"/>
      <c r="B23" s="894"/>
      <c r="C23" s="1941" t="s">
        <v>948</v>
      </c>
      <c r="D23" s="895" t="str">
        <f>IF(COVER!O11="X","CASH",IF(COVER!O12="X","ACCRUAL ","PLEASE CHECK AN ACCOUNTING BASIS."))</f>
        <v xml:space="preserve">ACCRUAL </v>
      </c>
    </row>
    <row r="24" spans="1:10" ht="12.2" customHeight="1" x14ac:dyDescent="0.2">
      <c r="A24" s="893"/>
      <c r="B24" s="894"/>
      <c r="C24" s="1941"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1942"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1942"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1943" t="b">
        <f>IF('[1]Aud Quest 2'!B53="X",IF('[1]Aud Quest 2'!F53&gt;"00/00/00 ","Enter Effective Date","ok"))</f>
        <v>0</v>
      </c>
    </row>
    <row r="29" spans="1:10" x14ac:dyDescent="0.2">
      <c r="A29" s="866"/>
      <c r="B29" s="896"/>
      <c r="C29" s="870" t="s">
        <v>1359</v>
      </c>
      <c r="D29" s="194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44" t="s">
        <v>820</v>
      </c>
      <c r="D30" s="872"/>
    </row>
    <row r="31" spans="1:10" x14ac:dyDescent="0.2">
      <c r="A31" s="866"/>
      <c r="B31" s="1945"/>
      <c r="C31" s="1946" t="s">
        <v>251</v>
      </c>
      <c r="D31" s="1947" t="str">
        <f>IF(SUM('FP Info 3'!J10:L10)&lt;=0.0999999,"OK","CORRECT THE TAX RATES BY MOVING THE DECIMAL TWO PLACES TO THE LEFT.")</f>
        <v>OK</v>
      </c>
      <c r="E31" s="1796"/>
      <c r="F31" s="1796"/>
      <c r="G31" s="1796"/>
      <c r="H31" s="1796"/>
      <c r="I31" s="1796"/>
      <c r="J31" s="1796"/>
    </row>
    <row r="32" spans="1:10" x14ac:dyDescent="0.2">
      <c r="A32" s="866"/>
      <c r="B32" s="1948"/>
      <c r="C32" s="1797" t="s">
        <v>972</v>
      </c>
      <c r="D32" s="869" t="str">
        <f>IF(OR(COVER!B6="x",'FP Info 3'!B31="X",'FP Info 3'!B32="X"),"OK","ENTRY IS REQUIRED!")</f>
        <v>OK</v>
      </c>
    </row>
    <row r="33" spans="1:12" s="1950" customFormat="1" ht="12.75" customHeight="1" x14ac:dyDescent="0.2">
      <c r="A33" s="1949"/>
      <c r="B33" s="894">
        <f>B30+1</f>
        <v>4</v>
      </c>
      <c r="C33" s="873" t="s">
        <v>775</v>
      </c>
      <c r="D33" s="874"/>
    </row>
    <row r="34" spans="1:12" s="1950" customFormat="1" x14ac:dyDescent="0.2">
      <c r="A34" s="1951"/>
      <c r="B34" s="894"/>
      <c r="C34" s="875" t="s">
        <v>821</v>
      </c>
      <c r="D34" s="869" t="str">
        <f>IF('Assets-Liab 5-6'!C4&lt;-0.49, "ERROR!","OK")</f>
        <v>OK</v>
      </c>
    </row>
    <row r="35" spans="1:12" x14ac:dyDescent="0.2">
      <c r="A35" s="1951"/>
      <c r="B35" s="894"/>
      <c r="C35" s="875" t="s">
        <v>303</v>
      </c>
      <c r="D35" s="869" t="str">
        <f>IF('Assets-Liab 5-6'!D4&lt;-0.49, "ERROR!","OK")</f>
        <v>OK</v>
      </c>
      <c r="L35" s="903"/>
    </row>
    <row r="36" spans="1:12" x14ac:dyDescent="0.2">
      <c r="A36" s="1951"/>
      <c r="B36" s="894"/>
      <c r="C36" s="875" t="s">
        <v>776</v>
      </c>
      <c r="D36" s="869" t="str">
        <f>IF('Assets-Liab 5-6'!E4&lt;-0.49, "ERROR!","OK")</f>
        <v>OK</v>
      </c>
    </row>
    <row r="37" spans="1:12" x14ac:dyDescent="0.2">
      <c r="A37" s="1951"/>
      <c r="B37" s="894"/>
      <c r="C37" s="875" t="s">
        <v>304</v>
      </c>
      <c r="D37" s="869" t="str">
        <f>IF('Assets-Liab 5-6'!F4&lt;-0.49, "ERROR!","OK")</f>
        <v>OK</v>
      </c>
    </row>
    <row r="38" spans="1:12" x14ac:dyDescent="0.2">
      <c r="A38" s="1951"/>
      <c r="B38" s="894"/>
      <c r="C38" s="875" t="s">
        <v>305</v>
      </c>
      <c r="D38" s="869" t="str">
        <f>IF('Assets-Liab 5-6'!G4&lt;-0.49, "ERROR!","OK")</f>
        <v>OK</v>
      </c>
    </row>
    <row r="39" spans="1:12" x14ac:dyDescent="0.2">
      <c r="A39" s="1951"/>
      <c r="B39" s="894"/>
      <c r="C39" s="875" t="s">
        <v>777</v>
      </c>
      <c r="D39" s="869" t="str">
        <f>IF('Assets-Liab 5-6'!H4&lt;-0.49, "ERROR!","OK")</f>
        <v>OK</v>
      </c>
    </row>
    <row r="40" spans="1:12" x14ac:dyDescent="0.2">
      <c r="A40" s="1951"/>
      <c r="B40" s="894"/>
      <c r="C40" s="875" t="s">
        <v>306</v>
      </c>
      <c r="D40" s="869" t="str">
        <f>IF('Assets-Liab 5-6'!I4&lt;-0.49, "ERROR!","OK")</f>
        <v>OK</v>
      </c>
    </row>
    <row r="41" spans="1:12" x14ac:dyDescent="0.2">
      <c r="A41" s="1951"/>
      <c r="B41" s="894"/>
      <c r="C41" s="875" t="s">
        <v>778</v>
      </c>
      <c r="D41" s="869" t="str">
        <f>IF('Assets-Liab 5-6'!J4&lt;-0.49, "ERROR!","OK")</f>
        <v>OK</v>
      </c>
    </row>
    <row r="42" spans="1:12" x14ac:dyDescent="0.2">
      <c r="A42" s="1951"/>
      <c r="B42" s="894"/>
      <c r="C42" s="875" t="s">
        <v>307</v>
      </c>
      <c r="D42" s="869" t="str">
        <f>IF('Assets-Liab 5-6'!K4&lt;-0.49, "ERROR!","OK")</f>
        <v>OK</v>
      </c>
    </row>
    <row r="43" spans="1:12" x14ac:dyDescent="0.2">
      <c r="A43" s="876"/>
      <c r="B43" s="877">
        <f>B33+1</f>
        <v>5</v>
      </c>
      <c r="C43" s="2490" t="s">
        <v>533</v>
      </c>
      <c r="D43" s="2491"/>
    </row>
    <row r="44" spans="1:12" x14ac:dyDescent="0.2">
      <c r="A44" s="876"/>
      <c r="B44" s="878"/>
      <c r="C44" s="1952" t="s">
        <v>1326</v>
      </c>
      <c r="D44" s="887" t="str">
        <f>IF(SUM('Assets-Liab 5-6'!C13)&lt;&gt;SUM('Assets-Liab 5-6'!C41),"ERROR!","OK")</f>
        <v>OK</v>
      </c>
    </row>
    <row r="45" spans="1:12" x14ac:dyDescent="0.2">
      <c r="A45" s="876"/>
      <c r="B45" s="878"/>
      <c r="C45" s="1952" t="s">
        <v>1327</v>
      </c>
      <c r="D45" s="887" t="str">
        <f>IF(SUM('Assets-Liab 5-6'!D13)&lt;&gt;SUM('Assets-Liab 5-6'!D41),"ERROR!","OK")</f>
        <v>OK</v>
      </c>
    </row>
    <row r="46" spans="1:12" x14ac:dyDescent="0.2">
      <c r="A46" s="876"/>
      <c r="B46" s="878"/>
      <c r="C46" s="1952" t="s">
        <v>1328</v>
      </c>
      <c r="D46" s="887" t="str">
        <f>IF(SUM('Assets-Liab 5-6'!E13)&lt;&gt;SUM('Assets-Liab 5-6'!E41),"ERROR!","OK")</f>
        <v>OK</v>
      </c>
    </row>
    <row r="47" spans="1:12" x14ac:dyDescent="0.2">
      <c r="A47" s="876"/>
      <c r="B47" s="878"/>
      <c r="C47" s="1952" t="s">
        <v>1329</v>
      </c>
      <c r="D47" s="887" t="str">
        <f>IF(SUM('Assets-Liab 5-6'!F13)&lt;&gt;SUM('Assets-Liab 5-6'!F41),"ERROR!","OK")</f>
        <v>OK</v>
      </c>
    </row>
    <row r="48" spans="1:12" x14ac:dyDescent="0.2">
      <c r="A48" s="876"/>
      <c r="B48" s="878"/>
      <c r="C48" s="1952" t="s">
        <v>1330</v>
      </c>
      <c r="D48" s="887" t="str">
        <f>IF(SUM('Assets-Liab 5-6'!G13)&lt;&gt;SUM('Assets-Liab 5-6'!G41),"ERROR!","OK")</f>
        <v>OK</v>
      </c>
    </row>
    <row r="49" spans="1:4" x14ac:dyDescent="0.2">
      <c r="A49" s="876"/>
      <c r="B49" s="878"/>
      <c r="C49" s="1952" t="s">
        <v>1331</v>
      </c>
      <c r="D49" s="887" t="str">
        <f>IF(SUM('Assets-Liab 5-6'!H13)&lt;&gt;SUM('Assets-Liab 5-6'!H41),"ERROR!","OK")</f>
        <v>OK</v>
      </c>
    </row>
    <row r="50" spans="1:4" x14ac:dyDescent="0.2">
      <c r="A50" s="876"/>
      <c r="B50" s="878"/>
      <c r="C50" s="1952" t="s">
        <v>1332</v>
      </c>
      <c r="D50" s="887" t="str">
        <f>IF(SUM('Assets-Liab 5-6'!I13)&lt;&gt;SUM('Assets-Liab 5-6'!I41),"ERROR!","OK")</f>
        <v>OK</v>
      </c>
    </row>
    <row r="51" spans="1:4" x14ac:dyDescent="0.2">
      <c r="A51" s="876"/>
      <c r="B51" s="878"/>
      <c r="C51" s="1952" t="s">
        <v>1333</v>
      </c>
      <c r="D51" s="887" t="str">
        <f>IF(SUM('Assets-Liab 5-6'!J13)&lt;&gt;SUM('Assets-Liab 5-6'!J41),"ERROR!","OK")</f>
        <v>OK</v>
      </c>
    </row>
    <row r="52" spans="1:4" x14ac:dyDescent="0.2">
      <c r="A52" s="876"/>
      <c r="B52" s="878"/>
      <c r="C52" s="1952" t="s">
        <v>1334</v>
      </c>
      <c r="D52" s="887" t="str">
        <f>IF(SUM('Assets-Liab 5-6'!K13)&lt;&gt;SUM('Assets-Liab 5-6'!K41),"ERROR!","OK")</f>
        <v>OK</v>
      </c>
    </row>
    <row r="53" spans="1:4" x14ac:dyDescent="0.2">
      <c r="A53" s="876"/>
      <c r="B53" s="878"/>
      <c r="C53" s="1952" t="s">
        <v>1335</v>
      </c>
      <c r="D53" s="887" t="str">
        <f>IF(SUM('Assets-Liab 5-6'!L13)&lt;&gt;('Assets-Liab 5-6'!L41),"ERROR!","OK")</f>
        <v>OK</v>
      </c>
    </row>
    <row r="54" spans="1:4" x14ac:dyDescent="0.2">
      <c r="A54" s="876"/>
      <c r="B54" s="878"/>
      <c r="C54" s="1952" t="s">
        <v>1336</v>
      </c>
      <c r="D54" s="887" t="str">
        <f>IF(SUM('Assets-Liab 5-6'!M23)&lt;&gt;('Assets-Liab 5-6'!M41),"ERROR!","OK")</f>
        <v>OK</v>
      </c>
    </row>
    <row r="55" spans="1:4" x14ac:dyDescent="0.2">
      <c r="A55" s="876"/>
      <c r="B55" s="878"/>
      <c r="C55" s="1952" t="s">
        <v>1337</v>
      </c>
      <c r="D55" s="887" t="str">
        <f>IF(SUM('Assets-Liab 5-6'!N23)&lt;&gt;('Assets-Liab 5-6'!N41),"ERROR!","OK")</f>
        <v>OK</v>
      </c>
    </row>
    <row r="56" spans="1:4" x14ac:dyDescent="0.2">
      <c r="A56" s="866"/>
      <c r="B56" s="877">
        <f>B43+1</f>
        <v>6</v>
      </c>
      <c r="C56" s="2492" t="s">
        <v>779</v>
      </c>
      <c r="D56" s="2493"/>
    </row>
    <row r="57" spans="1:4" s="1950" customFormat="1" x14ac:dyDescent="0.2">
      <c r="A57" s="866"/>
      <c r="B57" s="1945"/>
      <c r="C57" s="875" t="s">
        <v>1338</v>
      </c>
      <c r="D57" s="879" t="str">
        <f>IF('Assets-Liab 5-6'!C38+'Assets-Liab 5-6'!C39='Acct Summary 7-8'!C81,"OK","ERROR!")</f>
        <v>OK</v>
      </c>
    </row>
    <row r="58" spans="1:4" x14ac:dyDescent="0.2">
      <c r="A58" s="866"/>
      <c r="B58" s="1945"/>
      <c r="C58" s="875" t="s">
        <v>1339</v>
      </c>
      <c r="D58" s="879" t="str">
        <f>IF((('Assets-Liab 5-6'!D38+'Assets-Liab 5-6'!D39) ='Acct Summary 7-8'!D81), "OK", "ERROR!" )</f>
        <v>OK</v>
      </c>
    </row>
    <row r="59" spans="1:4" s="1950" customFormat="1" x14ac:dyDescent="0.2">
      <c r="A59" s="866"/>
      <c r="B59" s="1945"/>
      <c r="C59" s="875" t="s">
        <v>1340</v>
      </c>
      <c r="D59" s="879" t="str">
        <f>IF((('Assets-Liab 5-6'!E38 + 'Assets-Liab 5-6'!E39) ='Acct Summary 7-8'!E81), "OK", "ERROR!" )</f>
        <v>OK</v>
      </c>
    </row>
    <row r="60" spans="1:4" x14ac:dyDescent="0.2">
      <c r="A60" s="866"/>
      <c r="B60" s="1945"/>
      <c r="C60" s="875" t="s">
        <v>1341</v>
      </c>
      <c r="D60" s="879" t="str">
        <f>IF((('Assets-Liab 5-6'!F38 + 'Assets-Liab 5-6'!F39) ='Acct Summary 7-8'!F81), "OK", "ERROR!" )</f>
        <v>OK</v>
      </c>
    </row>
    <row r="61" spans="1:4" ht="12.75" customHeight="1" x14ac:dyDescent="0.2">
      <c r="A61" s="866"/>
      <c r="B61" s="1945"/>
      <c r="C61" s="875" t="s">
        <v>1349</v>
      </c>
      <c r="D61" s="879" t="str">
        <f>IF((('Assets-Liab 5-6'!G38 + 'Assets-Liab 5-6'!G39) ='Acct Summary 7-8'!G81), "OK", "ERROR!" )</f>
        <v>OK</v>
      </c>
    </row>
    <row r="62" spans="1:4" x14ac:dyDescent="0.2">
      <c r="A62" s="866"/>
      <c r="B62" s="1945"/>
      <c r="C62" s="875" t="s">
        <v>1342</v>
      </c>
      <c r="D62" s="879" t="str">
        <f>IF((('Assets-Liab 5-6'!H38 + 'Assets-Liab 5-6'!H39) ='Acct Summary 7-8'!H81), "OK", "ERROR!" )</f>
        <v>OK</v>
      </c>
    </row>
    <row r="63" spans="1:4" ht="12.75" customHeight="1" x14ac:dyDescent="0.2">
      <c r="A63" s="866"/>
      <c r="B63" s="1945"/>
      <c r="C63" s="875" t="s">
        <v>1343</v>
      </c>
      <c r="D63" s="879" t="str">
        <f>IF((('Assets-Liab 5-6'!I38 + 'Assets-Liab 5-6'!I39) ='Acct Summary 7-8'!I81), "OK", "ERROR!" )</f>
        <v>OK</v>
      </c>
    </row>
    <row r="64" spans="1:4" x14ac:dyDescent="0.2">
      <c r="A64" s="866"/>
      <c r="B64" s="1945"/>
      <c r="C64" s="875" t="s">
        <v>1344</v>
      </c>
      <c r="D64" s="879" t="str">
        <f>IF((('Assets-Liab 5-6'!J38 + 'Assets-Liab 5-6'!J39) ='Acct Summary 7-8'!J81), "OK", "ERROR!" )</f>
        <v>OK</v>
      </c>
    </row>
    <row r="65" spans="1:4" x14ac:dyDescent="0.2">
      <c r="A65" s="1951"/>
      <c r="B65" s="1945"/>
      <c r="C65" s="875" t="s">
        <v>1350</v>
      </c>
      <c r="D65" s="879" t="str">
        <f>IF((('Assets-Liab 5-6'!K38 + 'Assets-Liab 5-6'!K39) ='Acct Summary 7-8'!K81), "OK", "ERROR!" )</f>
        <v>OK</v>
      </c>
    </row>
    <row r="66" spans="1:4" x14ac:dyDescent="0.2">
      <c r="A66" s="865"/>
      <c r="B66" s="894">
        <f>B56+1+1</f>
        <v>8</v>
      </c>
      <c r="C66" s="897" t="s">
        <v>1881</v>
      </c>
      <c r="D66" s="880"/>
    </row>
    <row r="67" spans="1:4" x14ac:dyDescent="0.2">
      <c r="A67" s="876"/>
      <c r="B67" s="894"/>
      <c r="C67" s="898" t="s">
        <v>1014</v>
      </c>
      <c r="D67" s="880"/>
    </row>
    <row r="68" spans="1:4" x14ac:dyDescent="0.2">
      <c r="A68" s="866"/>
      <c r="B68" s="1945"/>
      <c r="C68" s="868" t="s">
        <v>1882</v>
      </c>
      <c r="D68" s="879" t="str">
        <f>IF('Short-Term Long-Term Debt 24'!F49=SUM(,'Acct Summary 7-8'!C33:K33),"OK","ERROR!")</f>
        <v>OK</v>
      </c>
    </row>
    <row r="69" spans="1:4" x14ac:dyDescent="0.2">
      <c r="A69" s="866"/>
      <c r="B69" s="1945"/>
      <c r="C69" s="868" t="s">
        <v>1883</v>
      </c>
      <c r="D69" s="879" t="str">
        <f>IF('Expenditures 15-22'!H170&lt;&gt;'Short-Term Long-Term Debt 24'!H49,"ERROR!","OK")</f>
        <v>OK</v>
      </c>
    </row>
    <row r="70" spans="1:4" x14ac:dyDescent="0.2">
      <c r="A70" s="865"/>
      <c r="B70" s="877">
        <f>B66+1</f>
        <v>9</v>
      </c>
      <c r="C70" s="2492" t="s">
        <v>1677</v>
      </c>
      <c r="D70" s="2493"/>
    </row>
    <row r="71" spans="1:4" x14ac:dyDescent="0.2">
      <c r="A71" s="865"/>
      <c r="B71" s="877"/>
      <c r="C71" s="868" t="s">
        <v>1345</v>
      </c>
      <c r="D71" s="881" t="str">
        <f>IF(SUM('Acct Summary 7-8'!C27:K27) =SUM( 'Acct Summary 7-8'!C49:K49),"OK", "ERROR")</f>
        <v>OK</v>
      </c>
    </row>
    <row r="72" spans="1:4" x14ac:dyDescent="0.2">
      <c r="A72" s="866"/>
      <c r="B72" s="1945"/>
      <c r="C72" s="875" t="s">
        <v>1346</v>
      </c>
      <c r="D72" s="879" t="str">
        <f>IF(SUM('Acct Summary 7-8'!C28:K28)=SUM('Acct Summary 7-8'!C50:K50),"OK","ERROR!")</f>
        <v>OK</v>
      </c>
    </row>
    <row r="73" spans="1:4" ht="24" x14ac:dyDescent="0.2">
      <c r="A73" s="882"/>
      <c r="B73" s="1945"/>
      <c r="C73" s="875" t="s">
        <v>1678</v>
      </c>
      <c r="D73" s="881" t="str">
        <f>IF(SUM('Acct Summary 7-8'!C42:K42)&gt;=SUM( 'Acct Summary 7-8'!C74:K74),"OK", "ERROR")</f>
        <v>OK</v>
      </c>
    </row>
    <row r="74" spans="1:4" x14ac:dyDescent="0.2">
      <c r="A74" s="865"/>
      <c r="B74" s="877">
        <f>B70+1</f>
        <v>10</v>
      </c>
      <c r="C74" s="873" t="s">
        <v>1884</v>
      </c>
      <c r="D74" s="883"/>
    </row>
    <row r="75" spans="1:4" x14ac:dyDescent="0.2">
      <c r="A75" s="866"/>
      <c r="B75" s="1945"/>
      <c r="C75" s="875" t="s">
        <v>1363</v>
      </c>
      <c r="D75" s="879" t="str">
        <f>IF(SUM('Assets-Liab 5-6'!C38:H38)&gt;=SUM('Rest Tax Levies-Tort Im 25'!G25:K25),"OK","ERROR")</f>
        <v>OK</v>
      </c>
    </row>
    <row r="76" spans="1:4" x14ac:dyDescent="0.2">
      <c r="A76" s="866"/>
      <c r="B76" s="1945"/>
      <c r="C76" s="875" t="s">
        <v>1404</v>
      </c>
      <c r="D76" s="879" t="str">
        <f>IF(SUM('Assets-Liab 5-6'!C39:K39)&gt;0,"OK","ENTRY IS REQUIRED!")</f>
        <v>OK</v>
      </c>
    </row>
    <row r="77" spans="1:4" x14ac:dyDescent="0.2">
      <c r="A77" s="866"/>
      <c r="B77" s="884">
        <f>B74+1</f>
        <v>11</v>
      </c>
      <c r="C77" s="904" t="s">
        <v>1364</v>
      </c>
      <c r="D77" s="879"/>
    </row>
    <row r="78" spans="1:4" x14ac:dyDescent="0.2">
      <c r="A78" s="866"/>
      <c r="B78" s="1945"/>
      <c r="C78" s="875" t="s">
        <v>1989</v>
      </c>
      <c r="D78" s="879" t="str">
        <f>IF(ISNUMBER('Acct Summary 7-8'!C9),"OK","ENTRY IS REQUIRED!")</f>
        <v>OK</v>
      </c>
    </row>
    <row r="79" spans="1:4" x14ac:dyDescent="0.2">
      <c r="A79" s="876"/>
      <c r="B79" s="877">
        <f>B74+1+1</f>
        <v>12</v>
      </c>
      <c r="C79" s="885" t="s">
        <v>1872</v>
      </c>
      <c r="D79" s="886" t="str">
        <f>IF(OR(COVER!$B$6="X",'PCTC-OEPP 27-28'!F79&gt;0),"OK","PLEASE ENTER 9 MO ADA.")</f>
        <v>OK</v>
      </c>
    </row>
    <row r="80" spans="1:4" x14ac:dyDescent="0.2">
      <c r="A80" s="865"/>
      <c r="B80" s="877">
        <v>13</v>
      </c>
      <c r="C80" s="885" t="s">
        <v>1977</v>
      </c>
      <c r="D80" s="886" t="str">
        <f>IF(OR(COVER!$B$6="X",ISNUMBER('PCTC-OEPP 27-28'!F172)),"OK","PLEASE ENTER AMOUNT or 0.")</f>
        <v>OK</v>
      </c>
    </row>
    <row r="81" spans="1:4" x14ac:dyDescent="0.2">
      <c r="A81" s="865"/>
      <c r="B81" s="877">
        <v>14</v>
      </c>
      <c r="C81" s="885" t="s">
        <v>1978</v>
      </c>
      <c r="D81" s="886" t="str">
        <f>IF(OR(COVER!$B$6="X",ISNUMBER('PCTC-OEPP 27-28'!F172)),"OK","PLEASE ENTER AMOUNT or 0.")</f>
        <v>OK</v>
      </c>
    </row>
    <row r="82" spans="1:4" x14ac:dyDescent="0.2">
      <c r="A82" s="865"/>
      <c r="B82" s="877">
        <v>15</v>
      </c>
      <c r="C82" s="885" t="s">
        <v>1885</v>
      </c>
      <c r="D82" s="1779" t="str">
        <f>IF('Contracts Paid in CY 29'!$D$141&gt;0,"OK","PLEASE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33" t="s">
        <v>1968</v>
      </c>
      <c r="F1" s="1433" t="s">
        <v>1969</v>
      </c>
      <c r="G1" s="1778" t="s">
        <v>1979</v>
      </c>
    </row>
    <row r="2" spans="1:7" ht="15.75" x14ac:dyDescent="0.25">
      <c r="A2" t="s">
        <v>260</v>
      </c>
      <c r="B2" s="135">
        <f>COVER!A13</f>
        <v>31045302026</v>
      </c>
      <c r="E2" s="1432">
        <v>2020</v>
      </c>
      <c r="F2" s="1432">
        <v>1</v>
      </c>
      <c r="G2" s="1777">
        <v>101000300</v>
      </c>
    </row>
    <row r="3" spans="1:7" ht="15" x14ac:dyDescent="0.25">
      <c r="A3" t="s">
        <v>950</v>
      </c>
      <c r="B3" s="135" t="str">
        <f>COVER!A15</f>
        <v>KANE</v>
      </c>
      <c r="E3" s="1712" t="s">
        <v>1972</v>
      </c>
      <c r="F3" s="1712" t="s">
        <v>1971</v>
      </c>
      <c r="G3" s="1777">
        <v>101000400</v>
      </c>
    </row>
    <row r="4" spans="1:7" ht="15" x14ac:dyDescent="0.25">
      <c r="A4" t="s">
        <v>1000</v>
      </c>
      <c r="B4" s="135" t="str">
        <f>COVER!A17</f>
        <v xml:space="preserve"> Kaneland CUSD 302</v>
      </c>
      <c r="E4" s="1710">
        <v>44119</v>
      </c>
      <c r="F4" s="1711">
        <v>44151</v>
      </c>
      <c r="G4" s="1777">
        <v>101000600</v>
      </c>
    </row>
    <row r="5" spans="1:7" ht="15" x14ac:dyDescent="0.25">
      <c r="A5" t="s">
        <v>699</v>
      </c>
      <c r="B5" s="135" t="str">
        <f>COVER!A38</f>
        <v>Dr. Todd Leden</v>
      </c>
      <c r="G5" s="1777">
        <v>101000800</v>
      </c>
    </row>
    <row r="6" spans="1:7" ht="15" x14ac:dyDescent="0.25">
      <c r="A6" t="s">
        <v>704</v>
      </c>
      <c r="B6" s="135">
        <f>COVER!P35</f>
        <v>0</v>
      </c>
      <c r="G6" s="1777">
        <v>102100300</v>
      </c>
    </row>
    <row r="7" spans="1:7" ht="15" x14ac:dyDescent="0.25">
      <c r="A7" t="s">
        <v>700</v>
      </c>
      <c r="B7" s="135">
        <f>COVER!I38</f>
        <v>0</v>
      </c>
      <c r="G7" s="1777">
        <v>102100400</v>
      </c>
    </row>
    <row r="8" spans="1:7" ht="15" x14ac:dyDescent="0.25">
      <c r="A8" t="s">
        <v>701</v>
      </c>
      <c r="B8" s="135">
        <f>COVER!T38</f>
        <v>0</v>
      </c>
      <c r="G8" s="1777">
        <v>102100600</v>
      </c>
    </row>
    <row r="9" spans="1:7" ht="15" x14ac:dyDescent="0.25">
      <c r="A9" s="3" t="s">
        <v>951</v>
      </c>
      <c r="B9" s="153" t="e">
        <f>#REF!</f>
        <v>#REF!</v>
      </c>
      <c r="G9" s="1777">
        <v>102100800</v>
      </c>
    </row>
    <row r="10" spans="1:7" ht="15" x14ac:dyDescent="0.25">
      <c r="A10" t="s">
        <v>970</v>
      </c>
      <c r="B10" s="135" t="str">
        <f>COVER!B5</f>
        <v>X</v>
      </c>
      <c r="G10" s="1777">
        <v>202100300</v>
      </c>
    </row>
    <row r="11" spans="1:7" ht="15" x14ac:dyDescent="0.25">
      <c r="A11" t="s">
        <v>971</v>
      </c>
      <c r="B11" s="135">
        <f>COVER!B6</f>
        <v>0</v>
      </c>
      <c r="G11" s="1777">
        <v>202100400</v>
      </c>
    </row>
    <row r="12" spans="1:7" ht="15" x14ac:dyDescent="0.25">
      <c r="A12" s="1" t="s">
        <v>1529</v>
      </c>
      <c r="B12" s="135" t="str">
        <f>IF(COVER!J29="x","Yes",IF(COVER!L29="X","No",0))</f>
        <v>Yes</v>
      </c>
      <c r="G12" s="1777">
        <v>202100600</v>
      </c>
    </row>
    <row r="13" spans="1:7" ht="15" x14ac:dyDescent="0.25">
      <c r="A13" s="1" t="s">
        <v>1530</v>
      </c>
      <c r="B13" s="135" t="str">
        <f>IF(COVER!J30="x","Yes",IF(COVER!L30="x","No",0))</f>
        <v>Yes</v>
      </c>
      <c r="G13" s="1777">
        <v>202100800</v>
      </c>
    </row>
    <row r="14" spans="1:7" ht="15" x14ac:dyDescent="0.25">
      <c r="A14" t="s">
        <v>473</v>
      </c>
      <c r="B14" s="135" t="str">
        <f>IF(COVER!J31="x","Yes",IF(COVER!L31="x","No",0))</f>
        <v>No</v>
      </c>
      <c r="G14" s="1777">
        <v>402100300</v>
      </c>
    </row>
    <row r="15" spans="1:7" ht="15" x14ac:dyDescent="0.25">
      <c r="A15" t="s">
        <v>573</v>
      </c>
      <c r="B15" s="135" t="str">
        <f>COVER!T23</f>
        <v>065-037815</v>
      </c>
      <c r="G15" s="1777">
        <v>402100400</v>
      </c>
    </row>
    <row r="16" spans="1:7" ht="15" x14ac:dyDescent="0.25">
      <c r="A16" t="s">
        <v>419</v>
      </c>
      <c r="B16" s="135" t="str">
        <f>COVER!T13</f>
        <v>Lauterbach &amp; Amen, LLP</v>
      </c>
      <c r="G16" s="1777">
        <v>402100600</v>
      </c>
    </row>
    <row r="17" spans="1:7" ht="15" x14ac:dyDescent="0.25">
      <c r="A17" t="s">
        <v>878</v>
      </c>
      <c r="B17" s="135" t="str">
        <f>COVER!T15</f>
        <v>Matt Beran</v>
      </c>
      <c r="G17" s="1777">
        <v>402100800</v>
      </c>
    </row>
    <row r="18" spans="1:7" ht="15" x14ac:dyDescent="0.25">
      <c r="A18" t="s">
        <v>1142</v>
      </c>
      <c r="B18" s="135" t="str">
        <f>COVER!T17</f>
        <v>668 N. River Road</v>
      </c>
      <c r="G18" s="1777">
        <v>102200300</v>
      </c>
    </row>
    <row r="19" spans="1:7" ht="15" x14ac:dyDescent="0.25">
      <c r="A19" t="s">
        <v>880</v>
      </c>
      <c r="B19" s="135" t="str">
        <f>COVER!T25</f>
        <v>mberan@lauterbachamen.com</v>
      </c>
      <c r="G19" s="1777">
        <v>102200400</v>
      </c>
    </row>
    <row r="20" spans="1:7" ht="15" x14ac:dyDescent="0.25">
      <c r="A20" t="s">
        <v>881</v>
      </c>
      <c r="B20" s="135" t="str">
        <f>COVER!T19</f>
        <v>Naperville</v>
      </c>
      <c r="G20" s="1777">
        <v>102200600</v>
      </c>
    </row>
    <row r="21" spans="1:7" ht="15" x14ac:dyDescent="0.25">
      <c r="A21" t="s">
        <v>476</v>
      </c>
      <c r="B21" s="135" t="str">
        <f>COVER!X19</f>
        <v>IL</v>
      </c>
      <c r="G21" s="1777">
        <v>102200800</v>
      </c>
    </row>
    <row r="22" spans="1:7" ht="15" x14ac:dyDescent="0.25">
      <c r="A22" t="s">
        <v>882</v>
      </c>
      <c r="B22" s="135">
        <f>COVER!Z19</f>
        <v>60563</v>
      </c>
      <c r="G22" s="1777">
        <v>102300300</v>
      </c>
    </row>
    <row r="23" spans="1:7" ht="15" x14ac:dyDescent="0.25">
      <c r="A23" t="s">
        <v>1144</v>
      </c>
      <c r="B23" s="135">
        <f>COVER!T21</f>
        <v>6303931483</v>
      </c>
      <c r="G23" s="1777">
        <v>102300400</v>
      </c>
    </row>
    <row r="24" spans="1:7" ht="15" x14ac:dyDescent="0.25">
      <c r="A24" t="s">
        <v>1143</v>
      </c>
      <c r="B24" s="135">
        <f>COVER!Y21</f>
        <v>0</v>
      </c>
      <c r="G24" s="1777">
        <v>102300600</v>
      </c>
    </row>
    <row r="25" spans="1:7" ht="15" x14ac:dyDescent="0.25">
      <c r="A25" t="s">
        <v>756</v>
      </c>
      <c r="B25" s="135">
        <f>COVER!B34</f>
        <v>0</v>
      </c>
      <c r="G25" s="1777">
        <v>102300800</v>
      </c>
    </row>
    <row r="26" spans="1:7" ht="15" x14ac:dyDescent="0.25">
      <c r="A26" t="s">
        <v>1145</v>
      </c>
      <c r="B26" s="135">
        <f>COVER!L34</f>
        <v>0</v>
      </c>
      <c r="G26" s="1777">
        <v>802300300</v>
      </c>
    </row>
    <row r="27" spans="1:7" ht="15" x14ac:dyDescent="0.25">
      <c r="A27" t="s">
        <v>266</v>
      </c>
      <c r="B27" s="135">
        <f>COVER!U34</f>
        <v>0</v>
      </c>
      <c r="G27" s="1777">
        <v>802300400</v>
      </c>
    </row>
    <row r="28" spans="1:7" ht="15" x14ac:dyDescent="0.25">
      <c r="A28" t="s">
        <v>313</v>
      </c>
      <c r="B28" s="135" t="str">
        <f>IF('Aud Quest 2'!B9="x","Yes",IF('Aud Quest 2'!B9&lt;&gt;"x","0"))</f>
        <v>0</v>
      </c>
      <c r="G28" s="1777">
        <v>802300600</v>
      </c>
    </row>
    <row r="29" spans="1:7" ht="15" x14ac:dyDescent="0.25">
      <c r="A29" t="s">
        <v>314</v>
      </c>
      <c r="B29" s="135" t="str">
        <f>IF('Aud Quest 2'!B11="x","Yes",IF('Aud Quest 2'!B11&lt;&gt;"x","0"))</f>
        <v>0</v>
      </c>
      <c r="G29" s="1777">
        <v>802300800</v>
      </c>
    </row>
    <row r="30" spans="1:7" ht="15" x14ac:dyDescent="0.25">
      <c r="A30" t="s">
        <v>315</v>
      </c>
      <c r="B30" s="135" t="str">
        <f>IF('Aud Quest 2'!B13="x","Yes",IF('Aud Quest 2'!B13&lt;&gt;"x","0"))</f>
        <v>0</v>
      </c>
      <c r="G30" s="1777">
        <v>102400300</v>
      </c>
    </row>
    <row r="31" spans="1:7" ht="15" x14ac:dyDescent="0.25">
      <c r="A31" t="s">
        <v>654</v>
      </c>
      <c r="B31" s="135" t="str">
        <f>IF('Aud Quest 2'!B14="x","Yes",IF('Aud Quest 2'!B14&lt;&gt;"x","0"))</f>
        <v>0</v>
      </c>
      <c r="G31" s="1777">
        <v>102400400</v>
      </c>
    </row>
    <row r="32" spans="1:7" ht="15" x14ac:dyDescent="0.25">
      <c r="A32" t="s">
        <v>653</v>
      </c>
      <c r="B32" s="135" t="str">
        <f>IF('Aud Quest 2'!B15="x","Yes",IF('Aud Quest 2'!B15&lt;&gt;"x","0"))</f>
        <v>0</v>
      </c>
      <c r="G32" s="1777">
        <v>102400600</v>
      </c>
    </row>
    <row r="33" spans="1:7" ht="15" x14ac:dyDescent="0.25">
      <c r="A33" t="s">
        <v>655</v>
      </c>
      <c r="B33" s="135" t="str">
        <f>IF('Aud Quest 2'!B16="x","Yes",IF('Aud Quest 2'!B16&lt;&gt;"x","0"))</f>
        <v>0</v>
      </c>
      <c r="G33" s="1777">
        <v>102400800</v>
      </c>
    </row>
    <row r="34" spans="1:7" ht="15" x14ac:dyDescent="0.25">
      <c r="A34" t="s">
        <v>656</v>
      </c>
      <c r="B34" s="135" t="str">
        <f>IF('Aud Quest 2'!B18="x","Yes",IF('Aud Quest 2'!B18&lt;&gt;"x","0"))</f>
        <v>0</v>
      </c>
      <c r="G34" s="1777">
        <v>102510300</v>
      </c>
    </row>
    <row r="35" spans="1:7" ht="15" x14ac:dyDescent="0.25">
      <c r="A35" t="s">
        <v>657</v>
      </c>
      <c r="B35" s="135" t="str">
        <f>IF('Aud Quest 2'!B20="x","Yes",IF('Aud Quest 2'!B20&lt;&gt;"x","0"))</f>
        <v>0</v>
      </c>
      <c r="G35" s="1777">
        <v>102510400</v>
      </c>
    </row>
    <row r="36" spans="1:7" ht="15" x14ac:dyDescent="0.25">
      <c r="A36" t="s">
        <v>651</v>
      </c>
      <c r="B36" s="135" t="str">
        <f>IF('Aud Quest 2'!B22="x","Yes",IF('Aud Quest 2'!B22&lt;&gt;"x","0"))</f>
        <v>0</v>
      </c>
      <c r="G36" s="1777">
        <v>102510600</v>
      </c>
    </row>
    <row r="37" spans="1:7" ht="15" x14ac:dyDescent="0.25">
      <c r="A37" t="s">
        <v>755</v>
      </c>
      <c r="B37" s="135" t="str">
        <f>IF('Aud Quest 2'!B24="x","Yes",IF('Aud Quest 2'!B24&lt;&gt;"x","0"))</f>
        <v>0</v>
      </c>
      <c r="G37" s="1777">
        <v>102510800</v>
      </c>
    </row>
    <row r="38" spans="1:7" ht="15" x14ac:dyDescent="0.25">
      <c r="A38" t="s">
        <v>324</v>
      </c>
      <c r="B38" s="135" t="str">
        <f>IF('Aud Quest 2'!B25="x","Yes",IF('Aud Quest 2'!B25&lt;&gt;"x","0"))</f>
        <v>0</v>
      </c>
      <c r="G38" s="1777">
        <v>202510300</v>
      </c>
    </row>
    <row r="39" spans="1:7" ht="15" x14ac:dyDescent="0.25">
      <c r="A39" t="s">
        <v>325</v>
      </c>
      <c r="B39" s="135" t="str">
        <f>IF('Aud Quest 2'!B27="x","Yes",IF('Aud Quest 2'!B27&lt;&gt;"x","0"))</f>
        <v>0</v>
      </c>
      <c r="G39" s="1777">
        <v>202510400</v>
      </c>
    </row>
    <row r="40" spans="1:7" ht="15" x14ac:dyDescent="0.25">
      <c r="A40" t="s">
        <v>316</v>
      </c>
      <c r="B40" s="135" t="str">
        <f>IF('Aud Quest 2'!B29="x","Yes",IF('Aud Quest 2'!B29&lt;&gt;"x","0"))</f>
        <v>0</v>
      </c>
      <c r="G40" s="1777">
        <v>202510600</v>
      </c>
    </row>
    <row r="41" spans="1:7" ht="15" x14ac:dyDescent="0.25">
      <c r="A41" t="s">
        <v>317</v>
      </c>
      <c r="B41" s="135" t="str">
        <f>IF('Aud Quest 2'!B31="x","Yes",IF('Aud Quest 2'!B31&lt;&gt;"x","0"))</f>
        <v>0</v>
      </c>
      <c r="G41" s="1777">
        <v>202510800</v>
      </c>
    </row>
    <row r="42" spans="1:7" ht="15" x14ac:dyDescent="0.25">
      <c r="A42" t="s">
        <v>318</v>
      </c>
      <c r="B42" s="135" t="str">
        <f>IF('Aud Quest 2'!B37="x","Yes",IF('Aud Quest 2'!B37&lt;&gt;"x","0"))</f>
        <v>0</v>
      </c>
      <c r="G42" s="1777">
        <v>102520300</v>
      </c>
    </row>
    <row r="43" spans="1:7" ht="15" x14ac:dyDescent="0.25">
      <c r="A43" t="s">
        <v>319</v>
      </c>
      <c r="B43" s="135" t="str">
        <f>IF('Aud Quest 2'!B40="x","Yes",IF('Aud Quest 2'!B40&lt;&gt;"x","0"))</f>
        <v>0</v>
      </c>
      <c r="G43" s="1777">
        <v>102520400</v>
      </c>
    </row>
    <row r="44" spans="1:7" ht="15" x14ac:dyDescent="0.25">
      <c r="A44" s="1" t="s">
        <v>320</v>
      </c>
      <c r="B44" s="135" t="str">
        <f>IF('Aud Quest 2'!B42="x","Yes",IF('Aud Quest 2'!B42&lt;&gt;"x","0"))</f>
        <v>0</v>
      </c>
      <c r="G44" s="1777">
        <v>102520600</v>
      </c>
    </row>
    <row r="45" spans="1:7" ht="15" x14ac:dyDescent="0.25">
      <c r="A45" t="s">
        <v>321</v>
      </c>
      <c r="B45" s="135" t="str">
        <f>IF('Aud Quest 2'!B44="x","Yes",IF('Aud Quest 2'!B44&lt;&gt;"x","0"))</f>
        <v>0</v>
      </c>
      <c r="G45" s="1777">
        <v>102520800</v>
      </c>
    </row>
    <row r="46" spans="1:7" ht="15" x14ac:dyDescent="0.25">
      <c r="A46" t="s">
        <v>322</v>
      </c>
      <c r="B46" s="135" t="str">
        <f>IF('Aud Quest 2'!B49="x","Yes",IF('Aud Quest 2'!B49&lt;&gt;"x","0"))</f>
        <v>0</v>
      </c>
      <c r="G46" s="1777">
        <v>102540300</v>
      </c>
    </row>
    <row r="47" spans="1:7" ht="15" x14ac:dyDescent="0.25">
      <c r="A47" t="s">
        <v>323</v>
      </c>
      <c r="B47" s="135" t="str">
        <f>IF('Aud Quest 2'!B50="x","Yes",IF('Aud Quest 2'!B50&lt;&gt;"x","0"))</f>
        <v>0</v>
      </c>
      <c r="G47" s="1777">
        <v>102540400</v>
      </c>
    </row>
    <row r="48" spans="1:7" ht="15" x14ac:dyDescent="0.25">
      <c r="A48" t="s">
        <v>480</v>
      </c>
      <c r="B48" s="135" t="str">
        <f>IF('Aud Quest 2'!B51="x","Yes",IF('Aud Quest 2'!B51&lt;&gt;"x","0"))</f>
        <v>0</v>
      </c>
      <c r="G48" s="1777">
        <v>102540600</v>
      </c>
    </row>
    <row r="49" spans="1:7" ht="15" x14ac:dyDescent="0.25">
      <c r="A49" s="1" t="s">
        <v>1467</v>
      </c>
      <c r="B49" s="135" t="str">
        <f>IF('Aud Quest 2'!B53="x","Yes",IF('Aud Quest 2'!B53&lt;&gt;"x","0"))</f>
        <v>Yes</v>
      </c>
      <c r="G49" s="1777">
        <v>102540800</v>
      </c>
    </row>
    <row r="50" spans="1:7" ht="15" x14ac:dyDescent="0.25">
      <c r="A50" s="1" t="s">
        <v>1466</v>
      </c>
      <c r="B50" s="146">
        <f>'Aud Quest 2'!H53</f>
        <v>33239</v>
      </c>
      <c r="G50" s="1777">
        <v>202540300</v>
      </c>
    </row>
    <row r="51" spans="1:7" ht="15" x14ac:dyDescent="0.25">
      <c r="A51" s="1" t="s">
        <v>1468</v>
      </c>
      <c r="B51" s="135" t="str">
        <f>IF('Aud Quest 2'!B54="x","Yes",IF('Aud Quest 2'!B54&lt;&gt;"x","0"))</f>
        <v>0</v>
      </c>
      <c r="G51" s="1777">
        <v>202540400</v>
      </c>
    </row>
    <row r="52" spans="1:7" ht="15" x14ac:dyDescent="0.25">
      <c r="A52" t="s">
        <v>326</v>
      </c>
      <c r="B52" s="135">
        <f>('Aud Quest 2'!D56)</f>
        <v>0</v>
      </c>
      <c r="G52" s="1777">
        <v>202540600</v>
      </c>
    </row>
    <row r="53" spans="1:7" ht="15" x14ac:dyDescent="0.25">
      <c r="A53" s="1" t="s">
        <v>327</v>
      </c>
      <c r="B53" s="135">
        <f>IF('FP Info 3'!B44="X","Yes",0)</f>
        <v>0</v>
      </c>
      <c r="G53" s="1777">
        <v>202540800</v>
      </c>
    </row>
    <row r="54" spans="1:7" ht="15" x14ac:dyDescent="0.25">
      <c r="A54" t="s">
        <v>328</v>
      </c>
      <c r="B54" s="135">
        <f>IF('FP Info 3'!B45="X","Yes",0)</f>
        <v>0</v>
      </c>
      <c r="G54" s="1777">
        <v>902540300</v>
      </c>
    </row>
    <row r="55" spans="1:7" ht="15" x14ac:dyDescent="0.25">
      <c r="A55" t="s">
        <v>329</v>
      </c>
      <c r="B55" s="135">
        <f>IF('FP Info 3'!B46="X","Yes",0)</f>
        <v>0</v>
      </c>
      <c r="G55" s="1777">
        <v>902540400</v>
      </c>
    </row>
    <row r="56" spans="1:7" ht="15" x14ac:dyDescent="0.25">
      <c r="A56" t="s">
        <v>330</v>
      </c>
      <c r="B56" s="135">
        <f>IF('FP Info 3'!B47="X","Yes",0)</f>
        <v>0</v>
      </c>
      <c r="G56" s="1777">
        <v>902540600</v>
      </c>
    </row>
    <row r="57" spans="1:7" ht="15" x14ac:dyDescent="0.25">
      <c r="A57" t="s">
        <v>331</v>
      </c>
      <c r="B57" s="135">
        <f>IF('FP Info 3'!B48="X","Yes",0)</f>
        <v>0</v>
      </c>
      <c r="G57" s="1777">
        <v>902540800</v>
      </c>
    </row>
    <row r="58" spans="1:7" ht="15" x14ac:dyDescent="0.25">
      <c r="A58" t="s">
        <v>332</v>
      </c>
      <c r="B58" s="135">
        <f>IF('FP Info 3'!B49="X","Yes",0)</f>
        <v>0</v>
      </c>
      <c r="G58" s="1777">
        <v>102550300</v>
      </c>
    </row>
    <row r="59" spans="1:7" ht="15" x14ac:dyDescent="0.25">
      <c r="A59" t="s">
        <v>333</v>
      </c>
      <c r="B59" s="135">
        <f>IF('FP Info 3'!B50="X","Yes",0)</f>
        <v>0</v>
      </c>
      <c r="G59" s="1777">
        <v>102550400</v>
      </c>
    </row>
    <row r="60" spans="1:7" ht="15" x14ac:dyDescent="0.25">
      <c r="A60" t="s">
        <v>334</v>
      </c>
      <c r="B60" s="135">
        <f>IF('FP Info 3'!B51="X","Yes",0)</f>
        <v>0</v>
      </c>
      <c r="G60" s="1777">
        <v>102550600</v>
      </c>
    </row>
    <row r="61" spans="1:7" ht="15" x14ac:dyDescent="0.25">
      <c r="A61" t="s">
        <v>335</v>
      </c>
      <c r="B61" s="135">
        <f>('FP Info 3'!A53)</f>
        <v>0</v>
      </c>
      <c r="D61" s="2" t="str">
        <f>IF(ISBLANK(B62),"OK",IF(A62-B62=0,"OK","Error?"))</f>
        <v>OK</v>
      </c>
      <c r="G61" s="1777">
        <v>102550800</v>
      </c>
    </row>
    <row r="62" spans="1:7" ht="15" x14ac:dyDescent="0.25">
      <c r="A62" s="10">
        <v>1</v>
      </c>
      <c r="B62" s="1714"/>
      <c r="D62" s="2" t="str">
        <f>IF(ISBLANK(B62),"OK",IF(A62-B62=0,"OK","Error?"))</f>
        <v>OK</v>
      </c>
      <c r="G62" s="1777">
        <v>202550300</v>
      </c>
    </row>
    <row r="63" spans="1:7" ht="15" x14ac:dyDescent="0.25">
      <c r="A63" s="10">
        <v>2</v>
      </c>
      <c r="B63" s="1714"/>
      <c r="D63" s="2" t="str">
        <f t="shared" ref="D63:D126" si="0">IF(ISBLANK(B63),"OK",IF(A63-B63=0,"OK","Error?"))</f>
        <v>OK</v>
      </c>
      <c r="G63" s="1777">
        <v>202550400</v>
      </c>
    </row>
    <row r="64" spans="1:7" ht="15" x14ac:dyDescent="0.25">
      <c r="A64" s="10">
        <v>3</v>
      </c>
      <c r="B64" s="1714"/>
      <c r="D64" s="2" t="str">
        <f t="shared" si="0"/>
        <v>OK</v>
      </c>
      <c r="G64" s="1777">
        <v>202550600</v>
      </c>
    </row>
    <row r="65" spans="1:7" ht="15" x14ac:dyDescent="0.25">
      <c r="A65" s="5">
        <v>4</v>
      </c>
      <c r="B65" s="1714">
        <f>'Assets-Liab 5-6'!C6</f>
        <v>22571588</v>
      </c>
      <c r="D65" s="2" t="str">
        <f t="shared" si="0"/>
        <v>Error?</v>
      </c>
      <c r="G65" s="1777">
        <v>202550800</v>
      </c>
    </row>
    <row r="66" spans="1:7" ht="15" x14ac:dyDescent="0.25">
      <c r="A66" s="10">
        <v>5</v>
      </c>
      <c r="B66" s="1714"/>
      <c r="D66" s="2" t="str">
        <f t="shared" si="0"/>
        <v>OK</v>
      </c>
      <c r="G66" s="1777">
        <v>402550300</v>
      </c>
    </row>
    <row r="67" spans="1:7" ht="15" x14ac:dyDescent="0.25">
      <c r="A67" s="10">
        <v>6</v>
      </c>
      <c r="B67" s="1714"/>
      <c r="D67" s="2" t="str">
        <f t="shared" si="0"/>
        <v>OK</v>
      </c>
      <c r="G67" s="1777">
        <v>402550400</v>
      </c>
    </row>
    <row r="68" spans="1:7" ht="15" x14ac:dyDescent="0.25">
      <c r="A68" s="10">
        <v>7</v>
      </c>
      <c r="B68" s="1714"/>
      <c r="D68" s="2" t="str">
        <f t="shared" si="0"/>
        <v>OK</v>
      </c>
      <c r="G68" s="1777">
        <v>402550600</v>
      </c>
    </row>
    <row r="69" spans="1:7" ht="15" x14ac:dyDescent="0.25">
      <c r="A69" s="10">
        <v>8</v>
      </c>
      <c r="B69" s="1714"/>
      <c r="D69" s="2" t="str">
        <f t="shared" si="0"/>
        <v>OK</v>
      </c>
      <c r="G69" s="1777">
        <v>402550800</v>
      </c>
    </row>
    <row r="70" spans="1:7" ht="15" x14ac:dyDescent="0.25">
      <c r="A70" s="10">
        <v>9</v>
      </c>
      <c r="B70" s="1714"/>
      <c r="D70" s="2" t="str">
        <f t="shared" si="0"/>
        <v>OK</v>
      </c>
      <c r="G70" s="1777">
        <v>102560300</v>
      </c>
    </row>
    <row r="71" spans="1:7" ht="15" x14ac:dyDescent="0.25">
      <c r="A71" s="10">
        <v>10</v>
      </c>
      <c r="B71" s="1714"/>
      <c r="D71" s="2" t="str">
        <f t="shared" si="0"/>
        <v>OK</v>
      </c>
      <c r="G71" s="1777">
        <v>102560400</v>
      </c>
    </row>
    <row r="72" spans="1:7" ht="15" x14ac:dyDescent="0.25">
      <c r="A72" s="5">
        <v>11</v>
      </c>
      <c r="B72" s="1714">
        <f>'Assets-Liab 5-6'!C10</f>
        <v>0</v>
      </c>
      <c r="D72" s="2" t="str">
        <f t="shared" si="0"/>
        <v>Error?</v>
      </c>
      <c r="G72" s="1777">
        <v>102560600</v>
      </c>
    </row>
    <row r="73" spans="1:7" ht="15" x14ac:dyDescent="0.25">
      <c r="A73" s="5">
        <v>12</v>
      </c>
      <c r="B73" s="1714">
        <f>'Assets-Liab 5-6'!C5</f>
        <v>0</v>
      </c>
      <c r="D73" s="2" t="str">
        <f t="shared" si="0"/>
        <v>Error?</v>
      </c>
      <c r="G73" s="1777">
        <v>102560800</v>
      </c>
    </row>
    <row r="74" spans="1:7" ht="15" x14ac:dyDescent="0.25">
      <c r="A74" s="10">
        <v>13</v>
      </c>
      <c r="B74" s="1714"/>
      <c r="D74" s="2" t="str">
        <f t="shared" si="0"/>
        <v>OK</v>
      </c>
      <c r="G74" s="1777">
        <v>102570300</v>
      </c>
    </row>
    <row r="75" spans="1:7" ht="15" x14ac:dyDescent="0.25">
      <c r="A75" s="10">
        <v>14</v>
      </c>
      <c r="B75" s="1714"/>
      <c r="D75" s="2" t="str">
        <f t="shared" si="0"/>
        <v>OK</v>
      </c>
      <c r="G75" s="1777">
        <v>102570400</v>
      </c>
    </row>
    <row r="76" spans="1:7" ht="15" x14ac:dyDescent="0.25">
      <c r="A76" s="5">
        <v>15</v>
      </c>
      <c r="B76" s="1714">
        <f>'Assets-Liab 5-6'!C12</f>
        <v>0</v>
      </c>
      <c r="D76" s="2" t="str">
        <f t="shared" si="0"/>
        <v>Error?</v>
      </c>
      <c r="G76" s="1777">
        <v>102570600</v>
      </c>
    </row>
    <row r="77" spans="1:7" ht="15" x14ac:dyDescent="0.25">
      <c r="A77" s="5">
        <v>16</v>
      </c>
      <c r="B77" s="1714">
        <f>'Assets-Liab 5-6'!C13</f>
        <v>46972174</v>
      </c>
      <c r="C77" s="2" t="s">
        <v>569</v>
      </c>
      <c r="D77" s="2" t="str">
        <f t="shared" si="0"/>
        <v>Error?</v>
      </c>
      <c r="G77" s="1777">
        <v>102570800</v>
      </c>
    </row>
    <row r="78" spans="1:7" ht="15" x14ac:dyDescent="0.25">
      <c r="A78" s="10">
        <v>17</v>
      </c>
      <c r="B78" s="1714"/>
      <c r="D78" s="2" t="str">
        <f t="shared" si="0"/>
        <v>OK</v>
      </c>
      <c r="G78" s="1777">
        <v>102610300</v>
      </c>
    </row>
    <row r="79" spans="1:7" ht="15" x14ac:dyDescent="0.25">
      <c r="A79" s="10">
        <v>18</v>
      </c>
      <c r="B79" s="1714"/>
      <c r="D79" s="2" t="str">
        <f t="shared" si="0"/>
        <v>OK</v>
      </c>
      <c r="G79" s="1777">
        <v>102610400</v>
      </c>
    </row>
    <row r="80" spans="1:7" ht="15" x14ac:dyDescent="0.25">
      <c r="A80" s="10">
        <v>19</v>
      </c>
      <c r="B80" s="1714"/>
      <c r="D80" s="2" t="str">
        <f t="shared" si="0"/>
        <v>OK</v>
      </c>
      <c r="G80" s="1777">
        <v>102610600</v>
      </c>
    </row>
    <row r="81" spans="1:7" ht="15" x14ac:dyDescent="0.25">
      <c r="A81" s="10">
        <v>20</v>
      </c>
      <c r="B81" s="1714"/>
      <c r="D81" s="2" t="str">
        <f t="shared" si="0"/>
        <v>OK</v>
      </c>
      <c r="G81" s="1777">
        <v>102610800</v>
      </c>
    </row>
    <row r="82" spans="1:7" ht="15" x14ac:dyDescent="0.25">
      <c r="A82" s="10">
        <v>21</v>
      </c>
      <c r="B82" s="1714"/>
      <c r="D82" s="2" t="str">
        <f t="shared" si="0"/>
        <v>OK</v>
      </c>
      <c r="G82" s="1777">
        <v>102620300</v>
      </c>
    </row>
    <row r="83" spans="1:7" ht="15" x14ac:dyDescent="0.25">
      <c r="A83" s="10">
        <v>22</v>
      </c>
      <c r="B83" s="1714"/>
      <c r="D83" s="2" t="str">
        <f t="shared" si="0"/>
        <v>OK</v>
      </c>
      <c r="G83" s="1777">
        <v>102620400</v>
      </c>
    </row>
    <row r="84" spans="1:7" ht="15" x14ac:dyDescent="0.25">
      <c r="A84" s="10">
        <v>23</v>
      </c>
      <c r="B84" s="1714"/>
      <c r="D84" s="2" t="str">
        <f t="shared" si="0"/>
        <v>OK</v>
      </c>
      <c r="G84" s="1777">
        <v>102620600</v>
      </c>
    </row>
    <row r="85" spans="1:7" ht="15" x14ac:dyDescent="0.25">
      <c r="A85" s="10">
        <v>24</v>
      </c>
      <c r="B85" s="1714"/>
      <c r="D85" s="2" t="str">
        <f t="shared" si="0"/>
        <v>OK</v>
      </c>
      <c r="G85" s="1777">
        <v>102620800</v>
      </c>
    </row>
    <row r="86" spans="1:7" ht="15" x14ac:dyDescent="0.25">
      <c r="A86" s="12">
        <v>25</v>
      </c>
      <c r="B86" s="1714">
        <f>'Assets-Liab 5-6'!C31</f>
        <v>4104710</v>
      </c>
      <c r="D86" s="2" t="str">
        <f t="shared" si="0"/>
        <v>Error?</v>
      </c>
      <c r="G86" s="1777">
        <v>102630300</v>
      </c>
    </row>
    <row r="87" spans="1:7" ht="15" x14ac:dyDescent="0.25">
      <c r="A87" s="10">
        <v>26</v>
      </c>
      <c r="B87" s="1714"/>
      <c r="D87" s="2" t="str">
        <f t="shared" si="0"/>
        <v>OK</v>
      </c>
      <c r="G87" s="1777">
        <v>102630400</v>
      </c>
    </row>
    <row r="88" spans="1:7" ht="15" x14ac:dyDescent="0.25">
      <c r="A88" s="5">
        <v>27</v>
      </c>
      <c r="B88" s="1714">
        <f>'Assets-Liab 5-6'!C32</f>
        <v>38833033</v>
      </c>
      <c r="D88" s="2" t="str">
        <f t="shared" si="0"/>
        <v>Error?</v>
      </c>
      <c r="G88" s="1777">
        <v>102630600</v>
      </c>
    </row>
    <row r="89" spans="1:7" ht="15" x14ac:dyDescent="0.25">
      <c r="A89" s="10">
        <v>28</v>
      </c>
      <c r="B89" s="1714"/>
      <c r="D89" s="2" t="str">
        <f t="shared" si="0"/>
        <v>OK</v>
      </c>
      <c r="G89" s="1777">
        <v>102630800</v>
      </c>
    </row>
    <row r="90" spans="1:7" ht="15" x14ac:dyDescent="0.25">
      <c r="A90" s="10">
        <v>29</v>
      </c>
      <c r="B90" s="1714"/>
      <c r="D90" s="2" t="str">
        <f t="shared" si="0"/>
        <v>OK</v>
      </c>
      <c r="G90" s="1777">
        <v>102640300</v>
      </c>
    </row>
    <row r="91" spans="1:7" ht="15" x14ac:dyDescent="0.25">
      <c r="A91" s="5">
        <v>30</v>
      </c>
      <c r="B91" s="1714">
        <f>'Assets-Liab 5-6'!C34</f>
        <v>43441650</v>
      </c>
      <c r="C91" s="2" t="s">
        <v>569</v>
      </c>
      <c r="D91" s="2" t="str">
        <f t="shared" si="0"/>
        <v>Error?</v>
      </c>
      <c r="G91" s="1777">
        <v>102640400</v>
      </c>
    </row>
    <row r="92" spans="1:7" ht="15" x14ac:dyDescent="0.25">
      <c r="A92" s="5">
        <v>31</v>
      </c>
      <c r="B92" s="1714">
        <f>'Assets-Liab 5-6'!C39</f>
        <v>3530524</v>
      </c>
      <c r="D92" s="2" t="str">
        <f t="shared" si="0"/>
        <v>Error?</v>
      </c>
      <c r="G92" s="1777">
        <v>102640600</v>
      </c>
    </row>
    <row r="93" spans="1:7" ht="15" x14ac:dyDescent="0.25">
      <c r="A93" s="5">
        <v>32</v>
      </c>
      <c r="B93" s="1714">
        <f>'Assets-Liab 5-6'!C41</f>
        <v>46972174</v>
      </c>
      <c r="C93" s="2" t="s">
        <v>569</v>
      </c>
      <c r="D93" s="2" t="str">
        <f t="shared" si="0"/>
        <v>Error?</v>
      </c>
      <c r="G93" s="1777">
        <v>102640800</v>
      </c>
    </row>
    <row r="94" spans="1:7" ht="15" x14ac:dyDescent="0.25">
      <c r="A94" s="10">
        <v>33</v>
      </c>
      <c r="B94" s="1714"/>
      <c r="D94" s="2" t="str">
        <f t="shared" si="0"/>
        <v>OK</v>
      </c>
      <c r="G94" s="1777">
        <v>102660300</v>
      </c>
    </row>
    <row r="95" spans="1:7" ht="15" x14ac:dyDescent="0.25">
      <c r="A95" s="10">
        <v>34</v>
      </c>
      <c r="B95" s="1714"/>
      <c r="D95" s="2" t="str">
        <f t="shared" si="0"/>
        <v>OK</v>
      </c>
      <c r="G95" s="1777">
        <v>102660400</v>
      </c>
    </row>
    <row r="96" spans="1:7" ht="15" x14ac:dyDescent="0.25">
      <c r="A96" s="10">
        <v>35</v>
      </c>
      <c r="B96" s="1714"/>
      <c r="D96" s="2" t="str">
        <f t="shared" si="0"/>
        <v>OK</v>
      </c>
      <c r="G96" s="1777">
        <v>102660600</v>
      </c>
    </row>
    <row r="97" spans="1:7" ht="15" x14ac:dyDescent="0.25">
      <c r="A97" s="5">
        <v>36</v>
      </c>
      <c r="B97" s="1714">
        <f>'Assets-Liab 5-6'!D6</f>
        <v>3383875</v>
      </c>
      <c r="D97" s="2" t="str">
        <f t="shared" si="0"/>
        <v>Error?</v>
      </c>
      <c r="G97" s="1777">
        <v>102660800</v>
      </c>
    </row>
    <row r="98" spans="1:7" ht="15" x14ac:dyDescent="0.25">
      <c r="A98" s="10">
        <v>37</v>
      </c>
      <c r="B98" s="1714"/>
      <c r="D98" s="2" t="str">
        <f t="shared" si="0"/>
        <v>OK</v>
      </c>
      <c r="G98" s="1777">
        <v>102900300</v>
      </c>
    </row>
    <row r="99" spans="1:7" ht="15" x14ac:dyDescent="0.25">
      <c r="A99" s="10">
        <v>38</v>
      </c>
      <c r="B99" s="1714"/>
      <c r="D99" s="2" t="str">
        <f t="shared" si="0"/>
        <v>OK</v>
      </c>
      <c r="G99" s="1777">
        <v>102900400</v>
      </c>
    </row>
    <row r="100" spans="1:7" ht="15" x14ac:dyDescent="0.25">
      <c r="A100" s="10">
        <v>39</v>
      </c>
      <c r="B100" s="1714"/>
      <c r="D100" s="2" t="str">
        <f t="shared" si="0"/>
        <v>OK</v>
      </c>
      <c r="G100" s="1777">
        <v>102900600</v>
      </c>
    </row>
    <row r="101" spans="1:7" ht="15" x14ac:dyDescent="0.25">
      <c r="A101" s="10">
        <v>40</v>
      </c>
      <c r="B101" s="1714"/>
      <c r="D101" s="2" t="str">
        <f t="shared" si="0"/>
        <v>OK</v>
      </c>
      <c r="G101" s="1777">
        <v>102900800</v>
      </c>
    </row>
    <row r="102" spans="1:7" ht="15" x14ac:dyDescent="0.25">
      <c r="A102" s="10">
        <v>41</v>
      </c>
      <c r="B102" s="1714"/>
      <c r="D102" s="2" t="str">
        <f t="shared" si="0"/>
        <v>OK</v>
      </c>
      <c r="G102" s="1777">
        <v>202900300</v>
      </c>
    </row>
    <row r="103" spans="1:7" ht="15" x14ac:dyDescent="0.25">
      <c r="A103" s="10">
        <v>42</v>
      </c>
      <c r="B103" s="1714"/>
      <c r="D103" s="2" t="str">
        <f t="shared" si="0"/>
        <v>OK</v>
      </c>
      <c r="G103" s="1777">
        <v>202900400</v>
      </c>
    </row>
    <row r="104" spans="1:7" ht="15" x14ac:dyDescent="0.25">
      <c r="A104" s="5">
        <v>43</v>
      </c>
      <c r="B104" s="1714">
        <f>'Assets-Liab 5-6'!D10</f>
        <v>0</v>
      </c>
      <c r="D104" s="2" t="str">
        <f t="shared" si="0"/>
        <v>Error?</v>
      </c>
      <c r="G104" s="1777">
        <v>202900600</v>
      </c>
    </row>
    <row r="105" spans="1:7" ht="15" x14ac:dyDescent="0.25">
      <c r="A105" s="5">
        <v>44</v>
      </c>
      <c r="B105" s="1714">
        <f>'Assets-Liab 5-6'!D5</f>
        <v>0</v>
      </c>
      <c r="D105" s="2" t="str">
        <f t="shared" si="0"/>
        <v>Error?</v>
      </c>
      <c r="G105" s="1777">
        <v>202900800</v>
      </c>
    </row>
    <row r="106" spans="1:7" ht="15" x14ac:dyDescent="0.25">
      <c r="A106" s="10">
        <v>45</v>
      </c>
      <c r="B106" s="1714"/>
      <c r="D106" s="2" t="str">
        <f t="shared" si="0"/>
        <v>OK</v>
      </c>
      <c r="G106" s="1777">
        <v>402900300</v>
      </c>
    </row>
    <row r="107" spans="1:7" ht="15" x14ac:dyDescent="0.25">
      <c r="A107" s="10">
        <v>46</v>
      </c>
      <c r="B107" s="1714"/>
      <c r="D107" s="2" t="str">
        <f t="shared" si="0"/>
        <v>OK</v>
      </c>
      <c r="G107" s="1777">
        <v>402900400</v>
      </c>
    </row>
    <row r="108" spans="1:7" ht="15" x14ac:dyDescent="0.25">
      <c r="A108" s="5">
        <v>47</v>
      </c>
      <c r="B108" s="1714">
        <f>'Assets-Liab 5-6'!D12</f>
        <v>0</v>
      </c>
      <c r="D108" s="2" t="str">
        <f t="shared" si="0"/>
        <v>Error?</v>
      </c>
      <c r="G108" s="1777">
        <v>402900600</v>
      </c>
    </row>
    <row r="109" spans="1:7" ht="15" x14ac:dyDescent="0.25">
      <c r="A109" s="5">
        <v>48</v>
      </c>
      <c r="B109" s="1714">
        <f>'Assets-Liab 5-6'!D13</f>
        <v>10162908</v>
      </c>
      <c r="C109" s="2" t="s">
        <v>569</v>
      </c>
      <c r="D109" s="2" t="str">
        <f t="shared" si="0"/>
        <v>Error?</v>
      </c>
      <c r="G109" s="1777">
        <v>402900800</v>
      </c>
    </row>
    <row r="110" spans="1:7" ht="15" x14ac:dyDescent="0.25">
      <c r="A110" s="10">
        <v>49</v>
      </c>
      <c r="B110" s="1714"/>
      <c r="D110" s="2" t="str">
        <f t="shared" si="0"/>
        <v>OK</v>
      </c>
      <c r="G110" s="1777">
        <v>602900300</v>
      </c>
    </row>
    <row r="111" spans="1:7" ht="15" x14ac:dyDescent="0.25">
      <c r="A111" s="10">
        <v>50</v>
      </c>
      <c r="B111" s="1714"/>
      <c r="D111" s="2" t="str">
        <f t="shared" si="0"/>
        <v>OK</v>
      </c>
      <c r="G111" s="1777">
        <v>602900400</v>
      </c>
    </row>
    <row r="112" spans="1:7" ht="15" x14ac:dyDescent="0.25">
      <c r="A112" s="10">
        <v>51</v>
      </c>
      <c r="B112" s="1714"/>
      <c r="D112" s="2" t="str">
        <f t="shared" si="0"/>
        <v>OK</v>
      </c>
      <c r="G112" s="1777">
        <v>602900600</v>
      </c>
    </row>
    <row r="113" spans="1:7" ht="15" x14ac:dyDescent="0.25">
      <c r="A113" s="10">
        <v>52</v>
      </c>
      <c r="B113" s="1714"/>
      <c r="D113" s="2" t="str">
        <f t="shared" si="0"/>
        <v>OK</v>
      </c>
      <c r="G113" s="1777">
        <v>602900800</v>
      </c>
    </row>
    <row r="114" spans="1:7" ht="15" x14ac:dyDescent="0.25">
      <c r="A114" s="10">
        <v>53</v>
      </c>
      <c r="B114" s="1714"/>
      <c r="D114" s="2" t="str">
        <f t="shared" si="0"/>
        <v>OK</v>
      </c>
      <c r="G114" s="1777">
        <v>902900300</v>
      </c>
    </row>
    <row r="115" spans="1:7" ht="15" x14ac:dyDescent="0.25">
      <c r="A115" s="10">
        <v>54</v>
      </c>
      <c r="B115" s="1714"/>
      <c r="D115" s="2" t="str">
        <f t="shared" si="0"/>
        <v>OK</v>
      </c>
      <c r="G115" s="1777">
        <v>902900400</v>
      </c>
    </row>
    <row r="116" spans="1:7" ht="15" x14ac:dyDescent="0.25">
      <c r="A116" s="10">
        <v>55</v>
      </c>
      <c r="B116" s="1714"/>
      <c r="D116" s="2" t="str">
        <f t="shared" si="0"/>
        <v>OK</v>
      </c>
      <c r="G116" s="1777">
        <v>902900600</v>
      </c>
    </row>
    <row r="117" spans="1:7" ht="15" x14ac:dyDescent="0.25">
      <c r="A117" s="5">
        <v>56</v>
      </c>
      <c r="B117" s="1714">
        <f>'Assets-Liab 5-6'!D31</f>
        <v>0</v>
      </c>
      <c r="D117" s="2" t="str">
        <f t="shared" si="0"/>
        <v>Error?</v>
      </c>
      <c r="G117" s="1777">
        <v>902900800</v>
      </c>
    </row>
    <row r="118" spans="1:7" ht="15" x14ac:dyDescent="0.25">
      <c r="A118" s="10">
        <v>57</v>
      </c>
      <c r="B118" s="1714"/>
      <c r="D118" s="2" t="str">
        <f t="shared" si="0"/>
        <v>OK</v>
      </c>
      <c r="G118" s="1777">
        <v>103000300</v>
      </c>
    </row>
    <row r="119" spans="1:7" ht="15" x14ac:dyDescent="0.25">
      <c r="A119" s="5">
        <v>58</v>
      </c>
      <c r="B119" s="1714">
        <f>'Assets-Liab 5-6'!D32</f>
        <v>5793483</v>
      </c>
      <c r="D119" s="2" t="str">
        <f t="shared" si="0"/>
        <v>Error?</v>
      </c>
      <c r="G119" s="1777">
        <v>103000400</v>
      </c>
    </row>
    <row r="120" spans="1:7" ht="15" x14ac:dyDescent="0.25">
      <c r="A120" s="10">
        <v>59</v>
      </c>
      <c r="B120" s="1714"/>
      <c r="D120" s="2" t="str">
        <f t="shared" si="0"/>
        <v>OK</v>
      </c>
      <c r="G120" s="1777">
        <v>103000600</v>
      </c>
    </row>
    <row r="121" spans="1:7" ht="15" x14ac:dyDescent="0.25">
      <c r="A121" s="10">
        <v>60</v>
      </c>
      <c r="B121" s="1714"/>
      <c r="D121" s="2" t="str">
        <f t="shared" si="0"/>
        <v>OK</v>
      </c>
      <c r="G121" s="1777">
        <v>103000800</v>
      </c>
    </row>
    <row r="122" spans="1:7" ht="15" x14ac:dyDescent="0.25">
      <c r="A122" s="5">
        <v>61</v>
      </c>
      <c r="B122" s="1714">
        <f>'Assets-Liab 5-6'!D34</f>
        <v>5817618</v>
      </c>
      <c r="C122" s="2" t="s">
        <v>569</v>
      </c>
      <c r="D122" s="2" t="str">
        <f t="shared" si="0"/>
        <v>Error?</v>
      </c>
      <c r="G122" s="1777">
        <v>203000300</v>
      </c>
    </row>
    <row r="123" spans="1:7" ht="15" x14ac:dyDescent="0.25">
      <c r="A123" s="5">
        <v>62</v>
      </c>
      <c r="B123" s="1714">
        <f>'Assets-Liab 5-6'!D39</f>
        <v>338350</v>
      </c>
      <c r="D123" s="2" t="str">
        <f t="shared" si="0"/>
        <v>Error?</v>
      </c>
      <c r="G123" s="1777">
        <v>203000400</v>
      </c>
    </row>
    <row r="124" spans="1:7" ht="15" x14ac:dyDescent="0.25">
      <c r="A124" s="5">
        <v>63</v>
      </c>
      <c r="B124" s="1714">
        <f>'Assets-Liab 5-6'!D41</f>
        <v>10162908</v>
      </c>
      <c r="C124" s="2" t="s">
        <v>569</v>
      </c>
      <c r="D124" s="2" t="str">
        <f t="shared" si="0"/>
        <v>Error?</v>
      </c>
      <c r="G124" s="1777">
        <v>203000600</v>
      </c>
    </row>
    <row r="125" spans="1:7" ht="15" x14ac:dyDescent="0.25">
      <c r="A125" s="10">
        <v>64</v>
      </c>
      <c r="B125" s="1714"/>
      <c r="D125" s="2" t="str">
        <f t="shared" si="0"/>
        <v>OK</v>
      </c>
      <c r="G125" s="1777">
        <v>203000800</v>
      </c>
    </row>
    <row r="126" spans="1:7" ht="15" x14ac:dyDescent="0.25">
      <c r="A126" s="5">
        <v>65</v>
      </c>
      <c r="B126" s="1714">
        <f>'Assets-Liab 5-6'!E6</f>
        <v>7168603</v>
      </c>
      <c r="D126" s="2" t="str">
        <f t="shared" si="0"/>
        <v>Error?</v>
      </c>
      <c r="G126" s="1777">
        <v>403000300</v>
      </c>
    </row>
    <row r="127" spans="1:7" ht="15" x14ac:dyDescent="0.25">
      <c r="A127" s="10">
        <v>66</v>
      </c>
      <c r="B127" s="1714"/>
      <c r="D127" s="2" t="str">
        <f t="shared" ref="D127:D190" si="1">IF(ISBLANK(B127),"OK",IF(A127-B127=0,"OK","Error?"))</f>
        <v>OK</v>
      </c>
      <c r="G127" s="1777">
        <v>403000400</v>
      </c>
    </row>
    <row r="128" spans="1:7" ht="15" x14ac:dyDescent="0.25">
      <c r="A128" s="10">
        <v>67</v>
      </c>
      <c r="B128" s="1714"/>
      <c r="D128" s="2" t="str">
        <f t="shared" si="1"/>
        <v>OK</v>
      </c>
      <c r="G128" s="1777">
        <v>403000600</v>
      </c>
    </row>
    <row r="129" spans="1:7" ht="15" x14ac:dyDescent="0.25">
      <c r="A129" s="5">
        <v>68</v>
      </c>
      <c r="B129" s="1714">
        <f>'Assets-Liab 5-6'!E5</f>
        <v>0</v>
      </c>
      <c r="D129" s="2" t="str">
        <f t="shared" si="1"/>
        <v>Error?</v>
      </c>
      <c r="G129" s="1777">
        <v>403000800</v>
      </c>
    </row>
    <row r="130" spans="1:7" x14ac:dyDescent="0.2">
      <c r="A130" s="5">
        <v>69</v>
      </c>
      <c r="B130" s="1714">
        <f>'Assets-Liab 5-6'!E12</f>
        <v>0</v>
      </c>
      <c r="D130" s="2" t="str">
        <f t="shared" si="1"/>
        <v>Error?</v>
      </c>
    </row>
    <row r="131" spans="1:7" x14ac:dyDescent="0.2">
      <c r="A131" s="5">
        <v>70</v>
      </c>
      <c r="B131" s="1714">
        <f>'Assets-Liab 5-6'!E13</f>
        <v>13397295</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12273259</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12273259</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13397295</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1032372</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5724206</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2588403</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2595972</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5724206</v>
      </c>
      <c r="C171" s="2" t="s">
        <v>569</v>
      </c>
      <c r="D171" s="2" t="str">
        <f t="shared" si="1"/>
        <v>Error?</v>
      </c>
    </row>
    <row r="172" spans="1:4" x14ac:dyDescent="0.2">
      <c r="A172" s="10">
        <v>111</v>
      </c>
      <c r="B172" s="1714"/>
      <c r="D172" s="2" t="str">
        <f t="shared" si="1"/>
        <v>OK</v>
      </c>
    </row>
    <row r="173" spans="1:4" x14ac:dyDescent="0.2">
      <c r="A173" s="5">
        <v>112</v>
      </c>
      <c r="B173" s="1714">
        <f>'Assets-Liab 5-6'!G6</f>
        <v>831633</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2526589</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1423829</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1423829</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2526589</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0</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0</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0</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6156988</v>
      </c>
      <c r="D273" s="2" t="str">
        <f t="shared" si="3"/>
        <v>Error?</v>
      </c>
    </row>
    <row r="274" spans="1:4" x14ac:dyDescent="0.2">
      <c r="A274" s="5">
        <v>213</v>
      </c>
      <c r="B274" s="1714">
        <f>'Assets-Liab 5-6'!M17</f>
        <v>76223328</v>
      </c>
      <c r="D274" s="2" t="str">
        <f t="shared" si="3"/>
        <v>Error?</v>
      </c>
    </row>
    <row r="275" spans="1:4" x14ac:dyDescent="0.2">
      <c r="A275" s="5">
        <v>214</v>
      </c>
      <c r="B275" s="1714">
        <f>'Assets-Liab 5-6'!M18</f>
        <v>1639090</v>
      </c>
      <c r="D275" s="2" t="str">
        <f t="shared" si="3"/>
        <v>Error?</v>
      </c>
    </row>
    <row r="276" spans="1:4" x14ac:dyDescent="0.2">
      <c r="A276" s="5">
        <v>215</v>
      </c>
      <c r="B276" s="1714">
        <f>'Assets-Liab 5-6'!M19</f>
        <v>2902179</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86921585</v>
      </c>
      <c r="C279" s="2" t="s">
        <v>569</v>
      </c>
      <c r="D279" s="2" t="str">
        <f t="shared" si="3"/>
        <v>Error?</v>
      </c>
    </row>
    <row r="280" spans="1:4" x14ac:dyDescent="0.2">
      <c r="A280" s="5">
        <v>219</v>
      </c>
      <c r="B280" s="1714">
        <f>'Assets-Liab 5-6'!M40</f>
        <v>86921585</v>
      </c>
      <c r="D280" s="2" t="str">
        <f t="shared" si="3"/>
        <v>Error?</v>
      </c>
    </row>
    <row r="281" spans="1:4" x14ac:dyDescent="0.2">
      <c r="A281" s="5">
        <v>220</v>
      </c>
      <c r="B281" s="1714">
        <f>'Assets-Liab 5-6'!M41</f>
        <v>86921585</v>
      </c>
      <c r="C281" s="2" t="s">
        <v>569</v>
      </c>
      <c r="D281" s="2" t="str">
        <f t="shared" si="3"/>
        <v>Error?</v>
      </c>
    </row>
    <row r="282" spans="1:4" x14ac:dyDescent="0.2">
      <c r="A282" s="5">
        <v>221</v>
      </c>
      <c r="B282" s="1714">
        <f>'Assets-Liab 5-6'!N21</f>
        <v>1124036</v>
      </c>
      <c r="D282" s="2" t="str">
        <f t="shared" si="3"/>
        <v>Error?</v>
      </c>
    </row>
    <row r="283" spans="1:4" x14ac:dyDescent="0.2">
      <c r="A283" s="5">
        <v>222</v>
      </c>
      <c r="B283" s="1714">
        <f>'Assets-Liab 5-6'!N22</f>
        <v>86499225</v>
      </c>
      <c r="D283" s="2" t="str">
        <f t="shared" si="3"/>
        <v>Error?</v>
      </c>
    </row>
    <row r="284" spans="1:4" x14ac:dyDescent="0.2">
      <c r="A284" s="5">
        <v>223</v>
      </c>
      <c r="B284" s="1714">
        <f>'Assets-Liab 5-6'!N23</f>
        <v>87623261</v>
      </c>
      <c r="C284" s="2" t="s">
        <v>569</v>
      </c>
      <c r="D284" s="2" t="str">
        <f t="shared" si="3"/>
        <v>Error?</v>
      </c>
    </row>
    <row r="285" spans="1:4" x14ac:dyDescent="0.2">
      <c r="A285" s="5">
        <v>224</v>
      </c>
      <c r="B285" s="1714">
        <f>'Assets-Liab 5-6'!N36</f>
        <v>87623261</v>
      </c>
      <c r="D285" s="2" t="str">
        <f t="shared" si="3"/>
        <v>Error?</v>
      </c>
    </row>
    <row r="286" spans="1:4" x14ac:dyDescent="0.2">
      <c r="A286" s="10">
        <v>225</v>
      </c>
      <c r="B286" s="1714"/>
      <c r="D286" s="2" t="str">
        <f t="shared" si="3"/>
        <v>OK</v>
      </c>
    </row>
    <row r="287" spans="1:4" x14ac:dyDescent="0.2">
      <c r="A287" s="5">
        <v>226</v>
      </c>
      <c r="B287" s="1714">
        <f>'Assets-Liab 5-6'!N37</f>
        <v>87623261</v>
      </c>
      <c r="C287" s="2" t="s">
        <v>569</v>
      </c>
      <c r="D287" s="2" t="str">
        <f t="shared" si="3"/>
        <v>Error?</v>
      </c>
    </row>
    <row r="288" spans="1:4" x14ac:dyDescent="0.2">
      <c r="A288" s="5">
        <v>227</v>
      </c>
      <c r="B288" s="1714">
        <f>'Assets-Liab 5-6'!N41</f>
        <v>87623261</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17892773</v>
      </c>
      <c r="D705" s="2" t="str">
        <f t="shared" si="10"/>
        <v>Error?</v>
      </c>
    </row>
    <row r="706" spans="1:4" x14ac:dyDescent="0.2">
      <c r="A706" s="5">
        <v>645</v>
      </c>
      <c r="B706" s="1714">
        <f>'Expenditures 15-22'!C16</f>
        <v>0</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200507</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167175</v>
      </c>
      <c r="D717" s="2" t="str">
        <f t="shared" si="10"/>
        <v>Error?</v>
      </c>
    </row>
    <row r="718" spans="1:4" x14ac:dyDescent="0.2">
      <c r="A718" s="5">
        <v>657</v>
      </c>
      <c r="B718" s="1714">
        <f>'Expenditures 15-22'!C14</f>
        <v>899469</v>
      </c>
      <c r="D718" s="2" t="str">
        <f t="shared" si="10"/>
        <v>Error?</v>
      </c>
    </row>
    <row r="719" spans="1:4" x14ac:dyDescent="0.2">
      <c r="A719" s="5">
        <v>658</v>
      </c>
      <c r="B719" s="1714">
        <f>'Expenditures 15-22'!C15</f>
        <v>40536</v>
      </c>
      <c r="D719" s="2" t="str">
        <f t="shared" si="10"/>
        <v>Error?</v>
      </c>
    </row>
    <row r="720" spans="1:4" x14ac:dyDescent="0.2">
      <c r="A720" s="5">
        <v>659</v>
      </c>
      <c r="B720" s="1714">
        <f>'Expenditures 15-22'!C33</f>
        <v>23008375</v>
      </c>
      <c r="C720" s="2" t="s">
        <v>569</v>
      </c>
      <c r="D720" s="2" t="str">
        <f t="shared" si="10"/>
        <v>Error?</v>
      </c>
    </row>
    <row r="721" spans="1:4" x14ac:dyDescent="0.2">
      <c r="A721" s="5">
        <v>660</v>
      </c>
      <c r="B721" s="1714">
        <f>'Expenditures 15-22'!C36</f>
        <v>643365</v>
      </c>
      <c r="D721" s="2" t="str">
        <f t="shared" si="10"/>
        <v>Error?</v>
      </c>
    </row>
    <row r="722" spans="1:4" x14ac:dyDescent="0.2">
      <c r="A722" s="5">
        <v>661</v>
      </c>
      <c r="B722" s="1714">
        <f>'Expenditures 15-22'!C37</f>
        <v>954892</v>
      </c>
      <c r="D722" s="2" t="str">
        <f t="shared" si="10"/>
        <v>Error?</v>
      </c>
    </row>
    <row r="723" spans="1:4" x14ac:dyDescent="0.2">
      <c r="A723" s="5">
        <v>662</v>
      </c>
      <c r="B723" s="1714">
        <f>'Expenditures 15-22'!C38</f>
        <v>851332</v>
      </c>
      <c r="D723" s="2" t="str">
        <f t="shared" si="10"/>
        <v>Error?</v>
      </c>
    </row>
    <row r="724" spans="1:4" x14ac:dyDescent="0.2">
      <c r="A724" s="5">
        <v>663</v>
      </c>
      <c r="B724" s="1714">
        <f>'Expenditures 15-22'!C39</f>
        <v>465851</v>
      </c>
      <c r="D724" s="2" t="str">
        <f t="shared" si="10"/>
        <v>Error?</v>
      </c>
    </row>
    <row r="725" spans="1:4" x14ac:dyDescent="0.2">
      <c r="A725" s="5">
        <v>664</v>
      </c>
      <c r="B725" s="1714">
        <f>'Expenditures 15-22'!C40</f>
        <v>770800</v>
      </c>
      <c r="D725" s="2" t="str">
        <f t="shared" si="10"/>
        <v>Error?</v>
      </c>
    </row>
    <row r="726" spans="1:4" x14ac:dyDescent="0.2">
      <c r="A726" s="5">
        <v>665</v>
      </c>
      <c r="B726" s="1714">
        <f>'Expenditures 15-22'!C41</f>
        <v>2513</v>
      </c>
      <c r="D726" s="2" t="str">
        <f t="shared" si="10"/>
        <v>Error?</v>
      </c>
    </row>
    <row r="727" spans="1:4" x14ac:dyDescent="0.2">
      <c r="A727" s="5">
        <v>666</v>
      </c>
      <c r="B727" s="1714">
        <f>'Expenditures 15-22'!C42</f>
        <v>3688753</v>
      </c>
      <c r="C727" s="2" t="s">
        <v>569</v>
      </c>
      <c r="D727" s="2" t="str">
        <f t="shared" si="10"/>
        <v>Error?</v>
      </c>
    </row>
    <row r="728" spans="1:4" x14ac:dyDescent="0.2">
      <c r="A728" s="5">
        <v>667</v>
      </c>
      <c r="B728" s="1714">
        <f>'Expenditures 15-22'!C44</f>
        <v>1672113</v>
      </c>
      <c r="D728" s="2" t="str">
        <f t="shared" si="10"/>
        <v>Error?</v>
      </c>
    </row>
    <row r="729" spans="1:4" x14ac:dyDescent="0.2">
      <c r="A729" s="5">
        <v>668</v>
      </c>
      <c r="B729" s="1714">
        <f>'Expenditures 15-22'!C45</f>
        <v>902127</v>
      </c>
      <c r="D729" s="2" t="str">
        <f t="shared" si="10"/>
        <v>Error?</v>
      </c>
    </row>
    <row r="730" spans="1:4" x14ac:dyDescent="0.2">
      <c r="A730" s="5">
        <v>669</v>
      </c>
      <c r="B730" s="1714">
        <f>'Expenditures 15-22'!C46</f>
        <v>16520</v>
      </c>
      <c r="D730" s="2" t="str">
        <f t="shared" si="10"/>
        <v>Error?</v>
      </c>
    </row>
    <row r="731" spans="1:4" x14ac:dyDescent="0.2">
      <c r="A731" s="5">
        <v>670</v>
      </c>
      <c r="B731" s="1714">
        <f>'Expenditures 15-22'!C47</f>
        <v>2590760</v>
      </c>
      <c r="C731" s="2" t="s">
        <v>569</v>
      </c>
      <c r="D731" s="2" t="str">
        <f t="shared" si="10"/>
        <v>Error?</v>
      </c>
    </row>
    <row r="732" spans="1:4" x14ac:dyDescent="0.2">
      <c r="A732" s="5">
        <v>671</v>
      </c>
      <c r="B732" s="1714">
        <f>'Expenditures 15-22'!C49</f>
        <v>0</v>
      </c>
      <c r="D732" s="2" t="str">
        <f t="shared" si="10"/>
        <v>Error?</v>
      </c>
    </row>
    <row r="733" spans="1:4" x14ac:dyDescent="0.2">
      <c r="A733" s="5">
        <v>672</v>
      </c>
      <c r="B733" s="1714">
        <f>'Expenditures 15-22'!C50</f>
        <v>292934</v>
      </c>
      <c r="D733" s="2" t="str">
        <f t="shared" si="10"/>
        <v>Error?</v>
      </c>
    </row>
    <row r="734" spans="1:4" x14ac:dyDescent="0.2">
      <c r="A734" s="5">
        <v>673</v>
      </c>
      <c r="B734" s="1714">
        <f>'Expenditures 15-22'!C53</f>
        <v>580326</v>
      </c>
      <c r="C734" s="2" t="s">
        <v>569</v>
      </c>
      <c r="D734" s="2" t="str">
        <f t="shared" si="10"/>
        <v>Error?</v>
      </c>
    </row>
    <row r="735" spans="1:4" x14ac:dyDescent="0.2">
      <c r="A735" s="5">
        <v>674</v>
      </c>
      <c r="B735" s="1714">
        <f>'Expenditures 15-22'!C55</f>
        <v>1728126</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1728126</v>
      </c>
      <c r="C737" s="2" t="s">
        <v>569</v>
      </c>
      <c r="D737" s="2" t="str">
        <f t="shared" si="10"/>
        <v>Error?</v>
      </c>
    </row>
    <row r="738" spans="1:4" x14ac:dyDescent="0.2">
      <c r="A738" s="5">
        <v>677</v>
      </c>
      <c r="B738" s="1714">
        <f>'Expenditures 15-22'!C59</f>
        <v>165255</v>
      </c>
      <c r="D738" s="2" t="str">
        <f t="shared" si="10"/>
        <v>Error?</v>
      </c>
    </row>
    <row r="739" spans="1:4" x14ac:dyDescent="0.2">
      <c r="A739" s="5">
        <v>678</v>
      </c>
      <c r="B739" s="1714">
        <f>'Expenditures 15-22'!C60</f>
        <v>343587</v>
      </c>
      <c r="D739" s="2" t="str">
        <f t="shared" si="10"/>
        <v>Error?</v>
      </c>
    </row>
    <row r="740" spans="1:4" x14ac:dyDescent="0.2">
      <c r="A740" s="5">
        <v>679</v>
      </c>
      <c r="B740" s="1714">
        <f>'Expenditures 15-22'!C61</f>
        <v>144172</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333521</v>
      </c>
      <c r="D742" s="2" t="str">
        <f t="shared" si="10"/>
        <v>Error?</v>
      </c>
    </row>
    <row r="743" spans="1:4" x14ac:dyDescent="0.2">
      <c r="A743" s="5">
        <v>682</v>
      </c>
      <c r="B743" s="1714">
        <f>'Expenditures 15-22'!C64</f>
        <v>0</v>
      </c>
      <c r="D743" s="2" t="str">
        <f t="shared" si="10"/>
        <v>Error?</v>
      </c>
    </row>
    <row r="744" spans="1:4" x14ac:dyDescent="0.2">
      <c r="A744" s="10">
        <v>683</v>
      </c>
      <c r="B744" s="1714"/>
      <c r="D744" s="2" t="str">
        <f t="shared" si="10"/>
        <v>OK</v>
      </c>
    </row>
    <row r="745" spans="1:4" x14ac:dyDescent="0.2">
      <c r="A745" s="5">
        <v>684</v>
      </c>
      <c r="B745" s="1714">
        <f>'Expenditures 15-22'!C65</f>
        <v>986535</v>
      </c>
      <c r="C745" s="2" t="s">
        <v>569</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6052</v>
      </c>
      <c r="D747" s="2" t="str">
        <f t="shared" si="10"/>
        <v>Error?</v>
      </c>
    </row>
    <row r="748" spans="1:4" x14ac:dyDescent="0.2">
      <c r="A748" s="5">
        <v>687</v>
      </c>
      <c r="B748" s="1714">
        <f>'Expenditures 15-22'!C69</f>
        <v>5000</v>
      </c>
      <c r="D748" s="2" t="str">
        <f t="shared" si="10"/>
        <v>Error?</v>
      </c>
    </row>
    <row r="749" spans="1:4" x14ac:dyDescent="0.2">
      <c r="A749" s="5">
        <v>688</v>
      </c>
      <c r="B749" s="1714">
        <f>'Expenditures 15-22'!C70</f>
        <v>203882</v>
      </c>
      <c r="D749" s="2" t="str">
        <f t="shared" si="10"/>
        <v>Error?</v>
      </c>
    </row>
    <row r="750" spans="1:4" x14ac:dyDescent="0.2">
      <c r="A750" s="10">
        <v>689</v>
      </c>
      <c r="B750" s="1714"/>
      <c r="D750" s="2" t="str">
        <f t="shared" si="10"/>
        <v>OK</v>
      </c>
    </row>
    <row r="751" spans="1:4" x14ac:dyDescent="0.2">
      <c r="A751" s="5">
        <v>690</v>
      </c>
      <c r="B751" s="1714">
        <f>'Expenditures 15-22'!C71</f>
        <v>16457</v>
      </c>
      <c r="D751" s="2" t="str">
        <f t="shared" si="10"/>
        <v>Error?</v>
      </c>
    </row>
    <row r="752" spans="1:4" x14ac:dyDescent="0.2">
      <c r="A752" s="10">
        <v>691</v>
      </c>
      <c r="B752" s="1714"/>
      <c r="D752" s="2" t="str">
        <f t="shared" si="10"/>
        <v>OK</v>
      </c>
    </row>
    <row r="753" spans="1:4" x14ac:dyDescent="0.2">
      <c r="A753" s="5">
        <v>692</v>
      </c>
      <c r="B753" s="1714">
        <f>'Expenditures 15-22'!C72</f>
        <v>231391</v>
      </c>
      <c r="C753" s="2" t="s">
        <v>569</v>
      </c>
      <c r="D753" s="2" t="str">
        <f t="shared" si="10"/>
        <v>Error?</v>
      </c>
    </row>
    <row r="754" spans="1:4" x14ac:dyDescent="0.2">
      <c r="A754" s="5">
        <v>693</v>
      </c>
      <c r="B754" s="1714">
        <f>'Expenditures 15-22'!C73</f>
        <v>88806</v>
      </c>
      <c r="D754" s="2" t="str">
        <f t="shared" si="10"/>
        <v>Error?</v>
      </c>
    </row>
    <row r="755" spans="1:4" x14ac:dyDescent="0.2">
      <c r="A755" s="5">
        <v>694</v>
      </c>
      <c r="B755" s="1714">
        <f>'Expenditures 15-22'!C74</f>
        <v>9894697</v>
      </c>
      <c r="C755" s="2" t="s">
        <v>569</v>
      </c>
      <c r="D755" s="2" t="str">
        <f t="shared" si="10"/>
        <v>Error?</v>
      </c>
    </row>
    <row r="756" spans="1:4" x14ac:dyDescent="0.2">
      <c r="A756" s="5">
        <v>695</v>
      </c>
      <c r="B756" s="1714">
        <f>'Expenditures 15-22'!C75</f>
        <v>8493</v>
      </c>
      <c r="D756" s="2" t="str">
        <f t="shared" si="10"/>
        <v>Error?</v>
      </c>
    </row>
    <row r="757" spans="1:4" x14ac:dyDescent="0.2">
      <c r="A757" s="5">
        <v>696</v>
      </c>
      <c r="B757" s="1714">
        <f>'Expenditures 15-22'!C114</f>
        <v>32911565</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4271310</v>
      </c>
      <c r="D763" s="2" t="str">
        <f t="shared" si="10"/>
        <v>Error?</v>
      </c>
    </row>
    <row r="764" spans="1:4" x14ac:dyDescent="0.2">
      <c r="A764" s="5">
        <v>703</v>
      </c>
      <c r="B764" s="1714">
        <f>'Expenditures 15-22'!D16</f>
        <v>0</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68931</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22087</v>
      </c>
      <c r="D775" s="2" t="str">
        <f t="shared" si="11"/>
        <v>Error?</v>
      </c>
    </row>
    <row r="776" spans="1:4" x14ac:dyDescent="0.2">
      <c r="A776" s="5">
        <v>715</v>
      </c>
      <c r="B776" s="1714">
        <f>'Expenditures 15-22'!D14</f>
        <v>60691</v>
      </c>
      <c r="D776" s="2" t="str">
        <f t="shared" si="11"/>
        <v>Error?</v>
      </c>
    </row>
    <row r="777" spans="1:4" x14ac:dyDescent="0.2">
      <c r="A777" s="5">
        <v>716</v>
      </c>
      <c r="B777" s="1714">
        <f>'Expenditures 15-22'!D15</f>
        <v>875</v>
      </c>
      <c r="D777" s="2" t="str">
        <f t="shared" si="11"/>
        <v>Error?</v>
      </c>
    </row>
    <row r="778" spans="1:4" x14ac:dyDescent="0.2">
      <c r="A778" s="5">
        <v>717</v>
      </c>
      <c r="B778" s="1714">
        <f>'Expenditures 15-22'!D33</f>
        <v>5641441</v>
      </c>
      <c r="C778" s="2" t="s">
        <v>569</v>
      </c>
      <c r="D778" s="2" t="str">
        <f t="shared" si="11"/>
        <v>Error?</v>
      </c>
    </row>
    <row r="779" spans="1:4" x14ac:dyDescent="0.2">
      <c r="A779" s="5">
        <v>718</v>
      </c>
      <c r="B779" s="1714">
        <f>'Expenditures 15-22'!D36</f>
        <v>135902</v>
      </c>
      <c r="D779" s="2" t="str">
        <f t="shared" si="11"/>
        <v>Error?</v>
      </c>
    </row>
    <row r="780" spans="1:4" x14ac:dyDescent="0.2">
      <c r="A780" s="5">
        <v>719</v>
      </c>
      <c r="B780" s="1714">
        <f>'Expenditures 15-22'!D37</f>
        <v>251783</v>
      </c>
      <c r="D780" s="2" t="str">
        <f t="shared" si="11"/>
        <v>Error?</v>
      </c>
    </row>
    <row r="781" spans="1:4" x14ac:dyDescent="0.2">
      <c r="A781" s="5">
        <v>720</v>
      </c>
      <c r="B781" s="1714">
        <f>'Expenditures 15-22'!D38</f>
        <v>151531</v>
      </c>
      <c r="D781" s="2" t="str">
        <f t="shared" si="11"/>
        <v>Error?</v>
      </c>
    </row>
    <row r="782" spans="1:4" x14ac:dyDescent="0.2">
      <c r="A782" s="5">
        <v>721</v>
      </c>
      <c r="B782" s="1714">
        <f>'Expenditures 15-22'!D39</f>
        <v>131570</v>
      </c>
      <c r="D782" s="2" t="str">
        <f t="shared" si="11"/>
        <v>Error?</v>
      </c>
    </row>
    <row r="783" spans="1:4" x14ac:dyDescent="0.2">
      <c r="A783" s="5">
        <v>722</v>
      </c>
      <c r="B783" s="1714">
        <f>'Expenditures 15-22'!D40</f>
        <v>199262</v>
      </c>
      <c r="D783" s="2" t="str">
        <f t="shared" si="11"/>
        <v>Error?</v>
      </c>
    </row>
    <row r="784" spans="1:4" x14ac:dyDescent="0.2">
      <c r="A784" s="5">
        <v>723</v>
      </c>
      <c r="B784" s="1714">
        <f>'Expenditures 15-22'!D41</f>
        <v>42</v>
      </c>
      <c r="D784" s="2" t="str">
        <f t="shared" si="11"/>
        <v>Error?</v>
      </c>
    </row>
    <row r="785" spans="1:4" x14ac:dyDescent="0.2">
      <c r="A785" s="5">
        <v>724</v>
      </c>
      <c r="B785" s="1714">
        <f>'Expenditures 15-22'!D42</f>
        <v>870090</v>
      </c>
      <c r="C785" s="2" t="s">
        <v>569</v>
      </c>
      <c r="D785" s="2" t="str">
        <f t="shared" si="11"/>
        <v>Error?</v>
      </c>
    </row>
    <row r="786" spans="1:4" x14ac:dyDescent="0.2">
      <c r="A786" s="5">
        <v>725</v>
      </c>
      <c r="B786" s="1714">
        <f>'Expenditures 15-22'!D44</f>
        <v>343553</v>
      </c>
      <c r="D786" s="2" t="str">
        <f t="shared" si="11"/>
        <v>Error?</v>
      </c>
    </row>
    <row r="787" spans="1:4" x14ac:dyDescent="0.2">
      <c r="A787" s="5">
        <v>726</v>
      </c>
      <c r="B787" s="1714">
        <f>'Expenditures 15-22'!D45</f>
        <v>221330</v>
      </c>
      <c r="D787" s="2" t="str">
        <f t="shared" si="11"/>
        <v>Error?</v>
      </c>
    </row>
    <row r="788" spans="1:4" x14ac:dyDescent="0.2">
      <c r="A788" s="5">
        <v>727</v>
      </c>
      <c r="B788" s="1714">
        <f>'Expenditures 15-22'!D46</f>
        <v>2036</v>
      </c>
      <c r="D788" s="2" t="str">
        <f t="shared" si="11"/>
        <v>Error?</v>
      </c>
    </row>
    <row r="789" spans="1:4" x14ac:dyDescent="0.2">
      <c r="A789" s="5">
        <v>728</v>
      </c>
      <c r="B789" s="1714">
        <f>'Expenditures 15-22'!D47</f>
        <v>566919</v>
      </c>
      <c r="C789" s="2" t="s">
        <v>569</v>
      </c>
      <c r="D789" s="2" t="str">
        <f t="shared" si="11"/>
        <v>Error?</v>
      </c>
    </row>
    <row r="790" spans="1:4" x14ac:dyDescent="0.2">
      <c r="A790" s="5">
        <v>729</v>
      </c>
      <c r="B790" s="1714">
        <f>'Expenditures 15-22'!D49</f>
        <v>0</v>
      </c>
      <c r="D790" s="2" t="str">
        <f t="shared" si="11"/>
        <v>Error?</v>
      </c>
    </row>
    <row r="791" spans="1:4" x14ac:dyDescent="0.2">
      <c r="A791" s="5">
        <v>730</v>
      </c>
      <c r="B791" s="1714">
        <f>'Expenditures 15-22'!D50</f>
        <v>50795</v>
      </c>
      <c r="D791" s="2" t="str">
        <f t="shared" si="11"/>
        <v>Error?</v>
      </c>
    </row>
    <row r="792" spans="1:4" x14ac:dyDescent="0.2">
      <c r="A792" s="5">
        <v>731</v>
      </c>
      <c r="B792" s="1714">
        <f>'Expenditures 15-22'!D53</f>
        <v>139547</v>
      </c>
      <c r="C792" s="2" t="s">
        <v>569</v>
      </c>
      <c r="D792" s="2" t="str">
        <f t="shared" si="11"/>
        <v>Error?</v>
      </c>
    </row>
    <row r="793" spans="1:4" x14ac:dyDescent="0.2">
      <c r="A793" s="5">
        <v>732</v>
      </c>
      <c r="B793" s="1714">
        <f>'Expenditures 15-22'!D55</f>
        <v>509912</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509912</v>
      </c>
      <c r="C795" s="2" t="s">
        <v>569</v>
      </c>
      <c r="D795" s="2" t="str">
        <f t="shared" si="11"/>
        <v>Error?</v>
      </c>
    </row>
    <row r="796" spans="1:4" x14ac:dyDescent="0.2">
      <c r="A796" s="5">
        <v>735</v>
      </c>
      <c r="B796" s="1714">
        <f>'Expenditures 15-22'!D59</f>
        <v>33891</v>
      </c>
      <c r="D796" s="2" t="str">
        <f t="shared" si="11"/>
        <v>Error?</v>
      </c>
    </row>
    <row r="797" spans="1:4" x14ac:dyDescent="0.2">
      <c r="A797" s="5">
        <v>736</v>
      </c>
      <c r="B797" s="1714">
        <f>'Expenditures 15-22'!D60</f>
        <v>100178</v>
      </c>
      <c r="D797" s="2" t="str">
        <f t="shared" si="11"/>
        <v>Error?</v>
      </c>
    </row>
    <row r="798" spans="1:4" x14ac:dyDescent="0.2">
      <c r="A798" s="5">
        <v>737</v>
      </c>
      <c r="B798" s="1714">
        <f>'Expenditures 15-22'!D61</f>
        <v>26261</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144943</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305273</v>
      </c>
      <c r="C803" s="2" t="s">
        <v>569</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136</v>
      </c>
      <c r="D805" s="2" t="str">
        <f t="shared" si="11"/>
        <v>Error?</v>
      </c>
    </row>
    <row r="806" spans="1:4" x14ac:dyDescent="0.2">
      <c r="A806" s="5">
        <v>745</v>
      </c>
      <c r="B806" s="1714">
        <f>'Expenditures 15-22'!D69</f>
        <v>0</v>
      </c>
      <c r="D806" s="2" t="str">
        <f t="shared" si="11"/>
        <v>Error?</v>
      </c>
    </row>
    <row r="807" spans="1:4" x14ac:dyDescent="0.2">
      <c r="A807" s="5">
        <v>746</v>
      </c>
      <c r="B807" s="1714">
        <f>'Expenditures 15-22'!D70</f>
        <v>52537</v>
      </c>
      <c r="D807" s="2" t="str">
        <f t="shared" si="11"/>
        <v>Error?</v>
      </c>
    </row>
    <row r="808" spans="1:4" x14ac:dyDescent="0.2">
      <c r="A808" s="10">
        <v>747</v>
      </c>
      <c r="B808" s="1714"/>
      <c r="D808" s="2" t="str">
        <f t="shared" si="11"/>
        <v>OK</v>
      </c>
    </row>
    <row r="809" spans="1:4" x14ac:dyDescent="0.2">
      <c r="A809" s="5">
        <v>748</v>
      </c>
      <c r="B809" s="1714">
        <f>'Expenditures 15-22'!D71</f>
        <v>0</v>
      </c>
      <c r="D809" s="2" t="str">
        <f t="shared" si="11"/>
        <v>Error?</v>
      </c>
    </row>
    <row r="810" spans="1:4" x14ac:dyDescent="0.2">
      <c r="A810" s="10">
        <v>749</v>
      </c>
      <c r="B810" s="1714"/>
      <c r="D810" s="2" t="str">
        <f t="shared" si="11"/>
        <v>OK</v>
      </c>
    </row>
    <row r="811" spans="1:4" x14ac:dyDescent="0.2">
      <c r="A811" s="5">
        <v>750</v>
      </c>
      <c r="B811" s="1714">
        <f>'Expenditures 15-22'!D72</f>
        <v>52673</v>
      </c>
      <c r="C811" s="2" t="s">
        <v>569</v>
      </c>
      <c r="D811" s="2" t="str">
        <f t="shared" si="11"/>
        <v>Error?</v>
      </c>
    </row>
    <row r="812" spans="1:4" x14ac:dyDescent="0.2">
      <c r="A812" s="5">
        <v>751</v>
      </c>
      <c r="B812" s="1714">
        <f>'Expenditures 15-22'!D73</f>
        <v>285432</v>
      </c>
      <c r="D812" s="2" t="str">
        <f t="shared" si="11"/>
        <v>Error?</v>
      </c>
    </row>
    <row r="813" spans="1:4" x14ac:dyDescent="0.2">
      <c r="A813" s="5">
        <v>752</v>
      </c>
      <c r="B813" s="1714">
        <f>'Expenditures 15-22'!D74</f>
        <v>2729846</v>
      </c>
      <c r="C813" s="2" t="s">
        <v>569</v>
      </c>
      <c r="D813" s="2" t="str">
        <f t="shared" si="11"/>
        <v>Error?</v>
      </c>
    </row>
    <row r="814" spans="1:4" x14ac:dyDescent="0.2">
      <c r="A814" s="5">
        <v>753</v>
      </c>
      <c r="B814" s="1714">
        <f>'Expenditures 15-22'!D75</f>
        <v>583</v>
      </c>
      <c r="D814" s="2" t="str">
        <f t="shared" si="11"/>
        <v>Error?</v>
      </c>
    </row>
    <row r="815" spans="1:4" x14ac:dyDescent="0.2">
      <c r="A815" s="5">
        <v>754</v>
      </c>
      <c r="B815" s="1714">
        <f>'Expenditures 15-22'!D114</f>
        <v>8371870</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658261</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8716</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2354</v>
      </c>
      <c r="D833" s="2" t="str">
        <f t="shared" si="12"/>
        <v>Error?</v>
      </c>
    </row>
    <row r="834" spans="1:4" x14ac:dyDescent="0.2">
      <c r="A834" s="5">
        <v>773</v>
      </c>
      <c r="B834" s="1714">
        <f>'Expenditures 15-22'!E14</f>
        <v>119784</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939457</v>
      </c>
      <c r="C836" s="2" t="s">
        <v>569</v>
      </c>
      <c r="D836" s="2" t="str">
        <f t="shared" si="12"/>
        <v>Error?</v>
      </c>
    </row>
    <row r="837" spans="1:4" x14ac:dyDescent="0.2">
      <c r="A837" s="5">
        <v>776</v>
      </c>
      <c r="B837" s="1714">
        <f>'Expenditures 15-22'!E36</f>
        <v>21022</v>
      </c>
      <c r="D837" s="2" t="str">
        <f t="shared" si="12"/>
        <v>Error?</v>
      </c>
    </row>
    <row r="838" spans="1:4" x14ac:dyDescent="0.2">
      <c r="A838" s="5">
        <v>777</v>
      </c>
      <c r="B838" s="1714">
        <f>'Expenditures 15-22'!E37</f>
        <v>3446</v>
      </c>
      <c r="D838" s="2" t="str">
        <f t="shared" si="12"/>
        <v>Error?</v>
      </c>
    </row>
    <row r="839" spans="1:4" x14ac:dyDescent="0.2">
      <c r="A839" s="5">
        <v>778</v>
      </c>
      <c r="B839" s="1714">
        <f>'Expenditures 15-22'!E38</f>
        <v>2651</v>
      </c>
      <c r="D839" s="2" t="str">
        <f t="shared" si="12"/>
        <v>Error?</v>
      </c>
    </row>
    <row r="840" spans="1:4" x14ac:dyDescent="0.2">
      <c r="A840" s="5">
        <v>779</v>
      </c>
      <c r="B840" s="1714">
        <f>'Expenditures 15-22'!E39</f>
        <v>1950</v>
      </c>
      <c r="D840" s="2" t="str">
        <f t="shared" si="12"/>
        <v>Error?</v>
      </c>
    </row>
    <row r="841" spans="1:4" x14ac:dyDescent="0.2">
      <c r="A841" s="5">
        <v>780</v>
      </c>
      <c r="B841" s="1714">
        <f>'Expenditures 15-22'!E40</f>
        <v>5926</v>
      </c>
      <c r="D841" s="2" t="str">
        <f t="shared" si="12"/>
        <v>Error?</v>
      </c>
    </row>
    <row r="842" spans="1:4" x14ac:dyDescent="0.2">
      <c r="A842" s="5">
        <v>781</v>
      </c>
      <c r="B842" s="1714">
        <f>'Expenditures 15-22'!E41</f>
        <v>0</v>
      </c>
      <c r="D842" s="2" t="str">
        <f t="shared" si="12"/>
        <v>Error?</v>
      </c>
    </row>
    <row r="843" spans="1:4" x14ac:dyDescent="0.2">
      <c r="A843" s="5">
        <v>782</v>
      </c>
      <c r="B843" s="1714">
        <f>'Expenditures 15-22'!E42</f>
        <v>34995</v>
      </c>
      <c r="C843" s="2" t="s">
        <v>569</v>
      </c>
      <c r="D843" s="2" t="str">
        <f t="shared" si="12"/>
        <v>Error?</v>
      </c>
    </row>
    <row r="844" spans="1:4" x14ac:dyDescent="0.2">
      <c r="A844" s="5">
        <v>783</v>
      </c>
      <c r="B844" s="1714">
        <f>'Expenditures 15-22'!E44</f>
        <v>137804</v>
      </c>
      <c r="D844" s="2" t="str">
        <f t="shared" si="12"/>
        <v>Error?</v>
      </c>
    </row>
    <row r="845" spans="1:4" x14ac:dyDescent="0.2">
      <c r="A845" s="5">
        <v>784</v>
      </c>
      <c r="B845" s="1714">
        <f>'Expenditures 15-22'!E45</f>
        <v>346377</v>
      </c>
      <c r="D845" s="2" t="str">
        <f t="shared" si="12"/>
        <v>Error?</v>
      </c>
    </row>
    <row r="846" spans="1:4" x14ac:dyDescent="0.2">
      <c r="A846" s="5">
        <v>785</v>
      </c>
      <c r="B846" s="1714">
        <f>'Expenditures 15-22'!E46</f>
        <v>92741</v>
      </c>
      <c r="D846" s="2" t="str">
        <f t="shared" si="12"/>
        <v>Error?</v>
      </c>
    </row>
    <row r="847" spans="1:4" x14ac:dyDescent="0.2">
      <c r="A847" s="5">
        <v>786</v>
      </c>
      <c r="B847" s="1714">
        <f>'Expenditures 15-22'!E47</f>
        <v>576922</v>
      </c>
      <c r="C847" s="2" t="s">
        <v>569</v>
      </c>
      <c r="D847" s="2" t="str">
        <f t="shared" si="12"/>
        <v>Error?</v>
      </c>
    </row>
    <row r="848" spans="1:4" x14ac:dyDescent="0.2">
      <c r="A848" s="5">
        <v>787</v>
      </c>
      <c r="B848" s="1714">
        <f>'Expenditures 15-22'!E49</f>
        <v>179582</v>
      </c>
      <c r="D848" s="2" t="str">
        <f t="shared" si="12"/>
        <v>Error?</v>
      </c>
    </row>
    <row r="849" spans="1:4" x14ac:dyDescent="0.2">
      <c r="A849" s="5">
        <v>788</v>
      </c>
      <c r="B849" s="1714">
        <f>'Expenditures 15-22'!E50</f>
        <v>4946</v>
      </c>
      <c r="D849" s="2" t="str">
        <f t="shared" si="12"/>
        <v>Error?</v>
      </c>
    </row>
    <row r="850" spans="1:4" x14ac:dyDescent="0.2">
      <c r="A850" s="5">
        <v>789</v>
      </c>
      <c r="B850" s="1714">
        <f>'Expenditures 15-22'!E53</f>
        <v>192655</v>
      </c>
      <c r="C850" s="2" t="s">
        <v>569</v>
      </c>
      <c r="D850" s="2" t="str">
        <f t="shared" si="12"/>
        <v>Error?</v>
      </c>
    </row>
    <row r="851" spans="1:4" x14ac:dyDescent="0.2">
      <c r="A851" s="5">
        <v>790</v>
      </c>
      <c r="B851" s="1714">
        <f>'Expenditures 15-22'!E55</f>
        <v>33216</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33216</v>
      </c>
      <c r="C853" s="2" t="s">
        <v>569</v>
      </c>
      <c r="D853" s="2" t="str">
        <f t="shared" si="12"/>
        <v>Error?</v>
      </c>
    </row>
    <row r="854" spans="1:4" x14ac:dyDescent="0.2">
      <c r="A854" s="5">
        <v>793</v>
      </c>
      <c r="B854" s="1714">
        <f>'Expenditures 15-22'!E59</f>
        <v>0</v>
      </c>
      <c r="D854" s="2" t="str">
        <f t="shared" si="12"/>
        <v>Error?</v>
      </c>
    </row>
    <row r="855" spans="1:4" x14ac:dyDescent="0.2">
      <c r="A855" s="5">
        <v>794</v>
      </c>
      <c r="B855" s="1714">
        <f>'Expenditures 15-22'!E60</f>
        <v>44702</v>
      </c>
      <c r="D855" s="2" t="str">
        <f t="shared" si="12"/>
        <v>Error?</v>
      </c>
    </row>
    <row r="856" spans="1:4" x14ac:dyDescent="0.2">
      <c r="A856" s="5">
        <v>795</v>
      </c>
      <c r="B856" s="1714">
        <f>'Expenditures 15-22'!E61</f>
        <v>43145</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97631</v>
      </c>
      <c r="D858" s="2" t="str">
        <f t="shared" si="12"/>
        <v>Error?</v>
      </c>
    </row>
    <row r="859" spans="1:4" x14ac:dyDescent="0.2">
      <c r="A859" s="5">
        <v>798</v>
      </c>
      <c r="B859" s="1714">
        <f>'Expenditures 15-22'!E64</f>
        <v>5983</v>
      </c>
      <c r="D859" s="2" t="str">
        <f t="shared" si="12"/>
        <v>Error?</v>
      </c>
    </row>
    <row r="860" spans="1:4" x14ac:dyDescent="0.2">
      <c r="A860" s="10">
        <v>799</v>
      </c>
      <c r="B860" s="1714"/>
      <c r="D860" s="2" t="str">
        <f t="shared" si="12"/>
        <v>OK</v>
      </c>
    </row>
    <row r="861" spans="1:4" x14ac:dyDescent="0.2">
      <c r="A861" s="5">
        <v>800</v>
      </c>
      <c r="B861" s="1714">
        <f>'Expenditures 15-22'!E65</f>
        <v>191461</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10353</v>
      </c>
      <c r="D864" s="2" t="str">
        <f t="shared" si="12"/>
        <v>Error?</v>
      </c>
    </row>
    <row r="865" spans="1:4" x14ac:dyDescent="0.2">
      <c r="A865" s="5">
        <v>804</v>
      </c>
      <c r="B865" s="1714">
        <f>'Expenditures 15-22'!E70</f>
        <v>27432</v>
      </c>
      <c r="D865" s="2" t="str">
        <f t="shared" si="12"/>
        <v>Error?</v>
      </c>
    </row>
    <row r="866" spans="1:4" x14ac:dyDescent="0.2">
      <c r="A866" s="10">
        <v>805</v>
      </c>
      <c r="B866" s="1714"/>
      <c r="D866" s="2" t="str">
        <f t="shared" si="12"/>
        <v>OK</v>
      </c>
    </row>
    <row r="867" spans="1:4" x14ac:dyDescent="0.2">
      <c r="A867" s="5">
        <v>806</v>
      </c>
      <c r="B867" s="1714">
        <f>'Expenditures 15-22'!E71</f>
        <v>0</v>
      </c>
      <c r="D867" s="2" t="str">
        <f t="shared" si="12"/>
        <v>Error?</v>
      </c>
    </row>
    <row r="868" spans="1:4" x14ac:dyDescent="0.2">
      <c r="A868" s="10">
        <v>807</v>
      </c>
      <c r="B868" s="1714"/>
      <c r="D868" s="2" t="str">
        <f t="shared" si="12"/>
        <v>OK</v>
      </c>
    </row>
    <row r="869" spans="1:4" x14ac:dyDescent="0.2">
      <c r="A869" s="5">
        <v>808</v>
      </c>
      <c r="B869" s="1714">
        <f>'Expenditures 15-22'!E72</f>
        <v>37785</v>
      </c>
      <c r="C869" s="2" t="s">
        <v>569</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1067034</v>
      </c>
      <c r="C871" s="2" t="s">
        <v>569</v>
      </c>
      <c r="D871" s="2" t="str">
        <f t="shared" si="12"/>
        <v>Error?</v>
      </c>
    </row>
    <row r="872" spans="1:4" x14ac:dyDescent="0.2">
      <c r="A872" s="5">
        <v>811</v>
      </c>
      <c r="B872" s="1714">
        <f>'Expenditures 15-22'!E75</f>
        <v>21206</v>
      </c>
      <c r="D872" s="2" t="str">
        <f t="shared" si="12"/>
        <v>Error?</v>
      </c>
    </row>
    <row r="873" spans="1:4" x14ac:dyDescent="0.2">
      <c r="A873" s="5">
        <v>812</v>
      </c>
      <c r="B873" s="1714">
        <f>'Expenditures 15-22'!E114</f>
        <v>2127638</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524874</v>
      </c>
      <c r="D879" s="2" t="str">
        <f t="shared" si="12"/>
        <v>Error?</v>
      </c>
    </row>
    <row r="880" spans="1:4" x14ac:dyDescent="0.2">
      <c r="A880" s="5">
        <v>819</v>
      </c>
      <c r="B880" s="1714">
        <f>'Expenditures 15-22'!F16</f>
        <v>0</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6780</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11228</v>
      </c>
      <c r="D891" s="2" t="str">
        <f t="shared" si="12"/>
        <v>Error?</v>
      </c>
    </row>
    <row r="892" spans="1:4" x14ac:dyDescent="0.2">
      <c r="A892" s="5">
        <v>831</v>
      </c>
      <c r="B892" s="1714">
        <f>'Expenditures 15-22'!F14</f>
        <v>92084</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758000</v>
      </c>
      <c r="C894" s="2" t="s">
        <v>569</v>
      </c>
      <c r="D894" s="2" t="str">
        <f t="shared" si="12"/>
        <v>Error?</v>
      </c>
    </row>
    <row r="895" spans="1:4" x14ac:dyDescent="0.2">
      <c r="A895" s="5">
        <v>834</v>
      </c>
      <c r="B895" s="1714">
        <f>'Expenditures 15-22'!F36</f>
        <v>3468</v>
      </c>
      <c r="D895" s="2" t="str">
        <f t="shared" ref="D895:D958" si="13">IF(ISBLANK(B895),"OK",IF(A895-B895=0,"OK","Error?"))</f>
        <v>Error?</v>
      </c>
    </row>
    <row r="896" spans="1:4" x14ac:dyDescent="0.2">
      <c r="A896" s="5">
        <v>835</v>
      </c>
      <c r="B896" s="1714">
        <f>'Expenditures 15-22'!F37</f>
        <v>7483</v>
      </c>
      <c r="D896" s="2" t="str">
        <f t="shared" si="13"/>
        <v>Error?</v>
      </c>
    </row>
    <row r="897" spans="1:4" x14ac:dyDescent="0.2">
      <c r="A897" s="5">
        <v>836</v>
      </c>
      <c r="B897" s="1714">
        <f>'Expenditures 15-22'!F38</f>
        <v>21932</v>
      </c>
      <c r="D897" s="2" t="str">
        <f t="shared" si="13"/>
        <v>Error?</v>
      </c>
    </row>
    <row r="898" spans="1:4" x14ac:dyDescent="0.2">
      <c r="A898" s="5">
        <v>837</v>
      </c>
      <c r="B898" s="1714">
        <f>'Expenditures 15-22'!F39</f>
        <v>5064</v>
      </c>
      <c r="D898" s="2" t="str">
        <f t="shared" si="13"/>
        <v>Error?</v>
      </c>
    </row>
    <row r="899" spans="1:4" x14ac:dyDescent="0.2">
      <c r="A899" s="5">
        <v>838</v>
      </c>
      <c r="B899" s="1714">
        <f>'Expenditures 15-22'!F40</f>
        <v>3626</v>
      </c>
      <c r="D899" s="2" t="str">
        <f t="shared" si="13"/>
        <v>Error?</v>
      </c>
    </row>
    <row r="900" spans="1:4" x14ac:dyDescent="0.2">
      <c r="A900" s="5">
        <v>839</v>
      </c>
      <c r="B900" s="1714">
        <f>'Expenditures 15-22'!F41</f>
        <v>0</v>
      </c>
      <c r="D900" s="2" t="str">
        <f t="shared" si="13"/>
        <v>Error?</v>
      </c>
    </row>
    <row r="901" spans="1:4" x14ac:dyDescent="0.2">
      <c r="A901" s="5">
        <v>840</v>
      </c>
      <c r="B901" s="1714">
        <f>'Expenditures 15-22'!F42</f>
        <v>41573</v>
      </c>
      <c r="C901" s="2" t="s">
        <v>569</v>
      </c>
      <c r="D901" s="2" t="str">
        <f t="shared" si="13"/>
        <v>Error?</v>
      </c>
    </row>
    <row r="902" spans="1:4" x14ac:dyDescent="0.2">
      <c r="A902" s="5">
        <v>841</v>
      </c>
      <c r="B902" s="1714">
        <f>'Expenditures 15-22'!F44</f>
        <v>31960</v>
      </c>
      <c r="D902" s="2" t="str">
        <f t="shared" si="13"/>
        <v>Error?</v>
      </c>
    </row>
    <row r="903" spans="1:4" x14ac:dyDescent="0.2">
      <c r="A903" s="5">
        <v>842</v>
      </c>
      <c r="B903" s="1714">
        <f>'Expenditures 15-22'!F45</f>
        <v>247608</v>
      </c>
      <c r="D903" s="2" t="str">
        <f t="shared" si="13"/>
        <v>Error?</v>
      </c>
    </row>
    <row r="904" spans="1:4" x14ac:dyDescent="0.2">
      <c r="A904" s="5">
        <v>843</v>
      </c>
      <c r="B904" s="1714">
        <f>'Expenditures 15-22'!F46</f>
        <v>9272</v>
      </c>
      <c r="D904" s="2" t="str">
        <f t="shared" si="13"/>
        <v>Error?</v>
      </c>
    </row>
    <row r="905" spans="1:4" x14ac:dyDescent="0.2">
      <c r="A905" s="5">
        <v>844</v>
      </c>
      <c r="B905" s="1714">
        <f>'Expenditures 15-22'!F47</f>
        <v>288840</v>
      </c>
      <c r="C905" s="2" t="s">
        <v>569</v>
      </c>
      <c r="D905" s="2" t="str">
        <f t="shared" si="13"/>
        <v>Error?</v>
      </c>
    </row>
    <row r="906" spans="1:4" x14ac:dyDescent="0.2">
      <c r="A906" s="5">
        <v>845</v>
      </c>
      <c r="B906" s="1714">
        <f>'Expenditures 15-22'!F49</f>
        <v>9156</v>
      </c>
      <c r="D906" s="2" t="str">
        <f t="shared" si="13"/>
        <v>Error?</v>
      </c>
    </row>
    <row r="907" spans="1:4" x14ac:dyDescent="0.2">
      <c r="A907" s="5">
        <v>846</v>
      </c>
      <c r="B907" s="1714">
        <f>'Expenditures 15-22'!F50</f>
        <v>1519</v>
      </c>
      <c r="D907" s="2" t="str">
        <f t="shared" si="13"/>
        <v>Error?</v>
      </c>
    </row>
    <row r="908" spans="1:4" x14ac:dyDescent="0.2">
      <c r="A908" s="5">
        <v>847</v>
      </c>
      <c r="B908" s="1714">
        <f>'Expenditures 15-22'!F53</f>
        <v>11723</v>
      </c>
      <c r="C908" s="2" t="s">
        <v>569</v>
      </c>
      <c r="D908" s="2" t="str">
        <f t="shared" si="13"/>
        <v>Error?</v>
      </c>
    </row>
    <row r="909" spans="1:4" x14ac:dyDescent="0.2">
      <c r="A909" s="5">
        <v>848</v>
      </c>
      <c r="B909" s="1714">
        <f>'Expenditures 15-22'!F55</f>
        <v>48772</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48772</v>
      </c>
      <c r="C911" s="2" t="s">
        <v>569</v>
      </c>
      <c r="D911" s="2" t="str">
        <f t="shared" si="13"/>
        <v>Error?</v>
      </c>
    </row>
    <row r="912" spans="1:4" x14ac:dyDescent="0.2">
      <c r="A912" s="5">
        <v>851</v>
      </c>
      <c r="B912" s="1714">
        <f>'Expenditures 15-22'!F59</f>
        <v>0</v>
      </c>
      <c r="D912" s="2" t="str">
        <f t="shared" si="13"/>
        <v>Error?</v>
      </c>
    </row>
    <row r="913" spans="1:4" x14ac:dyDescent="0.2">
      <c r="A913" s="5">
        <v>852</v>
      </c>
      <c r="B913" s="1714">
        <f>'Expenditures 15-22'!F60</f>
        <v>4329</v>
      </c>
      <c r="D913" s="2" t="str">
        <f t="shared" si="13"/>
        <v>Error?</v>
      </c>
    </row>
    <row r="914" spans="1:4" x14ac:dyDescent="0.2">
      <c r="A914" s="5">
        <v>853</v>
      </c>
      <c r="B914" s="1714">
        <f>'Expenditures 15-22'!F61</f>
        <v>3753</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469278</v>
      </c>
      <c r="D916" s="2" t="str">
        <f t="shared" si="13"/>
        <v>Error?</v>
      </c>
    </row>
    <row r="917" spans="1:4" x14ac:dyDescent="0.2">
      <c r="A917" s="5">
        <v>856</v>
      </c>
      <c r="B917" s="1714">
        <f>'Expenditures 15-22'!F64</f>
        <v>500</v>
      </c>
      <c r="D917" s="2" t="str">
        <f t="shared" si="13"/>
        <v>Error?</v>
      </c>
    </row>
    <row r="918" spans="1:4" x14ac:dyDescent="0.2">
      <c r="A918" s="10">
        <v>857</v>
      </c>
      <c r="B918" s="1714"/>
      <c r="D918" s="2" t="str">
        <f t="shared" si="13"/>
        <v>OK</v>
      </c>
    </row>
    <row r="919" spans="1:4" x14ac:dyDescent="0.2">
      <c r="A919" s="5">
        <v>858</v>
      </c>
      <c r="B919" s="1714">
        <f>'Expenditures 15-22'!F65</f>
        <v>477860</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0</v>
      </c>
      <c r="D922" s="2" t="str">
        <f t="shared" si="13"/>
        <v>Error?</v>
      </c>
    </row>
    <row r="923" spans="1:4" x14ac:dyDescent="0.2">
      <c r="A923" s="5">
        <v>862</v>
      </c>
      <c r="B923" s="1714">
        <f>'Expenditures 15-22'!F70</f>
        <v>1227</v>
      </c>
      <c r="D923" s="2" t="str">
        <f t="shared" si="13"/>
        <v>Error?</v>
      </c>
    </row>
    <row r="924" spans="1:4" x14ac:dyDescent="0.2">
      <c r="A924" s="10">
        <v>863</v>
      </c>
      <c r="B924" s="1714"/>
      <c r="D924" s="2" t="str">
        <f t="shared" si="13"/>
        <v>OK</v>
      </c>
    </row>
    <row r="925" spans="1:4" x14ac:dyDescent="0.2">
      <c r="A925" s="5">
        <v>864</v>
      </c>
      <c r="B925" s="1714">
        <f>'Expenditures 15-22'!F71</f>
        <v>0</v>
      </c>
      <c r="D925" s="2" t="str">
        <f t="shared" si="13"/>
        <v>Error?</v>
      </c>
    </row>
    <row r="926" spans="1:4" x14ac:dyDescent="0.2">
      <c r="A926" s="10">
        <v>865</v>
      </c>
      <c r="B926" s="1714"/>
      <c r="D926" s="2" t="str">
        <f t="shared" si="13"/>
        <v>OK</v>
      </c>
    </row>
    <row r="927" spans="1:4" x14ac:dyDescent="0.2">
      <c r="A927" s="5">
        <v>866</v>
      </c>
      <c r="B927" s="1714">
        <f>'Expenditures 15-22'!F72</f>
        <v>1227</v>
      </c>
      <c r="C927" s="2" t="s">
        <v>569</v>
      </c>
      <c r="D927" s="2" t="str">
        <f t="shared" si="13"/>
        <v>Error?</v>
      </c>
    </row>
    <row r="928" spans="1:4" x14ac:dyDescent="0.2">
      <c r="A928" s="5">
        <v>867</v>
      </c>
      <c r="B928" s="1714">
        <f>'Expenditures 15-22'!F73</f>
        <v>0</v>
      </c>
      <c r="D928" s="2" t="str">
        <f t="shared" si="13"/>
        <v>Error?</v>
      </c>
    </row>
    <row r="929" spans="1:4" x14ac:dyDescent="0.2">
      <c r="A929" s="5">
        <v>868</v>
      </c>
      <c r="B929" s="1714">
        <f>'Expenditures 15-22'!F74</f>
        <v>869995</v>
      </c>
      <c r="C929" s="2" t="s">
        <v>569</v>
      </c>
      <c r="D929" s="2" t="str">
        <f t="shared" si="13"/>
        <v>Error?</v>
      </c>
    </row>
    <row r="930" spans="1:4" x14ac:dyDescent="0.2">
      <c r="A930" s="5">
        <v>869</v>
      </c>
      <c r="B930" s="1714">
        <f>'Expenditures 15-22'!F75</f>
        <v>10454</v>
      </c>
      <c r="D930" s="2" t="str">
        <f t="shared" si="13"/>
        <v>Error?</v>
      </c>
    </row>
    <row r="931" spans="1:4" x14ac:dyDescent="0.2">
      <c r="A931" s="5">
        <v>870</v>
      </c>
      <c r="B931" s="1714">
        <f>'Expenditures 15-22'!F114</f>
        <v>1638449</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0</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5500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5500</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11262</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11262</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10800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10800</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2079</v>
      </c>
      <c r="D986" s="2" t="str">
        <f t="shared" si="14"/>
        <v>Error?</v>
      </c>
    </row>
    <row r="987" spans="1:4" x14ac:dyDescent="0.2">
      <c r="A987" s="5">
        <v>926</v>
      </c>
      <c r="B987" s="1714">
        <f>'Expenditures 15-22'!G74</f>
        <v>24141</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29641</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10427</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29113</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1667510</v>
      </c>
      <c r="C1010" s="2" t="s">
        <v>569</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0</v>
      </c>
      <c r="C1017" s="2" t="s">
        <v>569</v>
      </c>
      <c r="D1017" s="2" t="str">
        <f t="shared" si="14"/>
        <v>Error?</v>
      </c>
    </row>
    <row r="1018" spans="1:4" x14ac:dyDescent="0.2">
      <c r="A1018" s="5">
        <v>957</v>
      </c>
      <c r="B1018" s="1714">
        <f>'Expenditures 15-22'!H44</f>
        <v>1419</v>
      </c>
      <c r="D1018" s="2" t="str">
        <f t="shared" si="14"/>
        <v>Error?</v>
      </c>
    </row>
    <row r="1019" spans="1:4" x14ac:dyDescent="0.2">
      <c r="A1019" s="5">
        <v>958</v>
      </c>
      <c r="B1019" s="1714">
        <f>'Expenditures 15-22'!H45</f>
        <v>1084</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2503</v>
      </c>
      <c r="C1021" s="2" t="s">
        <v>569</v>
      </c>
      <c r="D1021" s="2" t="str">
        <f t="shared" si="14"/>
        <v>Error?</v>
      </c>
    </row>
    <row r="1022" spans="1:4" x14ac:dyDescent="0.2">
      <c r="A1022" s="5">
        <v>961</v>
      </c>
      <c r="B1022" s="1714">
        <f>'Expenditures 15-22'!H49</f>
        <v>13644</v>
      </c>
      <c r="D1022" s="2" t="str">
        <f t="shared" si="14"/>
        <v>Error?</v>
      </c>
    </row>
    <row r="1023" spans="1:4" x14ac:dyDescent="0.2">
      <c r="A1023" s="5">
        <v>962</v>
      </c>
      <c r="B1023" s="1714">
        <f>'Expenditures 15-22'!H50</f>
        <v>2074</v>
      </c>
      <c r="D1023" s="2" t="str">
        <f t="shared" ref="D1023:D1086" si="15">IF(ISBLANK(B1023),"OK",IF(A1023-B1023=0,"OK","Error?"))</f>
        <v>Error?</v>
      </c>
    </row>
    <row r="1024" spans="1:4" x14ac:dyDescent="0.2">
      <c r="A1024" s="5">
        <v>963</v>
      </c>
      <c r="B1024" s="1714">
        <f>'Expenditures 15-22'!H53</f>
        <v>15718</v>
      </c>
      <c r="C1024" s="2" t="s">
        <v>569</v>
      </c>
      <c r="D1024" s="2" t="str">
        <f t="shared" si="15"/>
        <v>Error?</v>
      </c>
    </row>
    <row r="1025" spans="1:4" x14ac:dyDescent="0.2">
      <c r="A1025" s="5">
        <v>964</v>
      </c>
      <c r="B1025" s="1714">
        <f>'Expenditures 15-22'!H55</f>
        <v>6882</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6882</v>
      </c>
      <c r="C1027" s="2" t="s">
        <v>569</v>
      </c>
      <c r="D1027" s="2" t="str">
        <f t="shared" si="15"/>
        <v>Error?</v>
      </c>
    </row>
    <row r="1028" spans="1:4" x14ac:dyDescent="0.2">
      <c r="A1028" s="5">
        <v>967</v>
      </c>
      <c r="B1028" s="1714">
        <f>'Expenditures 15-22'!H59</f>
        <v>0</v>
      </c>
      <c r="D1028" s="2" t="str">
        <f t="shared" si="15"/>
        <v>Error?</v>
      </c>
    </row>
    <row r="1029" spans="1:4" x14ac:dyDescent="0.2">
      <c r="A1029" s="5">
        <v>968</v>
      </c>
      <c r="B1029" s="1714">
        <f>'Expenditures 15-22'!H60</f>
        <v>49928</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34224</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84152</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0</v>
      </c>
      <c r="D1038" s="2" t="str">
        <f t="shared" si="15"/>
        <v>Error?</v>
      </c>
    </row>
    <row r="1039" spans="1:4" x14ac:dyDescent="0.2">
      <c r="A1039" s="5">
        <v>978</v>
      </c>
      <c r="B1039" s="1714">
        <f>'Expenditures 15-22'!H70</f>
        <v>800</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800</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110055</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2888857</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4666422</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1998</v>
      </c>
      <c r="E1056" s="4" t="s">
        <v>1997</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23414050</v>
      </c>
      <c r="C1093" s="2" t="s">
        <v>569</v>
      </c>
      <c r="D1093" s="2" t="str">
        <f t="shared" si="16"/>
        <v>Error?</v>
      </c>
    </row>
    <row r="1094" spans="1:4" x14ac:dyDescent="0.2">
      <c r="A1094" s="5">
        <v>1033</v>
      </c>
      <c r="B1094" s="1714">
        <f>'Expenditures 15-22'!K16</f>
        <v>0</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284934</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239302</v>
      </c>
      <c r="C1105" s="2" t="s">
        <v>569</v>
      </c>
      <c r="D1105" s="2" t="str">
        <f t="shared" si="16"/>
        <v>Error?</v>
      </c>
    </row>
    <row r="1106" spans="1:4" x14ac:dyDescent="0.2">
      <c r="A1106" s="5">
        <v>1045</v>
      </c>
      <c r="B1106" s="1714">
        <f>'Expenditures 15-22'!K14</f>
        <v>1203567</v>
      </c>
      <c r="C1106" s="2" t="s">
        <v>569</v>
      </c>
      <c r="D1106" s="2" t="str">
        <f t="shared" si="16"/>
        <v>Error?</v>
      </c>
    </row>
    <row r="1107" spans="1:4" x14ac:dyDescent="0.2">
      <c r="A1107" s="5">
        <v>1046</v>
      </c>
      <c r="B1107" s="1714">
        <f>'Expenditures 15-22'!K15</f>
        <v>41411</v>
      </c>
      <c r="C1107" s="2" t="s">
        <v>569</v>
      </c>
      <c r="D1107" s="2" t="str">
        <f t="shared" si="16"/>
        <v>Error?</v>
      </c>
    </row>
    <row r="1108" spans="1:4" x14ac:dyDescent="0.2">
      <c r="A1108" s="5">
        <v>1047</v>
      </c>
      <c r="B1108" s="1714">
        <f>'Expenditures 15-22'!K33</f>
        <v>32111059</v>
      </c>
      <c r="C1108" s="2" t="s">
        <v>569</v>
      </c>
      <c r="D1108" s="2" t="str">
        <f t="shared" si="16"/>
        <v>Error?</v>
      </c>
    </row>
    <row r="1109" spans="1:4" x14ac:dyDescent="0.2">
      <c r="A1109" s="5">
        <v>1048</v>
      </c>
      <c r="B1109" s="1714">
        <f>'Expenditures 15-22'!K36</f>
        <v>803757</v>
      </c>
      <c r="C1109" s="2" t="s">
        <v>569</v>
      </c>
      <c r="D1109" s="2" t="str">
        <f t="shared" si="16"/>
        <v>Error?</v>
      </c>
    </row>
    <row r="1110" spans="1:4" x14ac:dyDescent="0.2">
      <c r="A1110" s="5">
        <v>1049</v>
      </c>
      <c r="B1110" s="1714">
        <f>'Expenditures 15-22'!K37</f>
        <v>1217604</v>
      </c>
      <c r="C1110" s="2" t="s">
        <v>569</v>
      </c>
      <c r="D1110" s="2" t="str">
        <f t="shared" si="16"/>
        <v>Error?</v>
      </c>
    </row>
    <row r="1111" spans="1:4" x14ac:dyDescent="0.2">
      <c r="A1111" s="5">
        <v>1050</v>
      </c>
      <c r="B1111" s="1714">
        <f>'Expenditures 15-22'!K38</f>
        <v>1027446</v>
      </c>
      <c r="C1111" s="2" t="s">
        <v>569</v>
      </c>
      <c r="D1111" s="2" t="str">
        <f t="shared" si="16"/>
        <v>Error?</v>
      </c>
    </row>
    <row r="1112" spans="1:4" x14ac:dyDescent="0.2">
      <c r="A1112" s="5">
        <v>1051</v>
      </c>
      <c r="B1112" s="1714">
        <f>'Expenditures 15-22'!K39</f>
        <v>604435</v>
      </c>
      <c r="C1112" s="2" t="s">
        <v>569</v>
      </c>
      <c r="D1112" s="2" t="str">
        <f t="shared" si="16"/>
        <v>Error?</v>
      </c>
    </row>
    <row r="1113" spans="1:4" x14ac:dyDescent="0.2">
      <c r="A1113" s="5">
        <v>1052</v>
      </c>
      <c r="B1113" s="1714">
        <f>'Expenditures 15-22'!K40</f>
        <v>979614</v>
      </c>
      <c r="C1113" s="2" t="s">
        <v>569</v>
      </c>
      <c r="D1113" s="2" t="str">
        <f t="shared" si="16"/>
        <v>Error?</v>
      </c>
    </row>
    <row r="1114" spans="1:4" x14ac:dyDescent="0.2">
      <c r="A1114" s="5">
        <v>1053</v>
      </c>
      <c r="B1114" s="1714">
        <f>'Expenditures 15-22'!K41</f>
        <v>2555</v>
      </c>
      <c r="C1114" s="2" t="s">
        <v>569</v>
      </c>
      <c r="D1114" s="2" t="str">
        <f t="shared" si="16"/>
        <v>Error?</v>
      </c>
    </row>
    <row r="1115" spans="1:4" x14ac:dyDescent="0.2">
      <c r="A1115" s="5">
        <v>1054</v>
      </c>
      <c r="B1115" s="1714">
        <f>'Expenditures 15-22'!K42</f>
        <v>4635411</v>
      </c>
      <c r="C1115" s="2" t="s">
        <v>569</v>
      </c>
      <c r="D1115" s="2" t="str">
        <f t="shared" si="16"/>
        <v>Error?</v>
      </c>
    </row>
    <row r="1116" spans="1:4" x14ac:dyDescent="0.2">
      <c r="A1116" s="5">
        <v>1055</v>
      </c>
      <c r="B1116" s="1714">
        <f>'Expenditures 15-22'!K44</f>
        <v>2188017</v>
      </c>
      <c r="C1116" s="2" t="s">
        <v>569</v>
      </c>
      <c r="D1116" s="2" t="str">
        <f t="shared" si="16"/>
        <v>Error?</v>
      </c>
    </row>
    <row r="1117" spans="1:4" x14ac:dyDescent="0.2">
      <c r="A1117" s="5">
        <v>1056</v>
      </c>
      <c r="B1117" s="1714">
        <f>'Expenditures 15-22'!K45</f>
        <v>1871837</v>
      </c>
      <c r="C1117" s="2" t="s">
        <v>569</v>
      </c>
      <c r="D1117" s="2" t="str">
        <f t="shared" si="16"/>
        <v>Error?</v>
      </c>
    </row>
    <row r="1118" spans="1:4" x14ac:dyDescent="0.2">
      <c r="A1118" s="5">
        <v>1057</v>
      </c>
      <c r="B1118" s="1714">
        <f>'Expenditures 15-22'!K46</f>
        <v>120569</v>
      </c>
      <c r="C1118" s="2" t="s">
        <v>569</v>
      </c>
      <c r="D1118" s="2" t="str">
        <f t="shared" si="16"/>
        <v>Error?</v>
      </c>
    </row>
    <row r="1119" spans="1:4" x14ac:dyDescent="0.2">
      <c r="A1119" s="5">
        <v>1058</v>
      </c>
      <c r="B1119" s="1714">
        <f>'Expenditures 15-22'!K47</f>
        <v>4180423</v>
      </c>
      <c r="C1119" s="2" t="s">
        <v>569</v>
      </c>
      <c r="D1119" s="2" t="str">
        <f t="shared" si="16"/>
        <v>Error?</v>
      </c>
    </row>
    <row r="1120" spans="1:4" x14ac:dyDescent="0.2">
      <c r="A1120" s="5">
        <v>1059</v>
      </c>
      <c r="B1120" s="1714">
        <f>'Expenditures 15-22'!K49</f>
        <v>202382</v>
      </c>
      <c r="C1120" s="2" t="s">
        <v>569</v>
      </c>
      <c r="D1120" s="2" t="str">
        <f t="shared" si="16"/>
        <v>Error?</v>
      </c>
    </row>
    <row r="1121" spans="1:4" x14ac:dyDescent="0.2">
      <c r="A1121" s="5">
        <v>1060</v>
      </c>
      <c r="B1121" s="1714">
        <f>'Expenditures 15-22'!K50</f>
        <v>352268</v>
      </c>
      <c r="C1121" s="2" t="s">
        <v>569</v>
      </c>
      <c r="D1121" s="2" t="str">
        <f t="shared" si="16"/>
        <v>Error?</v>
      </c>
    </row>
    <row r="1122" spans="1:4" x14ac:dyDescent="0.2">
      <c r="A1122" s="5">
        <v>1061</v>
      </c>
      <c r="B1122" s="1714">
        <f>'Expenditures 15-22'!K53</f>
        <v>939969</v>
      </c>
      <c r="C1122" s="2" t="s">
        <v>569</v>
      </c>
      <c r="D1122" s="2" t="str">
        <f t="shared" si="16"/>
        <v>Error?</v>
      </c>
    </row>
    <row r="1123" spans="1:4" x14ac:dyDescent="0.2">
      <c r="A1123" s="5">
        <v>1062</v>
      </c>
      <c r="B1123" s="1714">
        <f>'Expenditures 15-22'!K55</f>
        <v>2329855</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2329855</v>
      </c>
      <c r="C1125" s="2" t="s">
        <v>569</v>
      </c>
      <c r="D1125" s="2" t="str">
        <f t="shared" si="16"/>
        <v>Error?</v>
      </c>
    </row>
    <row r="1126" spans="1:4" x14ac:dyDescent="0.2">
      <c r="A1126" s="5">
        <v>1065</v>
      </c>
      <c r="B1126" s="1714">
        <f>'Expenditures 15-22'!K59</f>
        <v>199146</v>
      </c>
      <c r="C1126" s="2" t="s">
        <v>569</v>
      </c>
      <c r="D1126" s="2" t="str">
        <f t="shared" si="16"/>
        <v>Error?</v>
      </c>
    </row>
    <row r="1127" spans="1:4" x14ac:dyDescent="0.2">
      <c r="A1127" s="5">
        <v>1066</v>
      </c>
      <c r="B1127" s="1714">
        <f>'Expenditures 15-22'!K60</f>
        <v>570302</v>
      </c>
      <c r="C1127" s="2" t="s">
        <v>569</v>
      </c>
      <c r="D1127" s="2" t="str">
        <f t="shared" si="16"/>
        <v>Error?</v>
      </c>
    </row>
    <row r="1128" spans="1:4" x14ac:dyDescent="0.2">
      <c r="A1128" s="5">
        <v>1067</v>
      </c>
      <c r="B1128" s="1714">
        <f>'Expenditures 15-22'!K61</f>
        <v>217331</v>
      </c>
      <c r="C1128" s="2" t="s">
        <v>569</v>
      </c>
      <c r="D1128" s="2" t="str">
        <f t="shared" si="16"/>
        <v>Error?</v>
      </c>
    </row>
    <row r="1129" spans="1:4" x14ac:dyDescent="0.2">
      <c r="A1129" s="5">
        <v>1068</v>
      </c>
      <c r="B1129" s="1714">
        <f>'Expenditures 15-22'!K62</f>
        <v>0</v>
      </c>
      <c r="C1129" s="2" t="s">
        <v>569</v>
      </c>
      <c r="D1129" s="2" t="str">
        <f t="shared" si="16"/>
        <v>Error?</v>
      </c>
    </row>
    <row r="1130" spans="1:4" x14ac:dyDescent="0.2">
      <c r="A1130" s="5">
        <v>1069</v>
      </c>
      <c r="B1130" s="1714">
        <f>'Expenditures 15-22'!K63</f>
        <v>1132718</v>
      </c>
      <c r="C1130" s="2" t="s">
        <v>569</v>
      </c>
      <c r="D1130" s="2" t="str">
        <f t="shared" si="16"/>
        <v>Error?</v>
      </c>
    </row>
    <row r="1131" spans="1:4" x14ac:dyDescent="0.2">
      <c r="A1131" s="5">
        <v>1070</v>
      </c>
      <c r="B1131" s="1714">
        <f>'Expenditures 15-22'!K64</f>
        <v>6483</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2125980</v>
      </c>
      <c r="C1133" s="2" t="s">
        <v>569</v>
      </c>
      <c r="D1133" s="2" t="str">
        <f t="shared" si="16"/>
        <v>Error?</v>
      </c>
    </row>
    <row r="1134" spans="1:4" x14ac:dyDescent="0.2">
      <c r="A1134" s="5">
        <v>1073</v>
      </c>
      <c r="B1134" s="1714">
        <f>'Expenditures 15-22'!K67</f>
        <v>0</v>
      </c>
      <c r="C1134" s="2" t="s">
        <v>569</v>
      </c>
      <c r="D1134" s="2" t="str">
        <f t="shared" si="16"/>
        <v>Error?</v>
      </c>
    </row>
    <row r="1135" spans="1:4" x14ac:dyDescent="0.2">
      <c r="A1135" s="5">
        <v>1074</v>
      </c>
      <c r="B1135" s="1714">
        <f>'Expenditures 15-22'!K68</f>
        <v>6188</v>
      </c>
      <c r="C1135" s="2" t="s">
        <v>569</v>
      </c>
      <c r="D1135" s="2" t="str">
        <f t="shared" si="16"/>
        <v>Error?</v>
      </c>
    </row>
    <row r="1136" spans="1:4" x14ac:dyDescent="0.2">
      <c r="A1136" s="5">
        <v>1075</v>
      </c>
      <c r="B1136" s="1714">
        <f>'Expenditures 15-22'!K69</f>
        <v>15353</v>
      </c>
      <c r="C1136" s="2" t="s">
        <v>569</v>
      </c>
      <c r="D1136" s="2" t="str">
        <f t="shared" si="16"/>
        <v>Error?</v>
      </c>
    </row>
    <row r="1137" spans="1:4" x14ac:dyDescent="0.2">
      <c r="A1137" s="5">
        <v>1076</v>
      </c>
      <c r="B1137" s="1714">
        <f>'Expenditures 15-22'!K70</f>
        <v>285878</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16457</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323876</v>
      </c>
      <c r="C1141" s="2" t="s">
        <v>569</v>
      </c>
      <c r="D1141" s="2" t="str">
        <f t="shared" si="16"/>
        <v>Error?</v>
      </c>
    </row>
    <row r="1142" spans="1:4" x14ac:dyDescent="0.2">
      <c r="A1142" s="5">
        <v>1081</v>
      </c>
      <c r="B1142" s="1714">
        <f>'Expenditures 15-22'!K73</f>
        <v>376317</v>
      </c>
      <c r="C1142" s="2" t="s">
        <v>569</v>
      </c>
      <c r="D1142" s="2" t="str">
        <f t="shared" si="16"/>
        <v>Error?</v>
      </c>
    </row>
    <row r="1143" spans="1:4" x14ac:dyDescent="0.2">
      <c r="A1143" s="5">
        <v>1082</v>
      </c>
      <c r="B1143" s="1714">
        <f>'Expenditures 15-22'!K74</f>
        <v>14911831</v>
      </c>
      <c r="C1143" s="2" t="s">
        <v>569</v>
      </c>
      <c r="D1143" s="2" t="str">
        <f t="shared" si="16"/>
        <v>Error?</v>
      </c>
    </row>
    <row r="1144" spans="1:4" x14ac:dyDescent="0.2">
      <c r="A1144" s="5">
        <v>1083</v>
      </c>
      <c r="B1144" s="1714">
        <f>'Expenditures 15-22'!K75</f>
        <v>40736</v>
      </c>
      <c r="C1144" s="2" t="s">
        <v>569</v>
      </c>
      <c r="D1144" s="2" t="str">
        <f t="shared" si="16"/>
        <v>Error?</v>
      </c>
    </row>
    <row r="1145" spans="1:4" x14ac:dyDescent="0.2">
      <c r="A1145" s="5">
        <v>1084</v>
      </c>
      <c r="B1145" s="1714">
        <f>'Expenditures 15-22'!K102</f>
        <v>2988798</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50052424</v>
      </c>
      <c r="C1152" s="2" t="s">
        <v>569</v>
      </c>
      <c r="D1152" s="2" t="str">
        <f t="shared" si="17"/>
        <v>Error?</v>
      </c>
    </row>
    <row r="1153" spans="1:4" x14ac:dyDescent="0.2">
      <c r="A1153" s="5">
        <v>1092</v>
      </c>
      <c r="B1153" s="1714">
        <f>'Expenditures 15-22'!K115</f>
        <v>-378961</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556337</v>
      </c>
      <c r="D1221" s="2" t="str">
        <f t="shared" si="18"/>
        <v>Error?</v>
      </c>
    </row>
    <row r="1222" spans="1:4" x14ac:dyDescent="0.2">
      <c r="A1222" s="10">
        <v>1161</v>
      </c>
      <c r="B1222" s="1714"/>
      <c r="D1222" s="2" t="str">
        <f t="shared" si="18"/>
        <v>OK</v>
      </c>
    </row>
    <row r="1223" spans="1:4" x14ac:dyDescent="0.2">
      <c r="A1223" s="5">
        <v>1162</v>
      </c>
      <c r="B1223" s="1714">
        <f>'Expenditures 15-22'!C127</f>
        <v>556337</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556337</v>
      </c>
      <c r="C1225" s="2" t="s">
        <v>569</v>
      </c>
      <c r="D1225" s="2" t="str">
        <f t="shared" si="18"/>
        <v>Error?</v>
      </c>
    </row>
    <row r="1226" spans="1:4" x14ac:dyDescent="0.2">
      <c r="A1226" s="5">
        <v>1165</v>
      </c>
      <c r="B1226" s="1714">
        <f>'Expenditures 15-22'!C151</f>
        <v>556337</v>
      </c>
      <c r="C1226" s="2" t="s">
        <v>569</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153200</v>
      </c>
      <c r="D1229" s="2" t="str">
        <f t="shared" si="18"/>
        <v>Error?</v>
      </c>
    </row>
    <row r="1230" spans="1:4" x14ac:dyDescent="0.2">
      <c r="A1230" s="10">
        <v>1169</v>
      </c>
      <c r="B1230" s="1714"/>
      <c r="D1230" s="2" t="str">
        <f t="shared" si="18"/>
        <v>OK</v>
      </c>
    </row>
    <row r="1231" spans="1:4" x14ac:dyDescent="0.2">
      <c r="A1231" s="5">
        <v>1170</v>
      </c>
      <c r="B1231" s="1714">
        <f>'Expenditures 15-22'!D127</f>
        <v>153200</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153200</v>
      </c>
      <c r="C1233" s="2" t="s">
        <v>569</v>
      </c>
      <c r="D1233" s="2" t="str">
        <f t="shared" si="18"/>
        <v>Error?</v>
      </c>
    </row>
    <row r="1234" spans="1:4" x14ac:dyDescent="0.2">
      <c r="A1234" s="5">
        <v>1173</v>
      </c>
      <c r="B1234" s="1714">
        <f>'Expenditures 15-22'!D151</f>
        <v>153200</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190670</v>
      </c>
      <c r="D1236" s="2" t="str">
        <f t="shared" si="18"/>
        <v>Error?</v>
      </c>
    </row>
    <row r="1237" spans="1:4" x14ac:dyDescent="0.2">
      <c r="A1237" s="5">
        <v>1176</v>
      </c>
      <c r="B1237" s="1714">
        <f>'Expenditures 15-22'!E124</f>
        <v>2437963</v>
      </c>
      <c r="D1237" s="2" t="str">
        <f t="shared" si="18"/>
        <v>Error?</v>
      </c>
    </row>
    <row r="1238" spans="1:4" x14ac:dyDescent="0.2">
      <c r="A1238" s="10">
        <v>1177</v>
      </c>
      <c r="B1238" s="1714"/>
      <c r="D1238" s="2" t="str">
        <f t="shared" si="18"/>
        <v>OK</v>
      </c>
    </row>
    <row r="1239" spans="1:4" x14ac:dyDescent="0.2">
      <c r="A1239" s="5">
        <v>1178</v>
      </c>
      <c r="B1239" s="1714">
        <f>'Expenditures 15-22'!E127</f>
        <v>2628633</v>
      </c>
      <c r="C1239" s="2" t="s">
        <v>569</v>
      </c>
      <c r="D1239" s="2" t="str">
        <f t="shared" si="18"/>
        <v>Error?</v>
      </c>
    </row>
    <row r="1240" spans="1:4" x14ac:dyDescent="0.2">
      <c r="A1240" s="5">
        <v>1179</v>
      </c>
      <c r="B1240" s="1714">
        <f>'Expenditures 15-22'!E128</f>
        <v>90396</v>
      </c>
      <c r="D1240" s="2" t="str">
        <f t="shared" si="18"/>
        <v>Error?</v>
      </c>
    </row>
    <row r="1241" spans="1:4" x14ac:dyDescent="0.2">
      <c r="A1241" s="5">
        <v>1180</v>
      </c>
      <c r="B1241" s="1714">
        <f>'Expenditures 15-22'!E129</f>
        <v>2719029</v>
      </c>
      <c r="C1241" s="2" t="s">
        <v>569</v>
      </c>
      <c r="D1241" s="2" t="str">
        <f t="shared" si="18"/>
        <v>Error?</v>
      </c>
    </row>
    <row r="1242" spans="1:4" x14ac:dyDescent="0.2">
      <c r="A1242" s="5">
        <v>1181</v>
      </c>
      <c r="B1242" s="1714">
        <f>'Expenditures 15-22'!E151</f>
        <v>2719029</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1026314</v>
      </c>
      <c r="D1245" s="2" t="str">
        <f t="shared" si="18"/>
        <v>Error?</v>
      </c>
    </row>
    <row r="1246" spans="1:4" x14ac:dyDescent="0.2">
      <c r="A1246" s="10">
        <v>1185</v>
      </c>
      <c r="B1246" s="1714"/>
      <c r="D1246" s="2" t="str">
        <f t="shared" si="18"/>
        <v>OK</v>
      </c>
    </row>
    <row r="1247" spans="1:4" x14ac:dyDescent="0.2">
      <c r="A1247" s="5">
        <v>1186</v>
      </c>
      <c r="B1247" s="1714">
        <f>'Expenditures 15-22'!F127</f>
        <v>1026314</v>
      </c>
      <c r="C1247" s="2" t="s">
        <v>569</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1026314</v>
      </c>
      <c r="C1249" s="2" t="s">
        <v>569</v>
      </c>
      <c r="D1249" s="2" t="str">
        <f t="shared" si="18"/>
        <v>Error?</v>
      </c>
    </row>
    <row r="1250" spans="1:4" x14ac:dyDescent="0.2">
      <c r="A1250" s="5">
        <v>1189</v>
      </c>
      <c r="B1250" s="1714">
        <f>'Expenditures 15-22'!F151</f>
        <v>1026314</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75686</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75686</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75686</v>
      </c>
      <c r="C1258" s="2" t="s">
        <v>569</v>
      </c>
      <c r="D1258" s="2" t="str">
        <f t="shared" si="18"/>
        <v>Error?</v>
      </c>
    </row>
    <row r="1259" spans="1:4" x14ac:dyDescent="0.2">
      <c r="A1259" s="5">
        <v>1198</v>
      </c>
      <c r="B1259" s="1714">
        <f>'Expenditures 15-22'!G151</f>
        <v>75686</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6446</v>
      </c>
      <c r="D1262" s="2" t="str">
        <f t="shared" si="18"/>
        <v>Error?</v>
      </c>
    </row>
    <row r="1263" spans="1:4" x14ac:dyDescent="0.2">
      <c r="A1263" s="10">
        <v>1202</v>
      </c>
      <c r="B1263" s="1714"/>
      <c r="D1263" s="2" t="str">
        <f t="shared" si="18"/>
        <v>OK</v>
      </c>
    </row>
    <row r="1264" spans="1:4" x14ac:dyDescent="0.2">
      <c r="A1264" s="5">
        <v>1203</v>
      </c>
      <c r="B1264" s="1714">
        <f>'Expenditures 15-22'!H127</f>
        <v>6446</v>
      </c>
      <c r="C1264" s="2" t="s">
        <v>569</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6446</v>
      </c>
      <c r="C1266" s="2" t="s">
        <v>569</v>
      </c>
      <c r="D1266" s="2" t="str">
        <f t="shared" si="18"/>
        <v>Error?</v>
      </c>
    </row>
    <row r="1267" spans="1:4" x14ac:dyDescent="0.2">
      <c r="A1267" s="5">
        <v>1206</v>
      </c>
      <c r="B1267" s="1714">
        <f>'Expenditures 15-22'!H139</f>
        <v>0</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6446</v>
      </c>
      <c r="C1273" s="2" t="s">
        <v>569</v>
      </c>
      <c r="D1273" s="2" t="str">
        <f t="shared" si="18"/>
        <v>Error?</v>
      </c>
    </row>
    <row r="1274" spans="1:4" x14ac:dyDescent="0.2">
      <c r="A1274" s="5">
        <v>1213</v>
      </c>
      <c r="B1274" s="1714">
        <f>'Expenditures 15-22'!K122</f>
        <v>0</v>
      </c>
      <c r="C1274" s="2" t="s">
        <v>569</v>
      </c>
      <c r="D1274" s="2" t="str">
        <f t="shared" si="18"/>
        <v>Error?</v>
      </c>
    </row>
    <row r="1275" spans="1:4" x14ac:dyDescent="0.2">
      <c r="A1275" s="5">
        <v>1214</v>
      </c>
      <c r="B1275" s="1714">
        <f>'Expenditures 15-22'!K123</f>
        <v>190670</v>
      </c>
      <c r="C1275" s="2" t="s">
        <v>569</v>
      </c>
      <c r="D1275" s="2" t="str">
        <f t="shared" si="18"/>
        <v>Error?</v>
      </c>
    </row>
    <row r="1276" spans="1:4" x14ac:dyDescent="0.2">
      <c r="A1276" s="5">
        <v>1215</v>
      </c>
      <c r="B1276" s="1714">
        <f>'Expenditures 15-22'!K124</f>
        <v>5172370</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5363040</v>
      </c>
      <c r="C1279" s="2" t="s">
        <v>569</v>
      </c>
      <c r="D1279" s="2" t="str">
        <f t="shared" ref="D1279:D1342" si="19">IF(ISBLANK(B1279),"OK",IF(A1279-B1279=0,"OK","Error?"))</f>
        <v>Error?</v>
      </c>
    </row>
    <row r="1280" spans="1:4" x14ac:dyDescent="0.2">
      <c r="A1280" s="5">
        <v>1219</v>
      </c>
      <c r="B1280" s="1714">
        <f>'Expenditures 15-22'!K128</f>
        <v>90396</v>
      </c>
      <c r="C1280" s="2" t="s">
        <v>569</v>
      </c>
      <c r="D1280" s="2" t="str">
        <f t="shared" si="19"/>
        <v>Error?</v>
      </c>
    </row>
    <row r="1281" spans="1:4" x14ac:dyDescent="0.2">
      <c r="A1281" s="5">
        <v>1220</v>
      </c>
      <c r="B1281" s="1714">
        <f>'Expenditures 15-22'!K129</f>
        <v>5453436</v>
      </c>
      <c r="C1281" s="2" t="s">
        <v>569</v>
      </c>
      <c r="D1281" s="2" t="str">
        <f t="shared" si="19"/>
        <v>Error?</v>
      </c>
    </row>
    <row r="1282" spans="1:4" x14ac:dyDescent="0.2">
      <c r="A1282" s="5">
        <v>1221</v>
      </c>
      <c r="B1282" s="1714">
        <f>'Expenditures 15-22'!K139</f>
        <v>0</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5453436</v>
      </c>
      <c r="C1288" s="2" t="s">
        <v>569</v>
      </c>
      <c r="D1288" s="2" t="str">
        <f t="shared" si="19"/>
        <v>Error?</v>
      </c>
    </row>
    <row r="1289" spans="1:4" x14ac:dyDescent="0.2">
      <c r="A1289" s="5">
        <v>1228</v>
      </c>
      <c r="B1289" s="1714">
        <f>'Expenditures 15-22'!K152</f>
        <v>736432</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0</v>
      </c>
      <c r="D1307" s="2" t="str">
        <f t="shared" si="19"/>
        <v>Error?</v>
      </c>
    </row>
    <row r="1308" spans="1:4" x14ac:dyDescent="0.2">
      <c r="A1308" s="5">
        <v>1247</v>
      </c>
      <c r="B1308" s="1714">
        <f>'Expenditures 15-22'!E172</f>
        <v>0</v>
      </c>
      <c r="C1308" s="2" t="s">
        <v>569</v>
      </c>
      <c r="D1308" s="2" t="str">
        <f t="shared" si="19"/>
        <v>Error?</v>
      </c>
    </row>
    <row r="1309" spans="1:4" x14ac:dyDescent="0.2">
      <c r="A1309" s="5">
        <v>1248</v>
      </c>
      <c r="B1309" s="1714">
        <f>'Expenditures 15-22'!E174</f>
        <v>0</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2686790</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9010000</v>
      </c>
      <c r="D1315" s="2" t="str">
        <f t="shared" si="19"/>
        <v>Error?</v>
      </c>
    </row>
    <row r="1316" spans="1:4" x14ac:dyDescent="0.2">
      <c r="A1316" s="5">
        <v>1255</v>
      </c>
      <c r="B1316" s="1714">
        <f>'Expenditures 15-22'!H171</f>
        <v>3503</v>
      </c>
      <c r="D1316" s="2" t="str">
        <f t="shared" si="19"/>
        <v>Error?</v>
      </c>
    </row>
    <row r="1317" spans="1:4" x14ac:dyDescent="0.2">
      <c r="A1317" s="5">
        <v>1256</v>
      </c>
      <c r="B1317" s="1714">
        <f>'Expenditures 15-22'!H172</f>
        <v>11700293</v>
      </c>
      <c r="C1317" s="2" t="s">
        <v>569</v>
      </c>
      <c r="D1317" s="2" t="str">
        <f t="shared" si="19"/>
        <v>Error?</v>
      </c>
    </row>
    <row r="1318" spans="1:4" x14ac:dyDescent="0.2">
      <c r="A1318" s="5">
        <v>1257</v>
      </c>
      <c r="B1318" s="1714">
        <f>'Expenditures 15-22'!H174</f>
        <v>11700293</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2686790</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9010000</v>
      </c>
      <c r="C1329" s="2" t="s">
        <v>569</v>
      </c>
      <c r="D1329" s="2" t="str">
        <f t="shared" si="19"/>
        <v>Error?</v>
      </c>
    </row>
    <row r="1330" spans="1:4" x14ac:dyDescent="0.2">
      <c r="A1330" s="5">
        <v>1269</v>
      </c>
      <c r="B1330" s="1714">
        <f>'Expenditures 15-22'!K171</f>
        <v>3503</v>
      </c>
      <c r="C1330" s="2" t="s">
        <v>569</v>
      </c>
      <c r="D1330" s="2" t="str">
        <f t="shared" si="19"/>
        <v>Error?</v>
      </c>
    </row>
    <row r="1331" spans="1:4" x14ac:dyDescent="0.2">
      <c r="A1331" s="5">
        <v>1270</v>
      </c>
      <c r="B1331" s="1714">
        <f>'Expenditures 15-22'!K172</f>
        <v>11700293</v>
      </c>
      <c r="C1331" s="2" t="s">
        <v>569</v>
      </c>
      <c r="D1331" s="2" t="str">
        <f t="shared" si="19"/>
        <v>Error?</v>
      </c>
    </row>
    <row r="1332" spans="1:4" x14ac:dyDescent="0.2">
      <c r="A1332" s="5">
        <v>1271</v>
      </c>
      <c r="B1332" s="1714">
        <f>'Expenditures 15-22'!K174</f>
        <v>11700293</v>
      </c>
      <c r="C1332" s="2" t="s">
        <v>569</v>
      </c>
      <c r="D1332" s="2" t="str">
        <f t="shared" si="19"/>
        <v>Error?</v>
      </c>
    </row>
    <row r="1333" spans="1:4" x14ac:dyDescent="0.2">
      <c r="A1333" s="5">
        <v>1272</v>
      </c>
      <c r="B1333" s="1714">
        <f>'Expenditures 15-22'!K175</f>
        <v>130293</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1723518</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1723518</v>
      </c>
      <c r="C1339" s="2" t="s">
        <v>569</v>
      </c>
      <c r="D1339" s="2" t="str">
        <f t="shared" si="19"/>
        <v>Error?</v>
      </c>
    </row>
    <row r="1340" spans="1:4" x14ac:dyDescent="0.2">
      <c r="A1340" s="5">
        <v>1279</v>
      </c>
      <c r="B1340" s="1714">
        <f>'Expenditures 15-22'!C210</f>
        <v>1723518</v>
      </c>
      <c r="C1340" s="2" t="s">
        <v>569</v>
      </c>
      <c r="D1340" s="2" t="str">
        <f t="shared" si="19"/>
        <v>Error?</v>
      </c>
    </row>
    <row r="1341" spans="1:4" x14ac:dyDescent="0.2">
      <c r="A1341" s="5">
        <v>1280</v>
      </c>
      <c r="B1341" s="1714">
        <f>'Expenditures 15-22'!D182</f>
        <v>196183</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196183</v>
      </c>
      <c r="C1345" s="2" t="s">
        <v>569</v>
      </c>
      <c r="D1345" s="2" t="str">
        <f t="shared" si="20"/>
        <v>Error?</v>
      </c>
    </row>
    <row r="1346" spans="1:4" x14ac:dyDescent="0.2">
      <c r="A1346" s="5">
        <v>1285</v>
      </c>
      <c r="B1346" s="1714">
        <f>'Expenditures 15-22'!D210</f>
        <v>196183</v>
      </c>
      <c r="C1346" s="2" t="s">
        <v>569</v>
      </c>
      <c r="D1346" s="2" t="str">
        <f t="shared" si="20"/>
        <v>Error?</v>
      </c>
    </row>
    <row r="1347" spans="1:4" x14ac:dyDescent="0.2">
      <c r="A1347" s="5">
        <v>1286</v>
      </c>
      <c r="B1347" s="1714">
        <f>'Expenditures 15-22'!E182</f>
        <v>2002416</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2002416</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2002416</v>
      </c>
      <c r="C1353" s="2" t="s">
        <v>569</v>
      </c>
      <c r="D1353" s="2" t="str">
        <f t="shared" si="20"/>
        <v>Error?</v>
      </c>
    </row>
    <row r="1354" spans="1:4" x14ac:dyDescent="0.2">
      <c r="A1354" s="5">
        <v>1293</v>
      </c>
      <c r="B1354" s="1714">
        <f>'Expenditures 15-22'!F182</f>
        <v>455621</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455621</v>
      </c>
      <c r="C1358" s="2" t="s">
        <v>569</v>
      </c>
      <c r="D1358" s="2" t="str">
        <f t="shared" si="20"/>
        <v>Error?</v>
      </c>
    </row>
    <row r="1359" spans="1:4" x14ac:dyDescent="0.2">
      <c r="A1359" s="5">
        <v>1298</v>
      </c>
      <c r="B1359" s="1714">
        <f>'Expenditures 15-22'!F210</f>
        <v>455621</v>
      </c>
      <c r="C1359" s="2" t="s">
        <v>569</v>
      </c>
      <c r="D1359" s="2" t="str">
        <f t="shared" si="20"/>
        <v>Error?</v>
      </c>
    </row>
    <row r="1360" spans="1:4" x14ac:dyDescent="0.2">
      <c r="A1360" s="5">
        <v>1299</v>
      </c>
      <c r="B1360" s="1714">
        <f>'Expenditures 15-22'!G182</f>
        <v>48635</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48635</v>
      </c>
      <c r="C1364" s="2" t="s">
        <v>569</v>
      </c>
      <c r="D1364" s="2" t="str">
        <f t="shared" si="20"/>
        <v>Error?</v>
      </c>
    </row>
    <row r="1365" spans="1:4" x14ac:dyDescent="0.2">
      <c r="A1365" s="5">
        <v>1304</v>
      </c>
      <c r="B1365" s="1714">
        <f>'Expenditures 15-22'!G210</f>
        <v>48635</v>
      </c>
      <c r="C1365" s="2" t="s">
        <v>569</v>
      </c>
      <c r="D1365" s="2" t="str">
        <f t="shared" si="20"/>
        <v>Error?</v>
      </c>
    </row>
    <row r="1366" spans="1:4" x14ac:dyDescent="0.2">
      <c r="A1366" s="5">
        <v>1305</v>
      </c>
      <c r="B1366" s="1714">
        <f>'Expenditures 15-22'!H182</f>
        <v>1058</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1058</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1058</v>
      </c>
      <c r="C1376" s="2" t="s">
        <v>569</v>
      </c>
      <c r="D1376" s="2" t="str">
        <f t="shared" si="20"/>
        <v>Error?</v>
      </c>
    </row>
    <row r="1377" spans="1:4" x14ac:dyDescent="0.2">
      <c r="A1377" s="5">
        <v>1316</v>
      </c>
      <c r="B1377" s="1714">
        <f>'Expenditures 15-22'!K182</f>
        <v>4778997</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4778997</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4778997</v>
      </c>
      <c r="C1388" s="2" t="s">
        <v>569</v>
      </c>
      <c r="D1388" s="2" t="str">
        <f t="shared" si="20"/>
        <v>Error?</v>
      </c>
    </row>
    <row r="1389" spans="1:4" x14ac:dyDescent="0.2">
      <c r="A1389" s="5">
        <v>1328</v>
      </c>
      <c r="B1389" s="1714">
        <f>'Expenditures 15-22'!K211</f>
        <v>639543</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0</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2720</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27</v>
      </c>
      <c r="D1406" s="2" t="str">
        <f t="shared" si="20"/>
        <v>Error?</v>
      </c>
    </row>
    <row r="1407" spans="1:4" x14ac:dyDescent="0.2">
      <c r="A1407" s="5">
        <v>1346</v>
      </c>
      <c r="B1407" s="1714">
        <f>'Expenditures 15-22'!D222</f>
        <v>14477</v>
      </c>
      <c r="D1407" s="2" t="str">
        <f t="shared" ref="D1407:D1470" si="21">IF(ISBLANK(B1407),"OK",IF(A1407-B1407=0,"OK","Error?"))</f>
        <v>Error?</v>
      </c>
    </row>
    <row r="1408" spans="1:4" x14ac:dyDescent="0.2">
      <c r="A1408" s="5">
        <v>1347</v>
      </c>
      <c r="B1408" s="1714">
        <f>'Expenditures 15-22'!D223</f>
        <v>26043</v>
      </c>
      <c r="D1408" s="2" t="str">
        <f t="shared" si="21"/>
        <v>Error?</v>
      </c>
    </row>
    <row r="1409" spans="1:4" x14ac:dyDescent="0.2">
      <c r="A1409" s="5">
        <v>1348</v>
      </c>
      <c r="B1409" s="1714">
        <f>'Expenditures 15-22'!D224</f>
        <v>801</v>
      </c>
      <c r="D1409" s="2" t="str">
        <f t="shared" si="21"/>
        <v>Error?</v>
      </c>
    </row>
    <row r="1410" spans="1:4" x14ac:dyDescent="0.2">
      <c r="A1410" s="5">
        <v>1349</v>
      </c>
      <c r="B1410" s="1714">
        <f>'Expenditures 15-22'!D229</f>
        <v>536953</v>
      </c>
      <c r="C1410" s="2" t="s">
        <v>569</v>
      </c>
      <c r="D1410" s="2" t="str">
        <f t="shared" si="21"/>
        <v>Error?</v>
      </c>
    </row>
    <row r="1411" spans="1:4" x14ac:dyDescent="0.2">
      <c r="A1411" s="5">
        <v>1350</v>
      </c>
      <c r="B1411" s="1714">
        <f>'Expenditures 15-22'!D232</f>
        <v>21910</v>
      </c>
      <c r="D1411" s="2" t="str">
        <f t="shared" si="21"/>
        <v>Error?</v>
      </c>
    </row>
    <row r="1412" spans="1:4" x14ac:dyDescent="0.2">
      <c r="A1412" s="5">
        <v>1351</v>
      </c>
      <c r="B1412" s="1714">
        <f>'Expenditures 15-22'!D233</f>
        <v>34457</v>
      </c>
      <c r="D1412" s="2" t="str">
        <f t="shared" si="21"/>
        <v>Error?</v>
      </c>
    </row>
    <row r="1413" spans="1:4" x14ac:dyDescent="0.2">
      <c r="A1413" s="5">
        <v>1352</v>
      </c>
      <c r="B1413" s="1714">
        <f>'Expenditures 15-22'!D234</f>
        <v>102116</v>
      </c>
      <c r="D1413" s="2" t="str">
        <f t="shared" si="21"/>
        <v>Error?</v>
      </c>
    </row>
    <row r="1414" spans="1:4" x14ac:dyDescent="0.2">
      <c r="A1414" s="5">
        <v>1353</v>
      </c>
      <c r="B1414" s="1714">
        <f>'Expenditures 15-22'!D235</f>
        <v>6342</v>
      </c>
      <c r="D1414" s="2" t="str">
        <f t="shared" si="21"/>
        <v>Error?</v>
      </c>
    </row>
    <row r="1415" spans="1:4" x14ac:dyDescent="0.2">
      <c r="A1415" s="5">
        <v>1354</v>
      </c>
      <c r="B1415" s="1714">
        <f>'Expenditures 15-22'!D236</f>
        <v>10431</v>
      </c>
      <c r="D1415" s="2" t="str">
        <f t="shared" si="21"/>
        <v>Error?</v>
      </c>
    </row>
    <row r="1416" spans="1:4" x14ac:dyDescent="0.2">
      <c r="A1416" s="5">
        <v>1355</v>
      </c>
      <c r="B1416" s="1714">
        <f>'Expenditures 15-22'!D237</f>
        <v>0</v>
      </c>
      <c r="D1416" s="2" t="str">
        <f t="shared" si="21"/>
        <v>Error?</v>
      </c>
    </row>
    <row r="1417" spans="1:4" x14ac:dyDescent="0.2">
      <c r="A1417" s="5">
        <v>1356</v>
      </c>
      <c r="B1417" s="1714">
        <f>'Expenditures 15-22'!D238</f>
        <v>175256</v>
      </c>
      <c r="C1417" s="2" t="s">
        <v>569</v>
      </c>
      <c r="D1417" s="2" t="str">
        <f t="shared" si="21"/>
        <v>Error?</v>
      </c>
    </row>
    <row r="1418" spans="1:4" x14ac:dyDescent="0.2">
      <c r="A1418" s="5">
        <v>1357</v>
      </c>
      <c r="B1418" s="1714">
        <f>'Expenditures 15-22'!D240</f>
        <v>27148</v>
      </c>
      <c r="D1418" s="2" t="str">
        <f t="shared" si="21"/>
        <v>Error?</v>
      </c>
    </row>
    <row r="1419" spans="1:4" x14ac:dyDescent="0.2">
      <c r="A1419" s="5">
        <v>1358</v>
      </c>
      <c r="B1419" s="1714">
        <f>'Expenditures 15-22'!D241</f>
        <v>124495</v>
      </c>
      <c r="D1419" s="2" t="str">
        <f t="shared" si="21"/>
        <v>Error?</v>
      </c>
    </row>
    <row r="1420" spans="1:4" x14ac:dyDescent="0.2">
      <c r="A1420" s="5">
        <v>1359</v>
      </c>
      <c r="B1420" s="1714">
        <f>'Expenditures 15-22'!D242</f>
        <v>237</v>
      </c>
      <c r="D1420" s="2" t="str">
        <f t="shared" si="21"/>
        <v>Error?</v>
      </c>
    </row>
    <row r="1421" spans="1:4" x14ac:dyDescent="0.2">
      <c r="A1421" s="5">
        <v>1360</v>
      </c>
      <c r="B1421" s="1714">
        <f>'Expenditures 15-22'!D243</f>
        <v>151880</v>
      </c>
      <c r="C1421" s="2" t="s">
        <v>569</v>
      </c>
      <c r="D1421" s="2" t="str">
        <f t="shared" si="21"/>
        <v>Error?</v>
      </c>
    </row>
    <row r="1422" spans="1:4" x14ac:dyDescent="0.2">
      <c r="A1422" s="5">
        <v>1361</v>
      </c>
      <c r="B1422" s="1714">
        <f>'Expenditures 15-22'!D245</f>
        <v>0</v>
      </c>
      <c r="D1422" s="2" t="str">
        <f t="shared" si="21"/>
        <v>Error?</v>
      </c>
    </row>
    <row r="1423" spans="1:4" x14ac:dyDescent="0.2">
      <c r="A1423" s="5">
        <v>1362</v>
      </c>
      <c r="B1423" s="1714">
        <f>'Expenditures 15-22'!D246</f>
        <v>15176</v>
      </c>
      <c r="D1423" s="2" t="str">
        <f t="shared" si="21"/>
        <v>Error?</v>
      </c>
    </row>
    <row r="1424" spans="1:4" x14ac:dyDescent="0.2">
      <c r="A1424" s="5">
        <v>1363</v>
      </c>
      <c r="B1424" s="1714">
        <f>'Expenditures 15-22'!D257</f>
        <v>29876</v>
      </c>
      <c r="C1424" s="2" t="s">
        <v>569</v>
      </c>
      <c r="D1424" s="2" t="str">
        <f t="shared" si="21"/>
        <v>Error?</v>
      </c>
    </row>
    <row r="1425" spans="1:4" x14ac:dyDescent="0.2">
      <c r="A1425" s="5">
        <v>1364</v>
      </c>
      <c r="B1425" s="1714">
        <f>'Expenditures 15-22'!D259</f>
        <v>104247</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104247</v>
      </c>
      <c r="C1427" s="2" t="s">
        <v>569</v>
      </c>
      <c r="D1427" s="2" t="str">
        <f t="shared" si="21"/>
        <v>Error?</v>
      </c>
    </row>
    <row r="1428" spans="1:4" x14ac:dyDescent="0.2">
      <c r="A1428" s="5">
        <v>1367</v>
      </c>
      <c r="B1428" s="1714">
        <f>'Expenditures 15-22'!D263</f>
        <v>2379</v>
      </c>
      <c r="D1428" s="2" t="str">
        <f t="shared" si="21"/>
        <v>Error?</v>
      </c>
    </row>
    <row r="1429" spans="1:4" x14ac:dyDescent="0.2">
      <c r="A1429" s="5">
        <v>1368</v>
      </c>
      <c r="B1429" s="1714">
        <f>'Expenditures 15-22'!D264</f>
        <v>58029</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125750</v>
      </c>
      <c r="D1431" s="2" t="str">
        <f t="shared" si="21"/>
        <v>Error?</v>
      </c>
    </row>
    <row r="1432" spans="1:4" x14ac:dyDescent="0.2">
      <c r="A1432" s="5">
        <v>1371</v>
      </c>
      <c r="B1432" s="1714">
        <f>'Expenditures 15-22'!D267</f>
        <v>274944</v>
      </c>
      <c r="D1432" s="2" t="str">
        <f t="shared" si="21"/>
        <v>Error?</v>
      </c>
    </row>
    <row r="1433" spans="1:4" x14ac:dyDescent="0.2">
      <c r="A1433" s="5">
        <v>1372</v>
      </c>
      <c r="B1433" s="1714">
        <f>'Expenditures 15-22'!D268</f>
        <v>53953</v>
      </c>
      <c r="D1433" s="2" t="str">
        <f t="shared" si="21"/>
        <v>Error?</v>
      </c>
    </row>
    <row r="1434" spans="1:4" x14ac:dyDescent="0.2">
      <c r="A1434" s="5">
        <v>1373</v>
      </c>
      <c r="B1434" s="1714">
        <f>'Expenditures 15-22'!D269</f>
        <v>0</v>
      </c>
      <c r="D1434" s="2" t="str">
        <f t="shared" si="21"/>
        <v>Error?</v>
      </c>
    </row>
    <row r="1435" spans="1:4" x14ac:dyDescent="0.2">
      <c r="A1435" s="10">
        <v>1374</v>
      </c>
      <c r="B1435" s="1714"/>
      <c r="D1435" s="2" t="str">
        <f t="shared" si="21"/>
        <v>OK</v>
      </c>
    </row>
    <row r="1436" spans="1:4" x14ac:dyDescent="0.2">
      <c r="A1436" s="5">
        <v>1375</v>
      </c>
      <c r="B1436" s="1714">
        <f>'Expenditures 15-22'!D270</f>
        <v>515055</v>
      </c>
      <c r="C1436" s="2" t="s">
        <v>569</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85</v>
      </c>
      <c r="D1438" s="2" t="str">
        <f t="shared" si="21"/>
        <v>Error?</v>
      </c>
    </row>
    <row r="1439" spans="1:4" x14ac:dyDescent="0.2">
      <c r="A1439" s="5">
        <v>1378</v>
      </c>
      <c r="B1439" s="1714">
        <f>'Expenditures 15-22'!D274</f>
        <v>823</v>
      </c>
      <c r="D1439" s="2" t="str">
        <f t="shared" si="21"/>
        <v>Error?</v>
      </c>
    </row>
    <row r="1440" spans="1:4" x14ac:dyDescent="0.2">
      <c r="A1440" s="5">
        <v>1379</v>
      </c>
      <c r="B1440" s="1714">
        <f>'Expenditures 15-22'!D275</f>
        <v>11765</v>
      </c>
      <c r="D1440" s="2" t="str">
        <f t="shared" si="21"/>
        <v>Error?</v>
      </c>
    </row>
    <row r="1441" spans="1:4" x14ac:dyDescent="0.2">
      <c r="A1441" s="10">
        <v>1380</v>
      </c>
      <c r="B1441" s="1714"/>
      <c r="D1441" s="2" t="str">
        <f t="shared" si="21"/>
        <v>OK</v>
      </c>
    </row>
    <row r="1442" spans="1:4" x14ac:dyDescent="0.2">
      <c r="A1442" s="5">
        <v>1381</v>
      </c>
      <c r="B1442" s="1714">
        <f>'Expenditures 15-22'!D276</f>
        <v>2702</v>
      </c>
      <c r="D1442" s="2" t="str">
        <f t="shared" si="21"/>
        <v>Error?</v>
      </c>
    </row>
    <row r="1443" spans="1:4" x14ac:dyDescent="0.2">
      <c r="A1443" s="10">
        <v>1382</v>
      </c>
      <c r="B1443" s="1714"/>
      <c r="D1443" s="2" t="str">
        <f t="shared" si="21"/>
        <v>OK</v>
      </c>
    </row>
    <row r="1444" spans="1:4" x14ac:dyDescent="0.2">
      <c r="A1444" s="5">
        <v>1383</v>
      </c>
      <c r="B1444" s="1714">
        <f>'Expenditures 15-22'!D277</f>
        <v>15375</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991689</v>
      </c>
      <c r="C1446" s="2" t="s">
        <v>569</v>
      </c>
      <c r="D1446" s="2" t="str">
        <f t="shared" si="21"/>
        <v>Error?</v>
      </c>
    </row>
    <row r="1447" spans="1:4" x14ac:dyDescent="0.2">
      <c r="A1447" s="5">
        <v>1386</v>
      </c>
      <c r="B1447" s="1714">
        <f>'Expenditures 15-22'!D280</f>
        <v>631</v>
      </c>
      <c r="D1447" s="2" t="str">
        <f t="shared" si="21"/>
        <v>Error?</v>
      </c>
    </row>
    <row r="1448" spans="1:4" x14ac:dyDescent="0.2">
      <c r="A1448" s="5">
        <v>1387</v>
      </c>
      <c r="B1448" s="1714">
        <f>'Expenditures 15-22'!D295</f>
        <v>1529273</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0</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2720</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27</v>
      </c>
      <c r="C1470" s="2" t="s">
        <v>569</v>
      </c>
      <c r="D1470" s="2" t="str">
        <f t="shared" si="21"/>
        <v>Error?</v>
      </c>
    </row>
    <row r="1471" spans="1:4" x14ac:dyDescent="0.2">
      <c r="A1471" s="5">
        <v>1410</v>
      </c>
      <c r="B1471" s="1714">
        <f>'Expenditures 15-22'!K222</f>
        <v>14477</v>
      </c>
      <c r="C1471" s="2" t="s">
        <v>569</v>
      </c>
      <c r="D1471" s="2" t="str">
        <f t="shared" ref="D1471:D1534" si="22">IF(ISBLANK(B1471),"OK",IF(A1471-B1471=0,"OK","Error?"))</f>
        <v>Error?</v>
      </c>
    </row>
    <row r="1472" spans="1:4" x14ac:dyDescent="0.2">
      <c r="A1472" s="5">
        <v>1411</v>
      </c>
      <c r="B1472" s="1714">
        <f>'Expenditures 15-22'!K223</f>
        <v>26043</v>
      </c>
      <c r="C1472" s="2" t="s">
        <v>569</v>
      </c>
      <c r="D1472" s="2" t="str">
        <f t="shared" si="22"/>
        <v>Error?</v>
      </c>
    </row>
    <row r="1473" spans="1:4" x14ac:dyDescent="0.2">
      <c r="A1473" s="5">
        <v>1412</v>
      </c>
      <c r="B1473" s="1714">
        <f>'Expenditures 15-22'!K224</f>
        <v>801</v>
      </c>
      <c r="C1473" s="2" t="s">
        <v>569</v>
      </c>
      <c r="D1473" s="2" t="str">
        <f t="shared" si="22"/>
        <v>Error?</v>
      </c>
    </row>
    <row r="1474" spans="1:4" x14ac:dyDescent="0.2">
      <c r="A1474" s="5">
        <v>1413</v>
      </c>
      <c r="B1474" s="1714">
        <f>'Expenditures 15-22'!K229</f>
        <v>536953</v>
      </c>
      <c r="C1474" s="2" t="s">
        <v>569</v>
      </c>
      <c r="D1474" s="2" t="str">
        <f t="shared" si="22"/>
        <v>Error?</v>
      </c>
    </row>
    <row r="1475" spans="1:4" x14ac:dyDescent="0.2">
      <c r="A1475" s="5">
        <v>1414</v>
      </c>
      <c r="B1475" s="1714">
        <f>'Expenditures 15-22'!K232</f>
        <v>21910</v>
      </c>
      <c r="C1475" s="2" t="s">
        <v>569</v>
      </c>
      <c r="D1475" s="2" t="str">
        <f t="shared" si="22"/>
        <v>Error?</v>
      </c>
    </row>
    <row r="1476" spans="1:4" x14ac:dyDescent="0.2">
      <c r="A1476" s="5">
        <v>1415</v>
      </c>
      <c r="B1476" s="1714">
        <f>'Expenditures 15-22'!K233</f>
        <v>34457</v>
      </c>
      <c r="C1476" s="2" t="s">
        <v>569</v>
      </c>
      <c r="D1476" s="2" t="str">
        <f t="shared" si="22"/>
        <v>Error?</v>
      </c>
    </row>
    <row r="1477" spans="1:4" x14ac:dyDescent="0.2">
      <c r="A1477" s="5">
        <v>1416</v>
      </c>
      <c r="B1477" s="1714">
        <f>'Expenditures 15-22'!K234</f>
        <v>102116</v>
      </c>
      <c r="C1477" s="2" t="s">
        <v>569</v>
      </c>
      <c r="D1477" s="2" t="str">
        <f t="shared" si="22"/>
        <v>Error?</v>
      </c>
    </row>
    <row r="1478" spans="1:4" x14ac:dyDescent="0.2">
      <c r="A1478" s="5">
        <v>1417</v>
      </c>
      <c r="B1478" s="1714">
        <f>'Expenditures 15-22'!K235</f>
        <v>6342</v>
      </c>
      <c r="C1478" s="2" t="s">
        <v>569</v>
      </c>
      <c r="D1478" s="2" t="str">
        <f t="shared" si="22"/>
        <v>Error?</v>
      </c>
    </row>
    <row r="1479" spans="1:4" x14ac:dyDescent="0.2">
      <c r="A1479" s="5">
        <v>1418</v>
      </c>
      <c r="B1479" s="1714">
        <f>'Expenditures 15-22'!K236</f>
        <v>10431</v>
      </c>
      <c r="C1479" s="2" t="s">
        <v>569</v>
      </c>
      <c r="D1479" s="2" t="str">
        <f t="shared" si="22"/>
        <v>Error?</v>
      </c>
    </row>
    <row r="1480" spans="1:4" x14ac:dyDescent="0.2">
      <c r="A1480" s="5">
        <v>1419</v>
      </c>
      <c r="B1480" s="1714">
        <f>'Expenditures 15-22'!K237</f>
        <v>0</v>
      </c>
      <c r="C1480" s="2" t="s">
        <v>569</v>
      </c>
      <c r="D1480" s="2" t="str">
        <f t="shared" si="22"/>
        <v>Error?</v>
      </c>
    </row>
    <row r="1481" spans="1:4" x14ac:dyDescent="0.2">
      <c r="A1481" s="5">
        <v>1420</v>
      </c>
      <c r="B1481" s="1714">
        <f>'Expenditures 15-22'!K238</f>
        <v>175256</v>
      </c>
      <c r="C1481" s="2" t="s">
        <v>569</v>
      </c>
      <c r="D1481" s="2" t="str">
        <f t="shared" si="22"/>
        <v>Error?</v>
      </c>
    </row>
    <row r="1482" spans="1:4" x14ac:dyDescent="0.2">
      <c r="A1482" s="5">
        <v>1421</v>
      </c>
      <c r="B1482" s="1714">
        <f>'Expenditures 15-22'!K240</f>
        <v>27148</v>
      </c>
      <c r="C1482" s="2" t="s">
        <v>569</v>
      </c>
      <c r="D1482" s="2" t="str">
        <f t="shared" si="22"/>
        <v>Error?</v>
      </c>
    </row>
    <row r="1483" spans="1:4" x14ac:dyDescent="0.2">
      <c r="A1483" s="5">
        <v>1422</v>
      </c>
      <c r="B1483" s="1714">
        <f>'Expenditures 15-22'!K241</f>
        <v>124495</v>
      </c>
      <c r="C1483" s="2" t="s">
        <v>569</v>
      </c>
      <c r="D1483" s="2" t="str">
        <f t="shared" si="22"/>
        <v>Error?</v>
      </c>
    </row>
    <row r="1484" spans="1:4" x14ac:dyDescent="0.2">
      <c r="A1484" s="5">
        <v>1423</v>
      </c>
      <c r="B1484" s="1714">
        <f>'Expenditures 15-22'!K242</f>
        <v>237</v>
      </c>
      <c r="C1484" s="2" t="s">
        <v>569</v>
      </c>
      <c r="D1484" s="2" t="str">
        <f t="shared" si="22"/>
        <v>Error?</v>
      </c>
    </row>
    <row r="1485" spans="1:4" x14ac:dyDescent="0.2">
      <c r="A1485" s="5">
        <v>1424</v>
      </c>
      <c r="B1485" s="1714">
        <f>'Expenditures 15-22'!K243</f>
        <v>151880</v>
      </c>
      <c r="C1485" s="2" t="s">
        <v>569</v>
      </c>
      <c r="D1485" s="2" t="str">
        <f t="shared" si="22"/>
        <v>Error?</v>
      </c>
    </row>
    <row r="1486" spans="1:4" x14ac:dyDescent="0.2">
      <c r="A1486" s="5">
        <v>1425</v>
      </c>
      <c r="B1486" s="1714">
        <f>'Expenditures 15-22'!K245</f>
        <v>0</v>
      </c>
      <c r="C1486" s="2" t="s">
        <v>569</v>
      </c>
      <c r="D1486" s="2" t="str">
        <f t="shared" si="22"/>
        <v>Error?</v>
      </c>
    </row>
    <row r="1487" spans="1:4" x14ac:dyDescent="0.2">
      <c r="A1487" s="5">
        <v>1426</v>
      </c>
      <c r="B1487" s="1714">
        <f>'Expenditures 15-22'!K246</f>
        <v>15176</v>
      </c>
      <c r="C1487" s="2" t="s">
        <v>569</v>
      </c>
      <c r="D1487" s="2" t="str">
        <f t="shared" si="22"/>
        <v>Error?</v>
      </c>
    </row>
    <row r="1488" spans="1:4" x14ac:dyDescent="0.2">
      <c r="A1488" s="5">
        <v>1427</v>
      </c>
      <c r="B1488" s="1714">
        <f>'Expenditures 15-22'!K257</f>
        <v>29876</v>
      </c>
      <c r="C1488" s="2" t="s">
        <v>569</v>
      </c>
      <c r="D1488" s="2" t="str">
        <f t="shared" si="22"/>
        <v>Error?</v>
      </c>
    </row>
    <row r="1489" spans="1:4" x14ac:dyDescent="0.2">
      <c r="A1489" s="5">
        <v>1428</v>
      </c>
      <c r="B1489" s="1714">
        <f>'Expenditures 15-22'!K259</f>
        <v>104247</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104247</v>
      </c>
      <c r="C1491" s="2" t="s">
        <v>569</v>
      </c>
      <c r="D1491" s="2" t="str">
        <f t="shared" si="22"/>
        <v>Error?</v>
      </c>
    </row>
    <row r="1492" spans="1:4" x14ac:dyDescent="0.2">
      <c r="A1492" s="5">
        <v>1431</v>
      </c>
      <c r="B1492" s="1714">
        <f>'Expenditures 15-22'!K263</f>
        <v>2379</v>
      </c>
      <c r="C1492" s="2" t="s">
        <v>569</v>
      </c>
      <c r="D1492" s="2" t="str">
        <f t="shared" si="22"/>
        <v>Error?</v>
      </c>
    </row>
    <row r="1493" spans="1:4" x14ac:dyDescent="0.2">
      <c r="A1493" s="5">
        <v>1432</v>
      </c>
      <c r="B1493" s="1714">
        <f>'Expenditures 15-22'!K264</f>
        <v>58029</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125750</v>
      </c>
      <c r="C1495" s="2" t="s">
        <v>569</v>
      </c>
      <c r="D1495" s="2" t="str">
        <f t="shared" si="22"/>
        <v>Error?</v>
      </c>
    </row>
    <row r="1496" spans="1:4" x14ac:dyDescent="0.2">
      <c r="A1496" s="5">
        <v>1435</v>
      </c>
      <c r="B1496" s="1714">
        <f>'Expenditures 15-22'!K267</f>
        <v>274944</v>
      </c>
      <c r="C1496" s="2" t="s">
        <v>569</v>
      </c>
      <c r="D1496" s="2" t="str">
        <f t="shared" si="22"/>
        <v>Error?</v>
      </c>
    </row>
    <row r="1497" spans="1:4" x14ac:dyDescent="0.2">
      <c r="A1497" s="5">
        <v>1436</v>
      </c>
      <c r="B1497" s="1714">
        <f>'Expenditures 15-22'!K268</f>
        <v>53953</v>
      </c>
      <c r="C1497" s="2" t="s">
        <v>569</v>
      </c>
      <c r="D1497" s="2" t="str">
        <f t="shared" si="22"/>
        <v>Error?</v>
      </c>
    </row>
    <row r="1498" spans="1:4" x14ac:dyDescent="0.2">
      <c r="A1498" s="5">
        <v>1437</v>
      </c>
      <c r="B1498" s="1714">
        <f>'Expenditures 15-22'!K269</f>
        <v>0</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515055</v>
      </c>
      <c r="C1500" s="2" t="s">
        <v>569</v>
      </c>
      <c r="D1500" s="2" t="str">
        <f t="shared" si="22"/>
        <v>Error?</v>
      </c>
    </row>
    <row r="1501" spans="1:4" x14ac:dyDescent="0.2">
      <c r="A1501" s="5">
        <v>1440</v>
      </c>
      <c r="B1501" s="1714">
        <f>'Expenditures 15-22'!K272</f>
        <v>0</v>
      </c>
      <c r="C1501" s="2" t="s">
        <v>569</v>
      </c>
      <c r="D1501" s="2" t="str">
        <f t="shared" si="22"/>
        <v>Error?</v>
      </c>
    </row>
    <row r="1502" spans="1:4" x14ac:dyDescent="0.2">
      <c r="A1502" s="5">
        <v>1441</v>
      </c>
      <c r="B1502" s="1714">
        <f>'Expenditures 15-22'!K273</f>
        <v>85</v>
      </c>
      <c r="C1502" s="2" t="s">
        <v>569</v>
      </c>
      <c r="D1502" s="2" t="str">
        <f t="shared" si="22"/>
        <v>Error?</v>
      </c>
    </row>
    <row r="1503" spans="1:4" x14ac:dyDescent="0.2">
      <c r="A1503" s="5">
        <v>1442</v>
      </c>
      <c r="B1503" s="1714">
        <f>'Expenditures 15-22'!K274</f>
        <v>823</v>
      </c>
      <c r="C1503" s="2" t="s">
        <v>569</v>
      </c>
      <c r="D1503" s="2" t="str">
        <f t="shared" si="22"/>
        <v>Error?</v>
      </c>
    </row>
    <row r="1504" spans="1:4" x14ac:dyDescent="0.2">
      <c r="A1504" s="5">
        <v>1443</v>
      </c>
      <c r="B1504" s="1714">
        <f>'Expenditures 15-22'!K275</f>
        <v>11765</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2702</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15375</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991689</v>
      </c>
      <c r="C1510" s="2" t="s">
        <v>569</v>
      </c>
      <c r="D1510" s="2" t="str">
        <f t="shared" si="22"/>
        <v>Error?</v>
      </c>
    </row>
    <row r="1511" spans="1:4" x14ac:dyDescent="0.2">
      <c r="A1511" s="5">
        <v>1450</v>
      </c>
      <c r="B1511" s="1714">
        <f>'Expenditures 15-22'!K280</f>
        <v>631</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1529273</v>
      </c>
      <c r="C1517" s="2" t="s">
        <v>569</v>
      </c>
      <c r="D1517" s="2" t="str">
        <f t="shared" si="22"/>
        <v>Error?</v>
      </c>
    </row>
    <row r="1518" spans="1:4" x14ac:dyDescent="0.2">
      <c r="A1518" s="5">
        <v>1457</v>
      </c>
      <c r="B1518" s="1714">
        <f>'Expenditures 15-22'!K296</f>
        <v>-93374</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569</v>
      </c>
      <c r="D1535" s="2" t="str">
        <f t="shared" ref="D1535:D1598" si="23">IF(ISBLANK(B1535),"OK",IF(A1535-B1535=0,"OK","Error?"))</f>
        <v>Error?</v>
      </c>
    </row>
    <row r="1536" spans="1:4" x14ac:dyDescent="0.2">
      <c r="A1536" s="5">
        <v>1475</v>
      </c>
      <c r="B1536" s="1714">
        <f>'Expenditures 15-22'!E312</f>
        <v>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0</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0</v>
      </c>
      <c r="C1547" s="2" t="s">
        <v>569</v>
      </c>
      <c r="D1547" s="2" t="str">
        <f t="shared" si="23"/>
        <v>Error?</v>
      </c>
    </row>
    <row r="1548" spans="1:4" x14ac:dyDescent="0.2">
      <c r="A1548" s="5">
        <v>1487</v>
      </c>
      <c r="B1548" s="1714">
        <f>'Expenditures 15-22'!G312</f>
        <v>0</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0</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0</v>
      </c>
      <c r="C1559" s="2" t="s">
        <v>569</v>
      </c>
      <c r="D1559" s="2" t="str">
        <f t="shared" si="23"/>
        <v>Error?</v>
      </c>
    </row>
    <row r="1560" spans="1:4" x14ac:dyDescent="0.2">
      <c r="A1560" s="5">
        <v>1499</v>
      </c>
      <c r="B1560" s="1714">
        <f>'Expenditures 15-22'!K312</f>
        <v>0</v>
      </c>
      <c r="C1560" s="2" t="s">
        <v>569</v>
      </c>
      <c r="D1560" s="2" t="str">
        <f t="shared" si="23"/>
        <v>Error?</v>
      </c>
    </row>
    <row r="1561" spans="1:4" x14ac:dyDescent="0.2">
      <c r="A1561" s="5">
        <v>1500</v>
      </c>
      <c r="B1561" s="1714">
        <f>'Expenditures 15-22'!K313</f>
        <v>0</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3909485</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3530524</v>
      </c>
      <c r="C1630" s="2" t="s">
        <v>569</v>
      </c>
      <c r="D1630" s="2" t="str">
        <f t="shared" si="24"/>
        <v>Error?</v>
      </c>
    </row>
    <row r="1631" spans="1:4" x14ac:dyDescent="0.2">
      <c r="A1631" s="5">
        <v>1570</v>
      </c>
      <c r="B1631" s="1714">
        <f>'Acct Summary 7-8'!D79</f>
        <v>3608858</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4345290</v>
      </c>
      <c r="C1644" s="2" t="s">
        <v>569</v>
      </c>
      <c r="D1644" s="2" t="str">
        <f t="shared" si="24"/>
        <v>Error?</v>
      </c>
    </row>
    <row r="1645" spans="1:4" x14ac:dyDescent="0.2">
      <c r="A1645" s="5">
        <v>1584</v>
      </c>
      <c r="B1645" s="1714">
        <f>'Acct Summary 7-8'!E79</f>
        <v>993743</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1124036</v>
      </c>
      <c r="C1658" s="2" t="s">
        <v>569</v>
      </c>
      <c r="D1658" s="2" t="str">
        <f t="shared" si="24"/>
        <v>Error?</v>
      </c>
    </row>
    <row r="1659" spans="1:4" x14ac:dyDescent="0.2">
      <c r="A1659" s="5">
        <v>1598</v>
      </c>
      <c r="B1659" s="1714">
        <f>'Acct Summary 7-8'!F79</f>
        <v>2488691</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3128234</v>
      </c>
      <c r="C1672" s="2" t="s">
        <v>569</v>
      </c>
      <c r="D1672" s="2" t="str">
        <f t="shared" si="25"/>
        <v>Error?</v>
      </c>
    </row>
    <row r="1673" spans="1:4" x14ac:dyDescent="0.2">
      <c r="A1673" s="5">
        <v>1612</v>
      </c>
      <c r="B1673" s="1714">
        <f>'Acct Summary 7-8'!G79</f>
        <v>1196134</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1102760</v>
      </c>
      <c r="C1686" s="2" t="s">
        <v>569</v>
      </c>
      <c r="D1686" s="2" t="str">
        <f t="shared" si="25"/>
        <v>Error?</v>
      </c>
    </row>
    <row r="1687" spans="1:4" x14ac:dyDescent="0.2">
      <c r="A1687" s="5">
        <v>1626</v>
      </c>
      <c r="B1687" s="1714">
        <f>'Acct Summary 7-8'!H79</f>
        <v>0</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0</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33174511</v>
      </c>
      <c r="C1744" s="2" t="s">
        <v>569</v>
      </c>
      <c r="D1744" s="2" t="str">
        <f t="shared" si="26"/>
        <v>Error?</v>
      </c>
    </row>
    <row r="1745" spans="1:5" x14ac:dyDescent="0.2">
      <c r="A1745" s="5">
        <v>1684</v>
      </c>
      <c r="B1745" s="1714">
        <f>'Tax Sched 23'!B5</f>
        <v>5688502</v>
      </c>
      <c r="C1745" s="2" t="s">
        <v>569</v>
      </c>
      <c r="D1745" s="2" t="str">
        <f t="shared" si="26"/>
        <v>Error?</v>
      </c>
    </row>
    <row r="1746" spans="1:5" x14ac:dyDescent="0.2">
      <c r="A1746" s="5">
        <v>1685</v>
      </c>
      <c r="B1746" s="1714">
        <f>'Tax Sched 23'!B6</f>
        <v>11756470</v>
      </c>
      <c r="C1746" s="2" t="s">
        <v>569</v>
      </c>
      <c r="D1746" s="2" t="str">
        <f t="shared" si="26"/>
        <v>Error?</v>
      </c>
    </row>
    <row r="1747" spans="1:5" x14ac:dyDescent="0.2">
      <c r="A1747" s="5">
        <v>1686</v>
      </c>
      <c r="B1747" s="1714">
        <f>'Tax Sched 23'!B7</f>
        <v>1569229</v>
      </c>
      <c r="C1747" s="2" t="s">
        <v>569</v>
      </c>
      <c r="D1747" s="2" t="str">
        <f t="shared" si="26"/>
        <v>Error?</v>
      </c>
    </row>
    <row r="1748" spans="1:5" x14ac:dyDescent="0.2">
      <c r="A1748" s="5">
        <v>1687</v>
      </c>
      <c r="B1748" s="1714">
        <f>'Tax Sched 23'!B8</f>
        <v>490386</v>
      </c>
      <c r="C1748" s="2" t="s">
        <v>569</v>
      </c>
      <c r="D1748" s="2" t="str">
        <f t="shared" si="26"/>
        <v>Error?</v>
      </c>
    </row>
    <row r="1749" spans="1:5" x14ac:dyDescent="0.2">
      <c r="A1749" s="5">
        <v>1688</v>
      </c>
      <c r="B1749" s="1714">
        <f>'Tax Sched 23'!B10</f>
        <v>98091</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0</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4217297</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57828140</v>
      </c>
      <c r="C1759" s="2" t="s">
        <v>569</v>
      </c>
      <c r="D1759" s="2" t="str">
        <f t="shared" si="26"/>
        <v>Error?</v>
      </c>
    </row>
    <row r="1760" spans="1:5" x14ac:dyDescent="0.2">
      <c r="A1760" s="5">
        <v>1699</v>
      </c>
      <c r="B1760" s="1714">
        <f>'Tax Sched 23'!D4</f>
        <v>18880240</v>
      </c>
      <c r="C1760" s="2" t="s">
        <v>569</v>
      </c>
      <c r="D1760" s="2" t="str">
        <f t="shared" si="26"/>
        <v>Error?</v>
      </c>
    </row>
    <row r="1761" spans="1:7" x14ac:dyDescent="0.2">
      <c r="A1761" s="5">
        <v>1700</v>
      </c>
      <c r="B1761" s="1714">
        <f>'Tax Sched 23'!D5</f>
        <v>3278894</v>
      </c>
      <c r="C1761" s="2" t="s">
        <v>569</v>
      </c>
      <c r="D1761" s="2" t="str">
        <f t="shared" si="26"/>
        <v>Error?</v>
      </c>
    </row>
    <row r="1762" spans="1:7" s="8" customFormat="1" x14ac:dyDescent="0.2">
      <c r="A1762" s="5">
        <v>1701</v>
      </c>
      <c r="B1762" s="1714">
        <f>'Tax Sched 23'!D6</f>
        <v>6651814</v>
      </c>
      <c r="C1762" s="2" t="s">
        <v>569</v>
      </c>
      <c r="D1762" s="2" t="str">
        <f t="shared" si="26"/>
        <v>Error?</v>
      </c>
      <c r="E1762" s="9"/>
      <c r="G1762"/>
    </row>
    <row r="1763" spans="1:7" x14ac:dyDescent="0.2">
      <c r="A1763" s="5">
        <v>1702</v>
      </c>
      <c r="B1763" s="1714">
        <f>'Tax Sched 23'!D7</f>
        <v>834092</v>
      </c>
      <c r="C1763" s="2" t="s">
        <v>569</v>
      </c>
      <c r="D1763" s="2" t="str">
        <f t="shared" si="26"/>
        <v>Error?</v>
      </c>
    </row>
    <row r="1764" spans="1:7" x14ac:dyDescent="0.2">
      <c r="A1764" s="5">
        <v>1703</v>
      </c>
      <c r="B1764" s="1714">
        <f>'Tax Sched 23'!D8</f>
        <v>265760</v>
      </c>
      <c r="C1764" s="2" t="s">
        <v>569</v>
      </c>
      <c r="D1764" s="2" t="str">
        <f t="shared" si="26"/>
        <v>Error?</v>
      </c>
    </row>
    <row r="1765" spans="1:7" x14ac:dyDescent="0.2">
      <c r="A1765" s="5">
        <v>1704</v>
      </c>
      <c r="B1765" s="1714">
        <f>'Tax Sched 23'!D10</f>
        <v>57247</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0</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2438678</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32872810</v>
      </c>
      <c r="C1775" s="2" t="s">
        <v>569</v>
      </c>
      <c r="D1775" s="2" t="str">
        <f t="shared" si="26"/>
        <v>Error?</v>
      </c>
    </row>
    <row r="1776" spans="1:7" x14ac:dyDescent="0.2">
      <c r="A1776" s="5">
        <v>1715</v>
      </c>
      <c r="B1776" s="1714">
        <f>'Tax Sched 23'!C4</f>
        <v>14294271</v>
      </c>
      <c r="D1776" s="2" t="str">
        <f t="shared" si="26"/>
        <v>Error?</v>
      </c>
    </row>
    <row r="1777" spans="1:4" x14ac:dyDescent="0.2">
      <c r="A1777" s="5">
        <v>1716</v>
      </c>
      <c r="B1777" s="1714">
        <f>'Tax Sched 23'!C5</f>
        <v>2409608</v>
      </c>
      <c r="D1777" s="2" t="str">
        <f t="shared" si="26"/>
        <v>Error?</v>
      </c>
    </row>
    <row r="1778" spans="1:4" x14ac:dyDescent="0.2">
      <c r="A1778" s="5">
        <v>1717</v>
      </c>
      <c r="B1778" s="1714">
        <f>'Tax Sched 23'!C6</f>
        <v>5104656</v>
      </c>
      <c r="D1778" s="2" t="str">
        <f t="shared" si="26"/>
        <v>Error?</v>
      </c>
    </row>
    <row r="1779" spans="1:4" x14ac:dyDescent="0.2">
      <c r="A1779" s="5">
        <v>1718</v>
      </c>
      <c r="B1779" s="1714">
        <f>'Tax Sched 23'!C7</f>
        <v>735137</v>
      </c>
      <c r="D1779" s="2" t="str">
        <f t="shared" si="26"/>
        <v>Error?</v>
      </c>
    </row>
    <row r="1780" spans="1:4" x14ac:dyDescent="0.2">
      <c r="A1780" s="5">
        <v>1719</v>
      </c>
      <c r="B1780" s="1714">
        <f>'Tax Sched 23'!C8</f>
        <v>224626</v>
      </c>
      <c r="D1780" s="2" t="str">
        <f t="shared" si="26"/>
        <v>Error?</v>
      </c>
    </row>
    <row r="1781" spans="1:4" x14ac:dyDescent="0.2">
      <c r="A1781" s="5">
        <v>1720</v>
      </c>
      <c r="B1781" s="1714">
        <f>'Tax Sched 23'!C10</f>
        <v>40844</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0</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1778619</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24955330</v>
      </c>
      <c r="C1791" s="2" t="s">
        <v>569</v>
      </c>
      <c r="D1791" s="2" t="str">
        <f t="shared" ref="D1791:D1854" si="27">IF(ISBLANK(B1791),"OK",IF(A1791-B1791=0,"OK","Error?"))</f>
        <v>Error?</v>
      </c>
    </row>
    <row r="1792" spans="1:4" x14ac:dyDescent="0.2">
      <c r="A1792" s="5">
        <v>1731</v>
      </c>
      <c r="B1792" s="1714">
        <f>'Tax Sched 23'!F4</f>
        <v>20073828</v>
      </c>
      <c r="C1792" s="2" t="s">
        <v>569</v>
      </c>
      <c r="D1792" s="2" t="str">
        <f t="shared" si="27"/>
        <v>Error?</v>
      </c>
    </row>
    <row r="1793" spans="1:4" x14ac:dyDescent="0.2">
      <c r="A1793" s="5">
        <v>1732</v>
      </c>
      <c r="B1793" s="1714">
        <f>'Tax Sched 23'!F5</f>
        <v>3383875</v>
      </c>
      <c r="C1793" s="2" t="s">
        <v>569</v>
      </c>
      <c r="D1793" s="2" t="str">
        <f t="shared" si="27"/>
        <v>Error?</v>
      </c>
    </row>
    <row r="1794" spans="1:4" x14ac:dyDescent="0.2">
      <c r="A1794" s="5">
        <v>1733</v>
      </c>
      <c r="B1794" s="1714">
        <f>'Tax Sched 23'!F6</f>
        <v>7168603</v>
      </c>
      <c r="C1794" s="2" t="s">
        <v>569</v>
      </c>
      <c r="D1794" s="2" t="str">
        <f t="shared" si="27"/>
        <v>Error?</v>
      </c>
    </row>
    <row r="1795" spans="1:4" x14ac:dyDescent="0.2">
      <c r="A1795" s="5">
        <v>1734</v>
      </c>
      <c r="B1795" s="1714">
        <f>'Tax Sched 23'!F7</f>
        <v>1032372</v>
      </c>
      <c r="C1795" s="2" t="s">
        <v>569</v>
      </c>
      <c r="D1795" s="2" t="str">
        <f t="shared" si="27"/>
        <v>Error?</v>
      </c>
    </row>
    <row r="1796" spans="1:4" x14ac:dyDescent="0.2">
      <c r="A1796" s="5">
        <v>1735</v>
      </c>
      <c r="B1796" s="1714">
        <f>'Tax Sched 23'!F8</f>
        <v>315447</v>
      </c>
      <c r="C1796" s="2" t="s">
        <v>569</v>
      </c>
      <c r="D1796" s="2" t="str">
        <f t="shared" si="27"/>
        <v>Error?</v>
      </c>
    </row>
    <row r="1797" spans="1:4" x14ac:dyDescent="0.2">
      <c r="A1797" s="5">
        <v>1736</v>
      </c>
      <c r="B1797" s="1714">
        <f>'Tax Sched 23'!F10</f>
        <v>57356</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0</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2497761</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35045428</v>
      </c>
      <c r="C1807" s="2" t="s">
        <v>569</v>
      </c>
      <c r="D1807" s="2" t="str">
        <f t="shared" si="27"/>
        <v>Error?</v>
      </c>
    </row>
    <row r="1808" spans="1:4" x14ac:dyDescent="0.2">
      <c r="A1808" s="5">
        <v>1747</v>
      </c>
      <c r="B1808" s="1714">
        <f>'Tax Sched 23'!E4</f>
        <v>34368099</v>
      </c>
      <c r="D1808" s="2" t="str">
        <f t="shared" si="27"/>
        <v>Error?</v>
      </c>
    </row>
    <row r="1809" spans="1:4" x14ac:dyDescent="0.2">
      <c r="A1809" s="5">
        <v>1748</v>
      </c>
      <c r="B1809" s="1714">
        <f>'Tax Sched 23'!E5</f>
        <v>5793483</v>
      </c>
      <c r="D1809" s="2" t="str">
        <f t="shared" si="27"/>
        <v>Error?</v>
      </c>
    </row>
    <row r="1810" spans="1:4" x14ac:dyDescent="0.2">
      <c r="A1810" s="5">
        <v>1749</v>
      </c>
      <c r="B1810" s="1714">
        <f>'Tax Sched 23'!E6</f>
        <v>12273259</v>
      </c>
      <c r="D1810" s="2" t="str">
        <f t="shared" si="27"/>
        <v>Error?</v>
      </c>
    </row>
    <row r="1811" spans="1:4" x14ac:dyDescent="0.2">
      <c r="A1811" s="5">
        <v>1750</v>
      </c>
      <c r="B1811" s="1714">
        <f>'Tax Sched 23'!E7</f>
        <v>1767509</v>
      </c>
      <c r="D1811" s="2" t="str">
        <f t="shared" si="27"/>
        <v>Error?</v>
      </c>
    </row>
    <row r="1812" spans="1:4" x14ac:dyDescent="0.2">
      <c r="A1812" s="5">
        <v>1751</v>
      </c>
      <c r="B1812" s="1714">
        <f>'Tax Sched 23'!E8</f>
        <v>540073</v>
      </c>
      <c r="D1812" s="2" t="str">
        <f t="shared" si="27"/>
        <v>Error?</v>
      </c>
    </row>
    <row r="1813" spans="1:4" x14ac:dyDescent="0.2">
      <c r="A1813" s="5">
        <v>1752</v>
      </c>
      <c r="B1813" s="1714">
        <f>'Tax Sched 23'!E10</f>
        <v>98200</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0</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4276380</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60000758</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94393070</v>
      </c>
      <c r="C1939" s="2" t="s">
        <v>569</v>
      </c>
      <c r="D1939" s="2" t="str">
        <f t="shared" si="29"/>
        <v>Error?</v>
      </c>
    </row>
    <row r="1940" spans="1:5" x14ac:dyDescent="0.2">
      <c r="A1940" s="5">
        <v>1879</v>
      </c>
      <c r="B1940" s="1714">
        <f>'Short-Term Long-Term Debt 24'!F49</f>
        <v>0</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4217297</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4217297</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4217297</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6156988</v>
      </c>
      <c r="D2008" s="2" t="str">
        <f t="shared" si="30"/>
        <v>Error?</v>
      </c>
    </row>
    <row r="2009" spans="1:4" x14ac:dyDescent="0.2">
      <c r="A2009" s="5">
        <v>1948</v>
      </c>
      <c r="B2009" s="1714">
        <f>'Cap Outlay Deprec 26'!C8</f>
        <v>133151983</v>
      </c>
      <c r="D2009" s="2" t="str">
        <f t="shared" si="30"/>
        <v>Error?</v>
      </c>
    </row>
    <row r="2010" spans="1:4" x14ac:dyDescent="0.2">
      <c r="A2010" s="5">
        <v>1949</v>
      </c>
      <c r="B2010" s="1714">
        <f>'Cap Outlay Deprec 26'!C10</f>
        <v>9666533</v>
      </c>
      <c r="D2010" s="2" t="str">
        <f t="shared" si="30"/>
        <v>Error?</v>
      </c>
    </row>
    <row r="2011" spans="1:4" x14ac:dyDescent="0.2">
      <c r="A2011" s="5">
        <v>1950</v>
      </c>
      <c r="B2011" s="1714">
        <f>'Cap Outlay Deprec 26'!C12</f>
        <v>18489188</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167464692</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0</v>
      </c>
      <c r="D2015" s="2" t="str">
        <f t="shared" si="30"/>
        <v>Error?</v>
      </c>
    </row>
    <row r="2016" spans="1:4" x14ac:dyDescent="0.2">
      <c r="A2016" s="5">
        <v>1955</v>
      </c>
      <c r="B2016" s="1714">
        <f>'Cap Outlay Deprec 26'!D10</f>
        <v>0</v>
      </c>
      <c r="D2016" s="2" t="str">
        <f t="shared" si="30"/>
        <v>Error?</v>
      </c>
    </row>
    <row r="2017" spans="1:4" x14ac:dyDescent="0.2">
      <c r="A2017" s="5">
        <v>1956</v>
      </c>
      <c r="B2017" s="1714">
        <f>'Cap Outlay Deprec 26'!D12</f>
        <v>151882</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151882</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0</v>
      </c>
      <c r="C2025" s="2" t="s">
        <v>569</v>
      </c>
      <c r="D2025" s="2" t="str">
        <f t="shared" si="30"/>
        <v>Error?</v>
      </c>
    </row>
    <row r="2026" spans="1:4" x14ac:dyDescent="0.2">
      <c r="A2026" s="5">
        <v>1965</v>
      </c>
      <c r="B2026" s="1714">
        <f>'Cap Outlay Deprec 26'!F5</f>
        <v>6156988</v>
      </c>
      <c r="C2026" s="2" t="s">
        <v>569</v>
      </c>
      <c r="D2026" s="2" t="str">
        <f t="shared" si="30"/>
        <v>Error?</v>
      </c>
    </row>
    <row r="2027" spans="1:4" x14ac:dyDescent="0.2">
      <c r="A2027" s="5">
        <v>1966</v>
      </c>
      <c r="B2027" s="1714">
        <f>'Cap Outlay Deprec 26'!F8</f>
        <v>133151983</v>
      </c>
      <c r="C2027" s="2" t="s">
        <v>569</v>
      </c>
      <c r="D2027" s="2" t="str">
        <f t="shared" si="30"/>
        <v>Error?</v>
      </c>
    </row>
    <row r="2028" spans="1:4" x14ac:dyDescent="0.2">
      <c r="A2028" s="5">
        <v>1967</v>
      </c>
      <c r="B2028" s="1714">
        <f>'Cap Outlay Deprec 26'!F10</f>
        <v>9666533</v>
      </c>
      <c r="C2028" s="2" t="s">
        <v>569</v>
      </c>
      <c r="D2028" s="2" t="str">
        <f t="shared" si="30"/>
        <v>Error?</v>
      </c>
    </row>
    <row r="2029" spans="1:4" x14ac:dyDescent="0.2">
      <c r="A2029" s="5">
        <v>1968</v>
      </c>
      <c r="B2029" s="1714">
        <f>'Cap Outlay Deprec 26'!F12</f>
        <v>18641070</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167616574</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53648551</v>
      </c>
      <c r="D2033" s="2" t="str">
        <f t="shared" si="30"/>
        <v>Error?</v>
      </c>
    </row>
    <row r="2034" spans="1:4" x14ac:dyDescent="0.2">
      <c r="A2034" s="5">
        <v>1973</v>
      </c>
      <c r="B2034" s="1714">
        <f>'Cap Outlay Deprec 26'!H10</f>
        <v>7789380</v>
      </c>
      <c r="D2034" s="2" t="str">
        <f t="shared" si="30"/>
        <v>Error?</v>
      </c>
    </row>
    <row r="2035" spans="1:4" x14ac:dyDescent="0.2">
      <c r="A2035" s="5">
        <v>1974</v>
      </c>
      <c r="B2035" s="1714">
        <f>'Cap Outlay Deprec 26'!H12</f>
        <v>14556107</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75994038</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3280104</v>
      </c>
      <c r="D2039" s="2" t="str">
        <f t="shared" si="30"/>
        <v>Error?</v>
      </c>
    </row>
    <row r="2040" spans="1:4" x14ac:dyDescent="0.2">
      <c r="A2040" s="5">
        <v>1979</v>
      </c>
      <c r="B2040" s="1714">
        <f>'Cap Outlay Deprec 26'!I10</f>
        <v>238063</v>
      </c>
      <c r="D2040" s="2" t="str">
        <f t="shared" si="30"/>
        <v>Error?</v>
      </c>
    </row>
    <row r="2041" spans="1:4" x14ac:dyDescent="0.2">
      <c r="A2041" s="5">
        <v>1980</v>
      </c>
      <c r="B2041" s="1714">
        <f>'Cap Outlay Deprec 26'!I12</f>
        <v>1182784</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4700951</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56928655</v>
      </c>
      <c r="C2051" s="2" t="s">
        <v>569</v>
      </c>
      <c r="D2051" s="2" t="str">
        <f t="shared" si="31"/>
        <v>Error?</v>
      </c>
    </row>
    <row r="2052" spans="1:4" x14ac:dyDescent="0.2">
      <c r="A2052" s="5">
        <v>1991</v>
      </c>
      <c r="B2052" s="1714">
        <f>'Cap Outlay Deprec 26'!K10</f>
        <v>8027443</v>
      </c>
      <c r="C2052" s="2" t="s">
        <v>569</v>
      </c>
      <c r="D2052" s="2" t="str">
        <f t="shared" si="31"/>
        <v>Error?</v>
      </c>
    </row>
    <row r="2053" spans="1:4" x14ac:dyDescent="0.2">
      <c r="A2053" s="5">
        <v>1992</v>
      </c>
      <c r="B2053" s="1714">
        <f>'Cap Outlay Deprec 26'!K12</f>
        <v>15738891</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80694989</v>
      </c>
      <c r="C2055" s="2" t="s">
        <v>569</v>
      </c>
      <c r="D2055" s="2" t="str">
        <f t="shared" si="31"/>
        <v>Error?</v>
      </c>
    </row>
    <row r="2056" spans="1:4" x14ac:dyDescent="0.2">
      <c r="A2056" s="5">
        <v>1995</v>
      </c>
      <c r="B2056" s="1714">
        <f>'Cap Outlay Deprec 26'!L5</f>
        <v>6156988</v>
      </c>
      <c r="C2056" s="2" t="s">
        <v>569</v>
      </c>
      <c r="D2056" s="2" t="str">
        <f t="shared" si="31"/>
        <v>Error?</v>
      </c>
    </row>
    <row r="2057" spans="1:4" x14ac:dyDescent="0.2">
      <c r="A2057" s="5">
        <v>1996</v>
      </c>
      <c r="B2057" s="1714">
        <f>'Cap Outlay Deprec 26'!L8</f>
        <v>76223328</v>
      </c>
      <c r="C2057" s="2" t="s">
        <v>569</v>
      </c>
      <c r="D2057" s="2" t="str">
        <f t="shared" si="31"/>
        <v>Error?</v>
      </c>
    </row>
    <row r="2058" spans="1:4" x14ac:dyDescent="0.2">
      <c r="A2058" s="5">
        <v>1997</v>
      </c>
      <c r="B2058" s="1714">
        <f>'Cap Outlay Deprec 26'!L10</f>
        <v>1639090</v>
      </c>
      <c r="C2058" s="2" t="s">
        <v>569</v>
      </c>
      <c r="D2058" s="2" t="str">
        <f t="shared" si="31"/>
        <v>Error?</v>
      </c>
    </row>
    <row r="2059" spans="1:4" x14ac:dyDescent="0.2">
      <c r="A2059" s="5">
        <v>1998</v>
      </c>
      <c r="B2059" s="1714">
        <f>'Cap Outlay Deprec 26'!L12</f>
        <v>2902179</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86921585</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2888857</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2988798</v>
      </c>
      <c r="C2088" s="2" t="s">
        <v>569</v>
      </c>
      <c r="D2088" s="2" t="str">
        <f t="shared" si="31"/>
        <v>Error?</v>
      </c>
    </row>
    <row r="2089" spans="1:4" x14ac:dyDescent="0.2">
      <c r="A2089" s="5">
        <v>2028</v>
      </c>
      <c r="B2089" s="1714">
        <f>'Expenditures 15-22'!K92</f>
        <v>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0</v>
      </c>
      <c r="D2435" s="2" t="str">
        <f t="shared" si="37"/>
        <v>Error?</v>
      </c>
    </row>
    <row r="2436" spans="1:4" x14ac:dyDescent="0.2">
      <c r="A2436" s="10">
        <v>2375</v>
      </c>
      <c r="B2436" s="1714"/>
      <c r="D2436" s="2" t="str">
        <f t="shared" si="37"/>
        <v>OK</v>
      </c>
    </row>
    <row r="2437" spans="1:4" x14ac:dyDescent="0.2">
      <c r="A2437" s="5">
        <v>2376</v>
      </c>
      <c r="B2437" s="1714">
        <f>'Assets-Liab 5-6'!D38</f>
        <v>4006940</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3128234</v>
      </c>
      <c r="D2475" s="2" t="str">
        <f t="shared" si="37"/>
        <v>Error?</v>
      </c>
    </row>
    <row r="2476" spans="1:4" x14ac:dyDescent="0.2">
      <c r="A2476" s="10">
        <v>2415</v>
      </c>
      <c r="B2476" s="1714"/>
      <c r="D2476" s="2" t="str">
        <f t="shared" si="37"/>
        <v>OK</v>
      </c>
    </row>
    <row r="2477" spans="1:4" x14ac:dyDescent="0.2">
      <c r="A2477" s="5">
        <v>2416</v>
      </c>
      <c r="B2477" s="1714">
        <f>'Assets-Liab 5-6'!G38</f>
        <v>1102760</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1124036</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0</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40546784</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7694320</v>
      </c>
      <c r="C2553" s="2" t="s">
        <v>569</v>
      </c>
      <c r="D2553" s="2" t="str">
        <f t="shared" si="38"/>
        <v>Error?</v>
      </c>
    </row>
    <row r="2554" spans="1:4" x14ac:dyDescent="0.2">
      <c r="A2554" s="5">
        <v>2493</v>
      </c>
      <c r="B2554" s="1714">
        <f>'Acct Summary 7-8'!C7</f>
        <v>1432359</v>
      </c>
      <c r="C2554" s="2" t="s">
        <v>569</v>
      </c>
      <c r="D2554" s="2" t="str">
        <f t="shared" si="38"/>
        <v>Error?</v>
      </c>
    </row>
    <row r="2555" spans="1:4" x14ac:dyDescent="0.2">
      <c r="A2555" s="5">
        <v>2494</v>
      </c>
      <c r="B2555" s="1714">
        <f>'Acct Summary 7-8'!C8</f>
        <v>49673463</v>
      </c>
      <c r="C2555" s="2" t="s">
        <v>569</v>
      </c>
      <c r="D2555" s="2" t="str">
        <f t="shared" si="38"/>
        <v>Error?</v>
      </c>
    </row>
    <row r="2556" spans="1:4" x14ac:dyDescent="0.2">
      <c r="A2556" s="5">
        <v>2495</v>
      </c>
      <c r="B2556" s="1714">
        <f>'Acct Summary 7-8'!C12</f>
        <v>32111059</v>
      </c>
      <c r="C2556" s="2" t="s">
        <v>569</v>
      </c>
      <c r="D2556" s="2" t="str">
        <f t="shared" si="38"/>
        <v>Error?</v>
      </c>
    </row>
    <row r="2557" spans="1:4" x14ac:dyDescent="0.2">
      <c r="A2557" s="5">
        <v>2496</v>
      </c>
      <c r="B2557" s="1714">
        <f>'Acct Summary 7-8'!C13</f>
        <v>14911831</v>
      </c>
      <c r="C2557" s="2" t="s">
        <v>569</v>
      </c>
      <c r="D2557" s="2" t="str">
        <f t="shared" si="38"/>
        <v>Error?</v>
      </c>
    </row>
    <row r="2558" spans="1:4" x14ac:dyDescent="0.2">
      <c r="A2558" s="5">
        <v>2497</v>
      </c>
      <c r="B2558" s="1714">
        <f>'Acct Summary 7-8'!C14</f>
        <v>40736</v>
      </c>
      <c r="C2558" s="2" t="s">
        <v>569</v>
      </c>
      <c r="D2558" s="2" t="str">
        <f t="shared" si="38"/>
        <v>Error?</v>
      </c>
    </row>
    <row r="2559" spans="1:4" x14ac:dyDescent="0.2">
      <c r="A2559" s="5">
        <v>2498</v>
      </c>
      <c r="B2559" s="1714">
        <f>'Acct Summary 7-8'!C15</f>
        <v>2988798</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50052424</v>
      </c>
      <c r="C2561" s="2" t="s">
        <v>569</v>
      </c>
      <c r="D2561" s="2" t="str">
        <f t="shared" si="39"/>
        <v>Error?</v>
      </c>
    </row>
    <row r="2562" spans="1:4" x14ac:dyDescent="0.2">
      <c r="A2562" s="5">
        <v>2501</v>
      </c>
      <c r="B2562" s="1714">
        <f>'Acct Summary 7-8'!C20</f>
        <v>-378961</v>
      </c>
      <c r="C2562" s="2" t="s">
        <v>569</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6139868</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50000</v>
      </c>
      <c r="C2566" s="2" t="s">
        <v>569</v>
      </c>
      <c r="D2566" s="2" t="str">
        <f t="shared" si="39"/>
        <v>Error?</v>
      </c>
    </row>
    <row r="2567" spans="1:4" x14ac:dyDescent="0.2">
      <c r="A2567" s="5">
        <v>2506</v>
      </c>
      <c r="B2567" s="1714">
        <f>'Acct Summary 7-8'!D7</f>
        <v>0</v>
      </c>
      <c r="C2567" s="2" t="s">
        <v>569</v>
      </c>
      <c r="D2567" s="2" t="str">
        <f t="shared" si="39"/>
        <v>Error?</v>
      </c>
    </row>
    <row r="2568" spans="1:4" x14ac:dyDescent="0.2">
      <c r="A2568" s="5">
        <v>2507</v>
      </c>
      <c r="B2568" s="1714">
        <f>'Acct Summary 7-8'!D8</f>
        <v>6189868</v>
      </c>
      <c r="C2568" s="2" t="s">
        <v>569</v>
      </c>
      <c r="D2568" s="2" t="str">
        <f t="shared" si="39"/>
        <v>Error?</v>
      </c>
    </row>
    <row r="2569" spans="1:4" x14ac:dyDescent="0.2">
      <c r="A2569" s="5">
        <v>2508</v>
      </c>
      <c r="B2569" s="1714">
        <f>'Acct Summary 7-8'!D13</f>
        <v>5453436</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0</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5453436</v>
      </c>
      <c r="C2573" s="2" t="s">
        <v>569</v>
      </c>
      <c r="D2573" s="2" t="str">
        <f t="shared" si="39"/>
        <v>Error?</v>
      </c>
    </row>
    <row r="2574" spans="1:4" x14ac:dyDescent="0.2">
      <c r="A2574" s="5">
        <v>2513</v>
      </c>
      <c r="B2574" s="1714">
        <f>'Acct Summary 7-8'!D20</f>
        <v>736432</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1683121</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3735419</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5418540</v>
      </c>
      <c r="C2595" s="2" t="s">
        <v>569</v>
      </c>
      <c r="D2595" s="2" t="str">
        <f t="shared" si="39"/>
        <v>Error?</v>
      </c>
    </row>
    <row r="2596" spans="1:4" x14ac:dyDescent="0.2">
      <c r="A2596" s="5">
        <v>2535</v>
      </c>
      <c r="B2596" s="1714">
        <f>'Acct Summary 7-8'!F13</f>
        <v>4778997</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4778997</v>
      </c>
      <c r="C2600" s="2" t="s">
        <v>569</v>
      </c>
      <c r="D2600" s="2" t="str">
        <f t="shared" si="39"/>
        <v>Error?</v>
      </c>
    </row>
    <row r="2601" spans="1:4" x14ac:dyDescent="0.2">
      <c r="A2601" s="5">
        <v>2540</v>
      </c>
      <c r="B2601" s="1714">
        <f>'Acct Summary 7-8'!F20</f>
        <v>639543</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1435899</v>
      </c>
      <c r="C2603" s="2" t="s">
        <v>569</v>
      </c>
      <c r="D2603" s="2" t="str">
        <f t="shared" si="39"/>
        <v>Error?</v>
      </c>
    </row>
    <row r="2604" spans="1:4" x14ac:dyDescent="0.2">
      <c r="A2604" s="5">
        <v>2543</v>
      </c>
      <c r="B2604" s="1714">
        <f>'Acct Summary 7-8'!G6</f>
        <v>0</v>
      </c>
      <c r="C2604" s="2" t="s">
        <v>569</v>
      </c>
      <c r="D2604" s="2" t="str">
        <f t="shared" si="39"/>
        <v>Error?</v>
      </c>
    </row>
    <row r="2605" spans="1:4" x14ac:dyDescent="0.2">
      <c r="A2605" s="5">
        <v>2544</v>
      </c>
      <c r="B2605" s="1714">
        <f>'Acct Summary 7-8'!G7</f>
        <v>0</v>
      </c>
      <c r="C2605" s="2" t="s">
        <v>569</v>
      </c>
      <c r="D2605" s="2" t="str">
        <f t="shared" si="39"/>
        <v>Error?</v>
      </c>
    </row>
    <row r="2606" spans="1:4" x14ac:dyDescent="0.2">
      <c r="A2606" s="5">
        <v>2545</v>
      </c>
      <c r="B2606" s="1714">
        <f>'Acct Summary 7-8'!G8</f>
        <v>1435899</v>
      </c>
      <c r="C2606" s="2" t="s">
        <v>569</v>
      </c>
      <c r="D2606" s="2" t="str">
        <f t="shared" si="39"/>
        <v>Error?</v>
      </c>
    </row>
    <row r="2607" spans="1:4" x14ac:dyDescent="0.2">
      <c r="A2607" s="5">
        <v>2546</v>
      </c>
      <c r="B2607" s="1714">
        <f>'Acct Summary 7-8'!G12</f>
        <v>536953</v>
      </c>
      <c r="C2607" s="2" t="s">
        <v>569</v>
      </c>
      <c r="D2607" s="2" t="str">
        <f t="shared" si="39"/>
        <v>Error?</v>
      </c>
    </row>
    <row r="2608" spans="1:4" x14ac:dyDescent="0.2">
      <c r="A2608" s="5">
        <v>2547</v>
      </c>
      <c r="B2608" s="1714">
        <f>'Acct Summary 7-8'!G13</f>
        <v>991689</v>
      </c>
      <c r="C2608" s="2" t="s">
        <v>569</v>
      </c>
      <c r="D2608" s="2" t="str">
        <f t="shared" si="39"/>
        <v>Error?</v>
      </c>
    </row>
    <row r="2609" spans="1:4" x14ac:dyDescent="0.2">
      <c r="A2609" s="5">
        <v>2548</v>
      </c>
      <c r="B2609" s="1714">
        <f>'Acct Summary 7-8'!G14</f>
        <v>631</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1529273</v>
      </c>
      <c r="C2612" s="2" t="s">
        <v>569</v>
      </c>
      <c r="D2612" s="2" t="str">
        <f t="shared" si="39"/>
        <v>Error?</v>
      </c>
    </row>
    <row r="2613" spans="1:4" x14ac:dyDescent="0.2">
      <c r="A2613" s="5">
        <v>2552</v>
      </c>
      <c r="B2613" s="1714">
        <f>'Acct Summary 7-8'!G20</f>
        <v>-93374</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11830586</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11830586</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11700293</v>
      </c>
      <c r="C2634" s="2" t="s">
        <v>569</v>
      </c>
      <c r="D2634" s="2" t="str">
        <f t="shared" si="40"/>
        <v>Error?</v>
      </c>
    </row>
    <row r="2635" spans="1:4" x14ac:dyDescent="0.2">
      <c r="A2635" s="5">
        <v>2574</v>
      </c>
      <c r="B2635" s="1714">
        <f>'Acct Summary 7-8'!E17</f>
        <v>11700293</v>
      </c>
      <c r="C2635" s="2" t="s">
        <v>569</v>
      </c>
      <c r="D2635" s="2" t="str">
        <f t="shared" si="40"/>
        <v>Error?</v>
      </c>
    </row>
    <row r="2636" spans="1:4" x14ac:dyDescent="0.2">
      <c r="A2636" s="5">
        <v>2575</v>
      </c>
      <c r="B2636" s="1714">
        <f>'Acct Summary 7-8'!E20</f>
        <v>130293</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0</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0</v>
      </c>
      <c r="C2658" s="2" t="s">
        <v>569</v>
      </c>
      <c r="D2658" s="2" t="str">
        <f t="shared" si="40"/>
        <v>Error?</v>
      </c>
    </row>
    <row r="2659" spans="1:4" x14ac:dyDescent="0.2">
      <c r="A2659" s="5">
        <v>2598</v>
      </c>
      <c r="B2659" s="1714">
        <f>'Acct Summary 7-8'!H13</f>
        <v>0</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0</v>
      </c>
      <c r="C2661" s="2" t="s">
        <v>569</v>
      </c>
      <c r="D2661" s="2" t="str">
        <f t="shared" si="40"/>
        <v>Error?</v>
      </c>
    </row>
    <row r="2662" spans="1:4" x14ac:dyDescent="0.2">
      <c r="A2662" s="5">
        <v>2601</v>
      </c>
      <c r="B2662" s="1714">
        <f>'Acct Summary 7-8'!H20</f>
        <v>0</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287392</v>
      </c>
      <c r="D2718" s="2" t="str">
        <f t="shared" si="41"/>
        <v>Error?</v>
      </c>
    </row>
    <row r="2719" spans="1:4" x14ac:dyDescent="0.2">
      <c r="A2719" s="5">
        <v>2658</v>
      </c>
      <c r="B2719" s="1714">
        <f>'Expenditures 15-22'!D51</f>
        <v>88752</v>
      </c>
      <c r="D2719" s="2" t="str">
        <f t="shared" si="41"/>
        <v>Error?</v>
      </c>
    </row>
    <row r="2720" spans="1:4" x14ac:dyDescent="0.2">
      <c r="A2720" s="5">
        <v>2659</v>
      </c>
      <c r="B2720" s="1714">
        <f>'Expenditures 15-22'!E51</f>
        <v>8127</v>
      </c>
      <c r="D2720" s="2" t="str">
        <f t="shared" si="41"/>
        <v>Error?</v>
      </c>
    </row>
    <row r="2721" spans="1:4" x14ac:dyDescent="0.2">
      <c r="A2721" s="5">
        <v>2660</v>
      </c>
      <c r="B2721" s="1714">
        <f>'Expenditures 15-22'!F51</f>
        <v>1048</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385319</v>
      </c>
      <c r="C2724" s="2" t="s">
        <v>569</v>
      </c>
      <c r="D2724" s="2" t="str">
        <f t="shared" si="41"/>
        <v>Error?</v>
      </c>
    </row>
    <row r="2725" spans="1:4" x14ac:dyDescent="0.2">
      <c r="A2725" s="5">
        <v>2664</v>
      </c>
      <c r="B2725" s="1714">
        <f>'Expenditures 15-22'!D247</f>
        <v>14700</v>
      </c>
      <c r="D2725" s="2" t="str">
        <f t="shared" si="41"/>
        <v>Error?</v>
      </c>
    </row>
    <row r="2726" spans="1:4" x14ac:dyDescent="0.2">
      <c r="A2726" s="5">
        <v>2665</v>
      </c>
      <c r="B2726" s="1714">
        <f>'Expenditures 15-22'!K247</f>
        <v>14700</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1998</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99941</v>
      </c>
      <c r="C2789" s="2" t="s">
        <v>569</v>
      </c>
      <c r="D2789" s="2" t="str">
        <f t="shared" si="42"/>
        <v>Error?</v>
      </c>
    </row>
    <row r="2790" spans="1:4" x14ac:dyDescent="0.2">
      <c r="A2790" s="5">
        <v>2729</v>
      </c>
      <c r="B2790" s="1714">
        <f>'Expenditures 15-22'!E102</f>
        <v>99941</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0</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57357</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1577631</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0</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98200</v>
      </c>
      <c r="D2908" s="2" t="str">
        <f t="shared" si="44"/>
        <v>Error?</v>
      </c>
    </row>
    <row r="2909" spans="1:4" x14ac:dyDescent="0.2">
      <c r="A2909" s="10">
        <v>2848</v>
      </c>
      <c r="B2909" s="1714"/>
      <c r="D2909" s="2" t="str">
        <f t="shared" si="44"/>
        <v>OK</v>
      </c>
    </row>
    <row r="2910" spans="1:4" x14ac:dyDescent="0.2">
      <c r="A2910" s="5">
        <v>2849</v>
      </c>
      <c r="B2910" s="1714">
        <f>'Assets-Liab 5-6'!I34</f>
        <v>98200</v>
      </c>
      <c r="C2910" s="2" t="s">
        <v>569</v>
      </c>
      <c r="D2910" s="2" t="str">
        <f t="shared" si="44"/>
        <v>Error?</v>
      </c>
    </row>
    <row r="2911" spans="1:4" x14ac:dyDescent="0.2">
      <c r="A2911" s="5">
        <v>2850</v>
      </c>
      <c r="B2911" s="1714">
        <f>'Assets-Liab 5-6'!I38</f>
        <v>0</v>
      </c>
      <c r="D2911" s="2" t="str">
        <f t="shared" si="44"/>
        <v>Error?</v>
      </c>
    </row>
    <row r="2912" spans="1:4" x14ac:dyDescent="0.2">
      <c r="A2912" s="5">
        <v>2851</v>
      </c>
      <c r="B2912" s="1714">
        <f>'Assets-Liab 5-6'!I39</f>
        <v>1479431</v>
      </c>
      <c r="D2912" s="2" t="str">
        <f t="shared" si="44"/>
        <v>Error?</v>
      </c>
    </row>
    <row r="2913" spans="1:4" x14ac:dyDescent="0.2">
      <c r="A2913" s="5">
        <v>2852</v>
      </c>
      <c r="B2913" s="1714">
        <f>'Assets-Liab 5-6'!I41</f>
        <v>1577631</v>
      </c>
      <c r="C2913" s="2" t="s">
        <v>569</v>
      </c>
      <c r="D2913" s="2" t="str">
        <f t="shared" si="44"/>
        <v>Error?</v>
      </c>
    </row>
    <row r="2914" spans="1:4" x14ac:dyDescent="0.2">
      <c r="A2914" s="5">
        <v>2853</v>
      </c>
      <c r="B2914" s="1714">
        <f>'Assets-Liab 5-6'!L33</f>
        <v>0</v>
      </c>
      <c r="D2914" s="2" t="str">
        <f t="shared" si="44"/>
        <v>Error?</v>
      </c>
    </row>
    <row r="2915" spans="1:4" x14ac:dyDescent="0.2">
      <c r="A2915" s="10">
        <v>2854</v>
      </c>
      <c r="B2915" s="1714"/>
      <c r="D2915" s="2" t="str">
        <f t="shared" si="44"/>
        <v>OK</v>
      </c>
    </row>
    <row r="2916" spans="1:4" x14ac:dyDescent="0.2">
      <c r="A2916" s="5">
        <v>2855</v>
      </c>
      <c r="B2916" s="1714">
        <f>'Assets-Liab 5-6'!L34</f>
        <v>0</v>
      </c>
      <c r="C2916" s="2" t="s">
        <v>569</v>
      </c>
      <c r="D2916" s="2" t="str">
        <f t="shared" si="44"/>
        <v>Error?</v>
      </c>
    </row>
    <row r="2917" spans="1:4" x14ac:dyDescent="0.2">
      <c r="A2917" s="5">
        <v>2856</v>
      </c>
      <c r="B2917" s="1714">
        <f>'Assets-Liab 5-6'!L41</f>
        <v>0</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0</v>
      </c>
      <c r="D2949" s="2" t="str">
        <f t="shared" si="45"/>
        <v>Error?</v>
      </c>
    </row>
    <row r="2950" spans="1:4" x14ac:dyDescent="0.2">
      <c r="A2950" s="5">
        <v>2889</v>
      </c>
      <c r="B2950" s="1714">
        <f>'Expenditures 15-22'!E79</f>
        <v>99941</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1967552</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909422</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11883</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0</v>
      </c>
      <c r="C2973" s="2" t="s">
        <v>569</v>
      </c>
      <c r="D2973" s="2" t="str">
        <f t="shared" si="45"/>
        <v>Error?</v>
      </c>
    </row>
    <row r="2974" spans="1:4" x14ac:dyDescent="0.2">
      <c r="A2974" s="5">
        <v>2913</v>
      </c>
      <c r="B2974" s="1714">
        <f>'Expenditures 15-22'!K79</f>
        <v>2067493</v>
      </c>
      <c r="C2974" s="2" t="s">
        <v>569</v>
      </c>
      <c r="D2974" s="2" t="str">
        <f t="shared" si="45"/>
        <v>Error?</v>
      </c>
    </row>
    <row r="2975" spans="1:4" x14ac:dyDescent="0.2">
      <c r="A2975" s="5">
        <v>2914</v>
      </c>
      <c r="B2975" s="1714">
        <f>'Expenditures 15-22'!K80</f>
        <v>0</v>
      </c>
      <c r="C2975" s="2" t="s">
        <v>569</v>
      </c>
      <c r="D2975" s="2" t="str">
        <f t="shared" si="45"/>
        <v>Error?</v>
      </c>
    </row>
    <row r="2976" spans="1:4" x14ac:dyDescent="0.2">
      <c r="A2976" s="5">
        <v>2915</v>
      </c>
      <c r="B2976" s="1714">
        <f>'Expenditures 15-22'!K81</f>
        <v>909422</v>
      </c>
      <c r="C2976" s="2" t="s">
        <v>569</v>
      </c>
      <c r="D2976" s="2" t="str">
        <f t="shared" si="45"/>
        <v>Error?</v>
      </c>
    </row>
    <row r="2977" spans="1:4" x14ac:dyDescent="0.2">
      <c r="A2977" s="5">
        <v>2916</v>
      </c>
      <c r="B2977" s="1714">
        <f>'Expenditures 15-22'!K82</f>
        <v>0</v>
      </c>
      <c r="C2977" s="2" t="s">
        <v>569</v>
      </c>
      <c r="D2977" s="2" t="str">
        <f t="shared" si="45"/>
        <v>Error?</v>
      </c>
    </row>
    <row r="2978" spans="1:4" x14ac:dyDescent="0.2">
      <c r="A2978" s="5">
        <v>2917</v>
      </c>
      <c r="B2978" s="1714">
        <f>'Expenditures 15-22'!K83</f>
        <v>11883</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0</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1998</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0</v>
      </c>
      <c r="D3055" s="2" t="str">
        <f t="shared" si="46"/>
        <v>Error?</v>
      </c>
    </row>
    <row r="3056" spans="1:4" x14ac:dyDescent="0.2">
      <c r="A3056" s="5">
        <v>2995</v>
      </c>
      <c r="B3056" s="1714">
        <f>'Expenditures 15-22'!D10</f>
        <v>0</v>
      </c>
      <c r="D3056" s="2" t="str">
        <f t="shared" si="46"/>
        <v>Error?</v>
      </c>
    </row>
    <row r="3057" spans="1:4" x14ac:dyDescent="0.2">
      <c r="A3057" s="5">
        <v>2996</v>
      </c>
      <c r="B3057" s="1714">
        <f>'Expenditures 15-22'!E10</f>
        <v>58593</v>
      </c>
      <c r="D3057" s="2" t="str">
        <f t="shared" si="46"/>
        <v>Error?</v>
      </c>
    </row>
    <row r="3058" spans="1:4" x14ac:dyDescent="0.2">
      <c r="A3058" s="5">
        <v>2997</v>
      </c>
      <c r="B3058" s="1714">
        <f>'Expenditures 15-22'!F10</f>
        <v>59604</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118197</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0</v>
      </c>
      <c r="D3064" s="2" t="str">
        <f t="shared" si="46"/>
        <v>Error?</v>
      </c>
    </row>
    <row r="3065" spans="1:4" x14ac:dyDescent="0.2">
      <c r="A3065" s="5">
        <v>3004</v>
      </c>
      <c r="B3065" s="1714">
        <f>'Expenditures 15-22'!K219</f>
        <v>0</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131912</v>
      </c>
      <c r="C3225" s="2" t="s">
        <v>569</v>
      </c>
      <c r="D3225" s="2" t="str">
        <f t="shared" si="49"/>
        <v>Error?</v>
      </c>
    </row>
    <row r="3226" spans="1:4" x14ac:dyDescent="0.2">
      <c r="A3226" s="5">
        <v>3165</v>
      </c>
      <c r="B3226" s="1714">
        <f>'Acct Summary 7-8'!I8</f>
        <v>131912</v>
      </c>
      <c r="C3226" s="2" t="s">
        <v>569</v>
      </c>
      <c r="D3226" s="2" t="str">
        <f t="shared" si="49"/>
        <v>Error?</v>
      </c>
    </row>
    <row r="3227" spans="1:4" x14ac:dyDescent="0.2">
      <c r="A3227" s="5">
        <v>3166</v>
      </c>
      <c r="B3227" s="1714">
        <f>'Acct Summary 7-8'!I20</f>
        <v>131912</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0</v>
      </c>
      <c r="C3231" s="2" t="s">
        <v>569</v>
      </c>
      <c r="D3231" s="2" t="str">
        <f t="shared" si="49"/>
        <v>Error?</v>
      </c>
    </row>
    <row r="3232" spans="1:4" x14ac:dyDescent="0.2">
      <c r="A3232" s="5">
        <v>3171</v>
      </c>
      <c r="B3232" s="1714">
        <f>'Acct Summary 7-8'!C77</f>
        <v>0</v>
      </c>
      <c r="C3232" s="2" t="s">
        <v>569</v>
      </c>
      <c r="D3232" s="2" t="str">
        <f t="shared" si="49"/>
        <v>Error?</v>
      </c>
    </row>
    <row r="3233" spans="1:4" x14ac:dyDescent="0.2">
      <c r="A3233" s="5">
        <v>3172</v>
      </c>
      <c r="B3233" s="1714">
        <f>'Acct Summary 7-8'!C78</f>
        <v>-378961</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0</v>
      </c>
      <c r="C3237" s="2" t="s">
        <v>569</v>
      </c>
      <c r="D3237" s="2" t="str">
        <f t="shared" si="49"/>
        <v>Error?</v>
      </c>
    </row>
    <row r="3238" spans="1:4" x14ac:dyDescent="0.2">
      <c r="A3238" s="5">
        <v>3177</v>
      </c>
      <c r="B3238" s="1714">
        <f>'Acct Summary 7-8'!D77</f>
        <v>0</v>
      </c>
      <c r="C3238" s="2" t="s">
        <v>569</v>
      </c>
      <c r="D3238" s="2" t="str">
        <f t="shared" si="49"/>
        <v>Error?</v>
      </c>
    </row>
    <row r="3239" spans="1:4" x14ac:dyDescent="0.2">
      <c r="A3239" s="5">
        <v>3178</v>
      </c>
      <c r="B3239" s="1714">
        <f>'Acct Summary 7-8'!D78</f>
        <v>736432</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0</v>
      </c>
      <c r="C3255" s="2" t="s">
        <v>569</v>
      </c>
      <c r="D3255" s="2" t="str">
        <f t="shared" si="49"/>
        <v>Error?</v>
      </c>
    </row>
    <row r="3256" spans="1:4" x14ac:dyDescent="0.2">
      <c r="A3256" s="5">
        <v>3195</v>
      </c>
      <c r="B3256" s="1714">
        <f>'Acct Summary 7-8'!F78</f>
        <v>639543</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0</v>
      </c>
      <c r="C3261" s="2" t="s">
        <v>569</v>
      </c>
      <c r="D3261" s="2" t="str">
        <f t="shared" si="49"/>
        <v>Error?</v>
      </c>
    </row>
    <row r="3262" spans="1:4" x14ac:dyDescent="0.2">
      <c r="A3262" s="5">
        <v>3201</v>
      </c>
      <c r="B3262" s="1714">
        <f>'Acct Summary 7-8'!G78</f>
        <v>-93374</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0</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0</v>
      </c>
      <c r="C3277" s="2" t="s">
        <v>569</v>
      </c>
      <c r="D3277" s="2" t="str">
        <f t="shared" si="50"/>
        <v>Error?</v>
      </c>
    </row>
    <row r="3278" spans="1:4" x14ac:dyDescent="0.2">
      <c r="A3278" s="5">
        <v>3217</v>
      </c>
      <c r="B3278" s="1714">
        <f>'Acct Summary 7-8'!E78</f>
        <v>130293</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0</v>
      </c>
      <c r="C3299" s="2" t="s">
        <v>569</v>
      </c>
      <c r="D3299" s="2" t="str">
        <f t="shared" si="50"/>
        <v>Error?</v>
      </c>
    </row>
    <row r="3300" spans="1:4" x14ac:dyDescent="0.2">
      <c r="A3300" s="5">
        <v>3239</v>
      </c>
      <c r="B3300" s="1714">
        <f>'Acct Summary 7-8'!H78</f>
        <v>0</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0</v>
      </c>
      <c r="C3318" s="2" t="s">
        <v>569</v>
      </c>
      <c r="D3318" s="2" t="str">
        <f t="shared" si="50"/>
        <v>Error?</v>
      </c>
    </row>
    <row r="3319" spans="1:4" x14ac:dyDescent="0.2">
      <c r="A3319" s="5">
        <v>3258</v>
      </c>
      <c r="B3319" s="1714">
        <f>'Acct Summary 7-8'!I77</f>
        <v>0</v>
      </c>
      <c r="C3319" s="2" t="s">
        <v>569</v>
      </c>
      <c r="D3319" s="2" t="str">
        <f t="shared" si="50"/>
        <v>Error?</v>
      </c>
    </row>
    <row r="3320" spans="1:4" x14ac:dyDescent="0.2">
      <c r="A3320" s="5">
        <v>3259</v>
      </c>
      <c r="B3320" s="1714">
        <f>'Acct Summary 7-8'!I78</f>
        <v>131912</v>
      </c>
      <c r="C3320" s="2" t="s">
        <v>569</v>
      </c>
      <c r="D3320" s="2" t="str">
        <f t="shared" si="50"/>
        <v>Error?</v>
      </c>
    </row>
    <row r="3321" spans="1:4" x14ac:dyDescent="0.2">
      <c r="A3321" s="5">
        <v>3260</v>
      </c>
      <c r="B3321" s="1714">
        <f>'Acct Summary 7-8'!I79</f>
        <v>1347519</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1479431</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3209358</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1073353</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91353</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57274</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0</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4432325</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290762</v>
      </c>
      <c r="D3387" s="2" t="str">
        <f t="shared" si="51"/>
        <v>Error?</v>
      </c>
    </row>
    <row r="3388" spans="1:4" x14ac:dyDescent="0.2">
      <c r="A3388" s="5">
        <v>3327</v>
      </c>
      <c r="B3388" s="1714">
        <f>'Expenditures 15-22'!D217</f>
        <v>176768</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290762</v>
      </c>
      <c r="C3390" s="2" t="s">
        <v>569</v>
      </c>
      <c r="D3390" s="2" t="str">
        <f t="shared" si="51"/>
        <v>Error?</v>
      </c>
    </row>
    <row r="3391" spans="1:4" x14ac:dyDescent="0.2">
      <c r="A3391" s="5">
        <v>3330</v>
      </c>
      <c r="B3391" s="1714">
        <f>'Expenditures 15-22'!K217</f>
        <v>176768</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24107774</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6779033</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6228692</v>
      </c>
      <c r="D3417" s="2" t="str">
        <f t="shared" si="52"/>
        <v>Error?</v>
      </c>
    </row>
    <row r="3418" spans="1:4" x14ac:dyDescent="0.2">
      <c r="A3418" s="10">
        <v>3357</v>
      </c>
      <c r="B3418" s="1714"/>
      <c r="D3418" s="2" t="str">
        <f t="shared" si="52"/>
        <v>OK</v>
      </c>
    </row>
    <row r="3419" spans="1:4" x14ac:dyDescent="0.2">
      <c r="A3419" s="5">
        <v>3358</v>
      </c>
      <c r="B3419" s="1714">
        <f>'Assets-Liab 5-6'!F4</f>
        <v>3870940</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1694956</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0</v>
      </c>
      <c r="D3425" s="2" t="str">
        <f t="shared" si="52"/>
        <v>Error?</v>
      </c>
    </row>
    <row r="3426" spans="1:4" x14ac:dyDescent="0.2">
      <c r="A3426" s="10">
        <v>3365</v>
      </c>
      <c r="B3426" s="1714"/>
      <c r="D3426" s="2" t="str">
        <f t="shared" si="52"/>
        <v>OK</v>
      </c>
    </row>
    <row r="3427" spans="1:4" x14ac:dyDescent="0.2">
      <c r="A3427" s="5">
        <v>3366</v>
      </c>
      <c r="B3427" s="1714">
        <f>'Assets-Liab 5-6'!I4</f>
        <v>1520274</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0</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833654</v>
      </c>
      <c r="C3446" s="2" t="s">
        <v>569</v>
      </c>
      <c r="D3446" s="2" t="str">
        <f t="shared" si="52"/>
        <v>Error?</v>
      </c>
    </row>
    <row r="3447" spans="1:4" x14ac:dyDescent="0.2">
      <c r="A3447" s="5">
        <v>3386</v>
      </c>
      <c r="B3447" s="1714">
        <f>'Tax Sched 23'!D16</f>
        <v>466085</v>
      </c>
      <c r="C3447" s="2" t="s">
        <v>569</v>
      </c>
      <c r="D3447" s="2" t="str">
        <f t="shared" si="52"/>
        <v>Error?</v>
      </c>
    </row>
    <row r="3448" spans="1:4" x14ac:dyDescent="0.2">
      <c r="A3448" s="5">
        <v>3387</v>
      </c>
      <c r="B3448" s="1714">
        <f>'Tax Sched 23'!C16</f>
        <v>367569</v>
      </c>
      <c r="D3448" s="2" t="str">
        <f t="shared" si="52"/>
        <v>Error?</v>
      </c>
    </row>
    <row r="3449" spans="1:4" x14ac:dyDescent="0.2">
      <c r="A3449" s="5">
        <v>3388</v>
      </c>
      <c r="B3449" s="1714">
        <f>'Tax Sched 23'!F16</f>
        <v>516186</v>
      </c>
      <c r="C3449" s="2" t="s">
        <v>569</v>
      </c>
      <c r="D3449" s="2" t="str">
        <f t="shared" si="52"/>
        <v>Error?</v>
      </c>
    </row>
    <row r="3450" spans="1:4" x14ac:dyDescent="0.2">
      <c r="A3450" s="5">
        <v>3389</v>
      </c>
      <c r="B3450" s="1714">
        <f>'Tax Sched 23'!E16</f>
        <v>883755</v>
      </c>
      <c r="D3450" s="2" t="str">
        <f t="shared" si="52"/>
        <v>Error?</v>
      </c>
    </row>
    <row r="3451" spans="1:4" x14ac:dyDescent="0.2">
      <c r="A3451" s="5">
        <v>3390</v>
      </c>
      <c r="B3451" s="1714">
        <f>'Cap Outlay Deprec 26'!C15</f>
        <v>0</v>
      </c>
      <c r="D3451" s="2" t="str">
        <f t="shared" si="52"/>
        <v>Error?</v>
      </c>
    </row>
    <row r="3452" spans="1:4" x14ac:dyDescent="0.2">
      <c r="A3452" s="5">
        <v>3391</v>
      </c>
      <c r="B3452" s="1714">
        <f>'Cap Outlay Deprec 26'!D15</f>
        <v>0</v>
      </c>
      <c r="D3452" s="2" t="str">
        <f t="shared" si="52"/>
        <v>Error?</v>
      </c>
    </row>
    <row r="3453" spans="1:4" x14ac:dyDescent="0.2">
      <c r="A3453" s="5">
        <v>3392</v>
      </c>
      <c r="B3453" s="1714">
        <f>'Cap Outlay Deprec 26'!E15</f>
        <v>0</v>
      </c>
      <c r="D3453" s="2" t="str">
        <f t="shared" si="52"/>
        <v>Error?</v>
      </c>
    </row>
    <row r="3454" spans="1:4" x14ac:dyDescent="0.2">
      <c r="A3454" s="5">
        <v>3393</v>
      </c>
      <c r="B3454" s="1714">
        <f>'Cap Outlay Deprec 26'!F15</f>
        <v>0</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0</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1998</v>
      </c>
      <c r="E3521" s="4" t="s">
        <v>134</v>
      </c>
    </row>
    <row r="3522" spans="1:5" x14ac:dyDescent="0.2">
      <c r="A3522" s="10">
        <v>3461</v>
      </c>
      <c r="B3522" s="1714"/>
      <c r="D3522" s="4" t="s">
        <v>1998</v>
      </c>
      <c r="E3522" s="4" t="s">
        <v>134</v>
      </c>
    </row>
    <row r="3523" spans="1:5" x14ac:dyDescent="0.2">
      <c r="A3523" s="10">
        <v>3462</v>
      </c>
      <c r="B3523" s="1714"/>
      <c r="D3523" s="4" t="s">
        <v>1998</v>
      </c>
      <c r="E3523" s="4" t="s">
        <v>134</v>
      </c>
    </row>
    <row r="3524" spans="1:5" x14ac:dyDescent="0.2">
      <c r="A3524" s="10">
        <v>3463</v>
      </c>
      <c r="B3524" s="1714"/>
      <c r="D3524" s="4" t="s">
        <v>1998</v>
      </c>
      <c r="E3524" s="4" t="s">
        <v>134</v>
      </c>
    </row>
    <row r="3525" spans="1:5" x14ac:dyDescent="0.2">
      <c r="A3525" s="10">
        <v>3464</v>
      </c>
      <c r="B3525" s="1714"/>
      <c r="D3525" s="4" t="s">
        <v>1998</v>
      </c>
      <c r="E3525" s="4" t="s">
        <v>134</v>
      </c>
    </row>
    <row r="3526" spans="1:5" x14ac:dyDescent="0.2">
      <c r="A3526" s="10">
        <v>3465</v>
      </c>
      <c r="B3526" s="1714"/>
      <c r="D3526" s="4" t="s">
        <v>1998</v>
      </c>
      <c r="E3526" s="4" t="s">
        <v>134</v>
      </c>
    </row>
    <row r="3527" spans="1:5" x14ac:dyDescent="0.2">
      <c r="A3527" s="10">
        <v>3466</v>
      </c>
      <c r="B3527" s="1714"/>
      <c r="D3527" s="4" t="s">
        <v>1998</v>
      </c>
      <c r="E3527" s="4" t="s">
        <v>134</v>
      </c>
    </row>
    <row r="3528" spans="1:5" x14ac:dyDescent="0.2">
      <c r="A3528" s="10">
        <v>3467</v>
      </c>
      <c r="B3528" s="1714"/>
      <c r="D3528" s="4" t="s">
        <v>1998</v>
      </c>
      <c r="E3528" s="4" t="s">
        <v>134</v>
      </c>
    </row>
    <row r="3529" spans="1:5" x14ac:dyDescent="0.2">
      <c r="A3529" s="10">
        <v>3468</v>
      </c>
      <c r="B3529" s="1714"/>
      <c r="D3529" s="4" t="s">
        <v>1998</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0</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0</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0</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0</v>
      </c>
      <c r="C3568" s="2" t="s">
        <v>569</v>
      </c>
      <c r="D3568" s="2" t="str">
        <f t="shared" si="54"/>
        <v>Error?</v>
      </c>
    </row>
    <row r="3569" spans="1:4" x14ac:dyDescent="0.2">
      <c r="A3569" s="5">
        <v>3508</v>
      </c>
      <c r="B3569" s="1714">
        <f>'Acct Summary 7-8'!K4</f>
        <v>0</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0</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0</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0</v>
      </c>
      <c r="C3588" s="2" t="s">
        <v>569</v>
      </c>
      <c r="D3588" s="2" t="str">
        <f t="shared" si="55"/>
        <v>Error?</v>
      </c>
    </row>
    <row r="3589" spans="1:4" x14ac:dyDescent="0.2">
      <c r="A3589" s="5">
        <v>3528</v>
      </c>
      <c r="B3589" s="1714">
        <f>'Acct Summary 7-8'!K79</f>
        <v>0</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0</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0</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836564</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22659821</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72333284</v>
      </c>
      <c r="C4122" s="2" t="s">
        <v>569</v>
      </c>
      <c r="D4122" s="2" t="str">
        <f t="shared" si="63"/>
        <v>Error?</v>
      </c>
    </row>
    <row r="4123" spans="1:4" x14ac:dyDescent="0.2">
      <c r="A4123" s="5">
        <v>4062</v>
      </c>
      <c r="B4123" s="1714">
        <f>'Acct Summary 7-8'!D10</f>
        <v>6189868</v>
      </c>
      <c r="C4123" s="2" t="s">
        <v>569</v>
      </c>
      <c r="D4123" s="2" t="str">
        <f t="shared" si="63"/>
        <v>Error?</v>
      </c>
    </row>
    <row r="4124" spans="1:4" x14ac:dyDescent="0.2">
      <c r="A4124" s="5">
        <v>4063</v>
      </c>
      <c r="B4124" s="1714">
        <f>'Acct Summary 7-8'!E10</f>
        <v>11830586</v>
      </c>
      <c r="C4124" s="2" t="s">
        <v>569</v>
      </c>
      <c r="D4124" s="2" t="str">
        <f t="shared" si="63"/>
        <v>Error?</v>
      </c>
    </row>
    <row r="4125" spans="1:4" x14ac:dyDescent="0.2">
      <c r="A4125" s="5">
        <v>4064</v>
      </c>
      <c r="B4125" s="1714">
        <f>'Acct Summary 7-8'!F10</f>
        <v>5418540</v>
      </c>
      <c r="C4125" s="2" t="s">
        <v>569</v>
      </c>
      <c r="D4125" s="2" t="str">
        <f t="shared" si="63"/>
        <v>Error?</v>
      </c>
    </row>
    <row r="4126" spans="1:4" x14ac:dyDescent="0.2">
      <c r="A4126" s="5">
        <v>4065</v>
      </c>
      <c r="B4126" s="1714">
        <f>'Acct Summary 7-8'!G10</f>
        <v>1435899</v>
      </c>
      <c r="C4126" s="2" t="s">
        <v>569</v>
      </c>
      <c r="D4126" s="2" t="str">
        <f t="shared" si="63"/>
        <v>Error?</v>
      </c>
    </row>
    <row r="4127" spans="1:4" x14ac:dyDescent="0.2">
      <c r="A4127" s="5">
        <v>4066</v>
      </c>
      <c r="B4127" s="1714">
        <f>'Acct Summary 7-8'!H10</f>
        <v>0</v>
      </c>
      <c r="C4127" s="2" t="s">
        <v>569</v>
      </c>
      <c r="D4127" s="2" t="str">
        <f t="shared" si="63"/>
        <v>Error?</v>
      </c>
    </row>
    <row r="4128" spans="1:4" x14ac:dyDescent="0.2">
      <c r="A4128" s="5">
        <v>4067</v>
      </c>
      <c r="B4128" s="1714">
        <f>'Acct Summary 7-8'!I10</f>
        <v>131912</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0</v>
      </c>
      <c r="C4130" s="2" t="s">
        <v>569</v>
      </c>
      <c r="D4130" s="2" t="str">
        <f t="shared" si="63"/>
        <v>Error?</v>
      </c>
    </row>
    <row r="4131" spans="1:4" x14ac:dyDescent="0.2">
      <c r="A4131" s="5">
        <v>4070</v>
      </c>
      <c r="B4131" s="1714">
        <f>'Acct Summary 7-8'!C18</f>
        <v>22659821</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72712245</v>
      </c>
      <c r="C4136" s="2" t="s">
        <v>569</v>
      </c>
      <c r="D4136" s="2" t="str">
        <f t="shared" si="63"/>
        <v>Error?</v>
      </c>
    </row>
    <row r="4137" spans="1:4" x14ac:dyDescent="0.2">
      <c r="A4137" s="5">
        <v>4076</v>
      </c>
      <c r="B4137" s="1714">
        <f>'Acct Summary 7-8'!D19</f>
        <v>5453436</v>
      </c>
      <c r="C4137" s="2" t="s">
        <v>569</v>
      </c>
      <c r="D4137" s="2" t="str">
        <f t="shared" si="63"/>
        <v>Error?</v>
      </c>
    </row>
    <row r="4138" spans="1:4" x14ac:dyDescent="0.2">
      <c r="A4138" s="5">
        <v>4077</v>
      </c>
      <c r="B4138" s="1714">
        <f>'Acct Summary 7-8'!E19</f>
        <v>11700293</v>
      </c>
      <c r="C4138" s="2" t="s">
        <v>569</v>
      </c>
      <c r="D4138" s="2" t="str">
        <f t="shared" si="63"/>
        <v>Error?</v>
      </c>
    </row>
    <row r="4139" spans="1:4" x14ac:dyDescent="0.2">
      <c r="A4139" s="5">
        <v>4078</v>
      </c>
      <c r="B4139" s="1714">
        <f>'Acct Summary 7-8'!F19</f>
        <v>4778997</v>
      </c>
      <c r="C4139" s="2" t="s">
        <v>569</v>
      </c>
      <c r="D4139" s="2" t="str">
        <f t="shared" si="63"/>
        <v>Error?</v>
      </c>
    </row>
    <row r="4140" spans="1:4" x14ac:dyDescent="0.2">
      <c r="A4140" s="5">
        <v>4079</v>
      </c>
      <c r="B4140" s="1714">
        <f>'Acct Summary 7-8'!G19</f>
        <v>1529273</v>
      </c>
      <c r="C4140" s="2" t="s">
        <v>569</v>
      </c>
      <c r="D4140" s="2" t="str">
        <f t="shared" si="63"/>
        <v>Error?</v>
      </c>
    </row>
    <row r="4141" spans="1:4" x14ac:dyDescent="0.2">
      <c r="A4141" s="5">
        <v>4080</v>
      </c>
      <c r="B4141" s="1714">
        <f>'Acct Summary 7-8'!H19</f>
        <v>0</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87623261</v>
      </c>
      <c r="C4171" s="2" t="s">
        <v>569</v>
      </c>
      <c r="D4171" s="2" t="str">
        <f t="shared" si="64"/>
        <v>Error?</v>
      </c>
    </row>
    <row r="4172" spans="1:4" x14ac:dyDescent="0.2">
      <c r="A4172" s="5">
        <v>4111</v>
      </c>
      <c r="B4172" s="1714">
        <f>'Short-Term Long-Term Debt 24'!J49</f>
        <v>86499225</v>
      </c>
      <c r="C4172" s="2" t="s">
        <v>569</v>
      </c>
      <c r="D4172" s="2" t="str">
        <f t="shared" si="64"/>
        <v>Error?</v>
      </c>
    </row>
    <row r="4173" spans="1:4" x14ac:dyDescent="0.2">
      <c r="A4173" s="5">
        <v>4112</v>
      </c>
      <c r="B4173" s="1714">
        <f>'Short-Term Long-Term Debt 24'!H49</f>
        <v>9010000</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2240191</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1900</v>
      </c>
    </row>
    <row r="4236" spans="1:5" x14ac:dyDescent="0.2">
      <c r="A4236" s="10">
        <v>4175</v>
      </c>
      <c r="B4236" s="1714"/>
      <c r="D4236" s="2" t="str">
        <f t="shared" si="65"/>
        <v>OK</v>
      </c>
      <c r="E4236" s="4" t="s">
        <v>1900</v>
      </c>
    </row>
    <row r="4237" spans="1:5" x14ac:dyDescent="0.2">
      <c r="A4237" s="10">
        <v>4176</v>
      </c>
      <c r="B4237" s="1714"/>
      <c r="D4237" s="2" t="str">
        <f t="shared" si="65"/>
        <v>OK</v>
      </c>
      <c r="E4237" s="4" t="s">
        <v>1900</v>
      </c>
    </row>
    <row r="4238" spans="1:5" x14ac:dyDescent="0.2">
      <c r="A4238" s="10">
        <v>4177</v>
      </c>
      <c r="B4238" s="1714"/>
      <c r="D4238" s="2" t="str">
        <f t="shared" si="65"/>
        <v>OK</v>
      </c>
      <c r="E4238" s="4" t="s">
        <v>1900</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3899.578</v>
      </c>
      <c r="C4265" s="2" t="s">
        <v>569</v>
      </c>
      <c r="D4265" s="2" t="str">
        <f t="shared" si="65"/>
        <v>Error?</v>
      </c>
      <c r="E4265" s="125"/>
    </row>
    <row r="4266" spans="1:5" x14ac:dyDescent="0.2">
      <c r="A4266" s="12">
        <v>4205</v>
      </c>
      <c r="B4266" s="1714">
        <f>('FP Info 3'!F10)*100000</f>
        <v>657.35699999999997</v>
      </c>
      <c r="C4266" s="2" t="s">
        <v>569</v>
      </c>
      <c r="D4266" s="2" t="str">
        <f t="shared" si="65"/>
        <v>Error?</v>
      </c>
      <c r="E4266" s="125"/>
    </row>
    <row r="4267" spans="1:5" x14ac:dyDescent="0.2">
      <c r="A4267" s="12">
        <v>4206</v>
      </c>
      <c r="B4267" s="1714">
        <f>('FP Info 3'!H10)*100000</f>
        <v>200.54999999999998</v>
      </c>
      <c r="C4267" s="2" t="s">
        <v>569</v>
      </c>
      <c r="D4267" s="2" t="str">
        <f t="shared" si="65"/>
        <v>Error?</v>
      </c>
      <c r="E4267" s="125"/>
    </row>
    <row r="4268" spans="1:5" x14ac:dyDescent="0.2">
      <c r="A4268" s="12">
        <v>4207</v>
      </c>
      <c r="B4268" s="1714">
        <f>('FP Info 3'!J10)*100000</f>
        <v>4757</v>
      </c>
      <c r="C4268" s="2" t="s">
        <v>569</v>
      </c>
      <c r="D4268" s="2" t="str">
        <f t="shared" si="65"/>
        <v>Error?</v>
      </c>
    </row>
    <row r="4269" spans="1:5" x14ac:dyDescent="0.2">
      <c r="A4269" s="12">
        <v>4208</v>
      </c>
      <c r="B4269" s="1714">
        <f>'FP Info 3'!J16</f>
        <v>12483479</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130142</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149190</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1900</v>
      </c>
    </row>
    <row r="4400" spans="1:5" x14ac:dyDescent="0.2">
      <c r="A4400" s="10">
        <v>4339</v>
      </c>
      <c r="B4400" s="1714"/>
      <c r="D4400" s="2" t="str">
        <f t="shared" si="67"/>
        <v>OK</v>
      </c>
      <c r="E4400" s="4" t="s">
        <v>1900</v>
      </c>
    </row>
    <row r="4401" spans="1:5" x14ac:dyDescent="0.2">
      <c r="A4401" s="10">
        <v>4340</v>
      </c>
      <c r="B4401" s="1714"/>
      <c r="D4401" s="2" t="str">
        <f t="shared" si="67"/>
        <v>OK</v>
      </c>
      <c r="E4401" s="4" t="s">
        <v>1900</v>
      </c>
    </row>
    <row r="4402" spans="1:5" x14ac:dyDescent="0.2">
      <c r="A4402" s="10">
        <v>4341</v>
      </c>
      <c r="B4402" s="1714"/>
      <c r="D4402" s="2" t="str">
        <f t="shared" si="67"/>
        <v>OK</v>
      </c>
      <c r="E4402" s="4" t="s">
        <v>1900</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12692</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1400</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75815</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11.141999999999999</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0</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887714578</v>
      </c>
      <c r="D4995" s="2" t="str">
        <f t="shared" si="77"/>
        <v>Error?</v>
      </c>
    </row>
    <row r="4996" spans="1:4" x14ac:dyDescent="0.2">
      <c r="A4996" s="12">
        <v>4935</v>
      </c>
      <c r="B4996" s="1714">
        <f>'FP Info 3'!H31</f>
        <v>122504611.76400001</v>
      </c>
      <c r="D4996" s="2" t="str">
        <f t="shared" si="77"/>
        <v>Error?</v>
      </c>
    </row>
    <row r="4997" spans="1:4" x14ac:dyDescent="0.2">
      <c r="A4997" s="12">
        <v>4936</v>
      </c>
      <c r="B4997" s="1714">
        <f>'FP Info 3'!H37</f>
        <v>87623261</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33174511</v>
      </c>
      <c r="D5061" s="2" t="str">
        <f t="shared" si="78"/>
        <v>Error?</v>
      </c>
    </row>
    <row r="5062" spans="1:4" x14ac:dyDescent="0.2">
      <c r="A5062" s="10">
        <v>5001</v>
      </c>
      <c r="B5062" s="1714"/>
      <c r="D5062" s="2" t="str">
        <f t="shared" si="78"/>
        <v>OK</v>
      </c>
    </row>
    <row r="5063" spans="1:4" x14ac:dyDescent="0.2">
      <c r="A5063" s="5">
        <v>5002</v>
      </c>
      <c r="B5063" s="1714">
        <f>'Revenues 9-14'!C7</f>
        <v>4217297</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37391808</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242061</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242061</v>
      </c>
      <c r="C5071" s="2" t="s">
        <v>569</v>
      </c>
      <c r="D5071" s="2" t="str">
        <f t="shared" si="78"/>
        <v>Error?</v>
      </c>
    </row>
    <row r="5072" spans="1:4" x14ac:dyDescent="0.2">
      <c r="A5072" s="5">
        <v>5011</v>
      </c>
      <c r="B5072" s="1714">
        <f>'Revenues 9-14'!C20</f>
        <v>359069</v>
      </c>
      <c r="D5072" s="2" t="str">
        <f t="shared" si="78"/>
        <v>Error?</v>
      </c>
    </row>
    <row r="5073" spans="1:4" x14ac:dyDescent="0.2">
      <c r="A5073" s="5">
        <v>5012</v>
      </c>
      <c r="B5073" s="1714">
        <f>'Revenues 9-14'!C21</f>
        <v>34668</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41307</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435044</v>
      </c>
      <c r="C5087" s="2" t="s">
        <v>569</v>
      </c>
      <c r="D5087" s="2" t="str">
        <f t="shared" si="78"/>
        <v>Error?</v>
      </c>
    </row>
    <row r="5088" spans="1:4" x14ac:dyDescent="0.2">
      <c r="A5088" s="5">
        <v>5027</v>
      </c>
      <c r="B5088" s="1714">
        <f>'Revenues 9-14'!C65</f>
        <v>314169</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314169</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750592</v>
      </c>
      <c r="D5092" s="2" t="str">
        <f t="shared" si="78"/>
        <v>Error?</v>
      </c>
    </row>
    <row r="5093" spans="1:4" x14ac:dyDescent="0.2">
      <c r="A5093" s="5">
        <v>5032</v>
      </c>
      <c r="B5093" s="1714">
        <f>'Revenues 9-14'!C72</f>
        <v>0</v>
      </c>
      <c r="D5093" s="2" t="str">
        <f t="shared" si="78"/>
        <v>Error?</v>
      </c>
    </row>
    <row r="5094" spans="1:4" x14ac:dyDescent="0.2">
      <c r="A5094" s="5">
        <v>5033</v>
      </c>
      <c r="B5094" s="1714">
        <f>'Revenues 9-14'!C73</f>
        <v>40801</v>
      </c>
      <c r="D5094" s="2" t="str">
        <f t="shared" si="78"/>
        <v>Error?</v>
      </c>
    </row>
    <row r="5095" spans="1:4" x14ac:dyDescent="0.2">
      <c r="A5095" s="5">
        <v>5034</v>
      </c>
      <c r="B5095" s="1714">
        <f>'Revenues 9-14'!C74</f>
        <v>0</v>
      </c>
      <c r="D5095" s="2" t="str">
        <f t="shared" si="78"/>
        <v>Error?</v>
      </c>
    </row>
    <row r="5096" spans="1:4" x14ac:dyDescent="0.2">
      <c r="A5096" s="5">
        <v>5035</v>
      </c>
      <c r="B5096" s="1714">
        <f>'Revenues 9-14'!C75</f>
        <v>836564</v>
      </c>
      <c r="C5096" s="2" t="s">
        <v>569</v>
      </c>
      <c r="D5096" s="2" t="str">
        <f t="shared" si="78"/>
        <v>Error?</v>
      </c>
    </row>
    <row r="5097" spans="1:4" x14ac:dyDescent="0.2">
      <c r="A5097" s="5">
        <v>5036</v>
      </c>
      <c r="B5097" s="1714">
        <f>'Revenues 9-14'!C77</f>
        <v>30875</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0</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0</v>
      </c>
      <c r="D5101" s="2" t="str">
        <f t="shared" si="78"/>
        <v>Error?</v>
      </c>
    </row>
    <row r="5102" spans="1:4" x14ac:dyDescent="0.2">
      <c r="A5102" s="5">
        <v>5041</v>
      </c>
      <c r="B5102" s="1714">
        <f>'Revenues 9-14'!C82</f>
        <v>30875</v>
      </c>
      <c r="C5102" s="2" t="s">
        <v>569</v>
      </c>
      <c r="D5102" s="2" t="str">
        <f t="shared" si="78"/>
        <v>Error?</v>
      </c>
    </row>
    <row r="5103" spans="1:4" x14ac:dyDescent="0.2">
      <c r="A5103" s="5">
        <v>5042</v>
      </c>
      <c r="B5103" s="1714">
        <f>'Revenues 9-14'!C84</f>
        <v>789962</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789962</v>
      </c>
      <c r="C5112" s="2" t="s">
        <v>569</v>
      </c>
      <c r="D5112" s="2" t="str">
        <f t="shared" si="78"/>
        <v>Error?</v>
      </c>
    </row>
    <row r="5113" spans="1:4" x14ac:dyDescent="0.2">
      <c r="A5113" s="5">
        <v>5052</v>
      </c>
      <c r="B5113" s="1714">
        <f>'Revenues 9-14'!C95</f>
        <v>0</v>
      </c>
      <c r="D5113" s="2" t="str">
        <f t="shared" si="78"/>
        <v>Error?</v>
      </c>
    </row>
    <row r="5114" spans="1:4" x14ac:dyDescent="0.2">
      <c r="A5114" s="5">
        <v>5053</v>
      </c>
      <c r="B5114" s="1714">
        <f>'Revenues 9-14'!C96</f>
        <v>499</v>
      </c>
      <c r="D5114" s="2" t="str">
        <f t="shared" si="78"/>
        <v>Error?</v>
      </c>
    </row>
    <row r="5115" spans="1:4" x14ac:dyDescent="0.2">
      <c r="A5115" s="5">
        <v>5054</v>
      </c>
      <c r="B5115" s="1714">
        <f>'Revenues 9-14'!C98</f>
        <v>234988</v>
      </c>
      <c r="D5115" s="2" t="str">
        <f t="shared" si="78"/>
        <v>Error?</v>
      </c>
    </row>
    <row r="5116" spans="1:4" x14ac:dyDescent="0.2">
      <c r="A5116" s="5">
        <v>5055</v>
      </c>
      <c r="B5116" s="1714">
        <f>'Revenues 9-14'!C99</f>
        <v>56088</v>
      </c>
      <c r="D5116" s="2" t="str">
        <f t="shared" si="78"/>
        <v>Error?</v>
      </c>
    </row>
    <row r="5117" spans="1:4" x14ac:dyDescent="0.2">
      <c r="A5117" s="5">
        <v>5056</v>
      </c>
      <c r="B5117" s="1714">
        <f>'Revenues 9-14'!C105</f>
        <v>0</v>
      </c>
      <c r="D5117" s="2" t="str">
        <f t="shared" si="78"/>
        <v>Error?</v>
      </c>
    </row>
    <row r="5118" spans="1:4" x14ac:dyDescent="0.2">
      <c r="A5118" s="5">
        <v>5057</v>
      </c>
      <c r="B5118" s="1714">
        <f>'Revenues 9-14'!C106</f>
        <v>118504</v>
      </c>
      <c r="D5118" s="2" t="str">
        <f t="shared" si="78"/>
        <v>Error?</v>
      </c>
    </row>
    <row r="5119" spans="1:4" x14ac:dyDescent="0.2">
      <c r="A5119" s="5">
        <v>5058</v>
      </c>
      <c r="B5119" s="1714">
        <f>'Revenues 9-14'!C107</f>
        <v>52123</v>
      </c>
      <c r="D5119" s="2" t="str">
        <f t="shared" ref="D5119:D5182" si="79">IF(ISBLANK(B5119),"OK",IF(A5119-B5119=0,"OK","Error?"))</f>
        <v>Error?</v>
      </c>
    </row>
    <row r="5120" spans="1:4" x14ac:dyDescent="0.2">
      <c r="A5120" s="5">
        <v>5059</v>
      </c>
      <c r="B5120" s="1714">
        <f>'Revenues 9-14'!C108</f>
        <v>506301</v>
      </c>
      <c r="C5120" s="2" t="s">
        <v>569</v>
      </c>
      <c r="D5120" s="2" t="str">
        <f t="shared" si="79"/>
        <v>Error?</v>
      </c>
    </row>
    <row r="5121" spans="1:4" x14ac:dyDescent="0.2">
      <c r="A5121" s="5">
        <v>5060</v>
      </c>
      <c r="B5121" s="1714">
        <f>'Revenues 9-14'!C109</f>
        <v>40546784</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6913207</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6913207</v>
      </c>
      <c r="C5132" s="2" t="s">
        <v>569</v>
      </c>
      <c r="D5132" s="2" t="str">
        <f t="shared" si="79"/>
        <v>Error?</v>
      </c>
    </row>
    <row r="5133" spans="1:4" x14ac:dyDescent="0.2">
      <c r="A5133" s="5">
        <v>5072</v>
      </c>
      <c r="B5133" s="1714">
        <f>'Revenues 9-14'!C125</f>
        <v>695847</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0</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695847</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43802</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59538</v>
      </c>
      <c r="C5161" s="2" t="s">
        <v>569</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569</v>
      </c>
      <c r="D5165" s="2" t="str">
        <f t="shared" si="79"/>
        <v>Error?</v>
      </c>
    </row>
    <row r="5166" spans="1:4" x14ac:dyDescent="0.2">
      <c r="A5166" s="10">
        <v>5105</v>
      </c>
      <c r="B5166" s="1714"/>
      <c r="D5166" s="2" t="str">
        <f t="shared" si="79"/>
        <v>OK</v>
      </c>
    </row>
    <row r="5167" spans="1:4" x14ac:dyDescent="0.2">
      <c r="A5167" s="5">
        <v>5106</v>
      </c>
      <c r="B5167" s="1714">
        <f>'Revenues 9-14'!C146</f>
        <v>818</v>
      </c>
      <c r="D5167" s="2" t="str">
        <f t="shared" si="79"/>
        <v>Error?</v>
      </c>
    </row>
    <row r="5168" spans="1:4" x14ac:dyDescent="0.2">
      <c r="A5168" s="5">
        <v>5107</v>
      </c>
      <c r="B5168" s="1714">
        <f>'Revenues 9-14'!C148</f>
        <v>24910</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1900</v>
      </c>
    </row>
    <row r="5200" spans="1:5" x14ac:dyDescent="0.2">
      <c r="A5200" s="10">
        <v>5139</v>
      </c>
      <c r="B5200" s="1714"/>
      <c r="D5200" s="2" t="str">
        <f t="shared" si="80"/>
        <v>OK</v>
      </c>
      <c r="E5200" s="4" t="s">
        <v>1900</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781113</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7694320</v>
      </c>
      <c r="C5223" s="2" t="s">
        <v>569</v>
      </c>
      <c r="D5223" s="2" t="str">
        <f t="shared" si="80"/>
        <v>Error?</v>
      </c>
    </row>
    <row r="5224" spans="1:4" x14ac:dyDescent="0.2">
      <c r="A5224" s="5">
        <v>5163</v>
      </c>
      <c r="B5224" s="1714">
        <f>'Revenues 9-14'!C173</f>
        <v>0</v>
      </c>
      <c r="D5224" s="2" t="str">
        <f t="shared" si="80"/>
        <v>Error?</v>
      </c>
    </row>
    <row r="5225" spans="1:4" x14ac:dyDescent="0.2">
      <c r="A5225" s="5">
        <v>5164</v>
      </c>
      <c r="B5225" s="1714">
        <f>'Revenues 9-14'!C175</f>
        <v>0</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39174</v>
      </c>
      <c r="D5239" s="2" t="str">
        <f t="shared" si="80"/>
        <v>Error?</v>
      </c>
    </row>
    <row r="5240" spans="1:4" x14ac:dyDescent="0.2">
      <c r="A5240" s="5">
        <v>5179</v>
      </c>
      <c r="B5240" s="1714">
        <f>'Revenues 9-14'!C192</f>
        <v>21823</v>
      </c>
      <c r="D5240" s="2" t="str">
        <f t="shared" si="80"/>
        <v>Error?</v>
      </c>
    </row>
    <row r="5241" spans="1:4" x14ac:dyDescent="0.2">
      <c r="A5241" s="5">
        <v>5180</v>
      </c>
      <c r="B5241" s="1714">
        <f>'Revenues 9-14'!C193</f>
        <v>0</v>
      </c>
      <c r="D5241" s="2" t="str">
        <f t="shared" si="80"/>
        <v>Error?</v>
      </c>
    </row>
    <row r="5242" spans="1:4" x14ac:dyDescent="0.2">
      <c r="A5242" s="5">
        <v>5181</v>
      </c>
      <c r="B5242" s="1714">
        <f>'Revenues 9-14'!C194</f>
        <v>44015</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105012</v>
      </c>
      <c r="C5246" s="2" t="s">
        <v>569</v>
      </c>
      <c r="D5246" s="2" t="str">
        <f t="shared" si="80"/>
        <v>Error?</v>
      </c>
    </row>
    <row r="5247" spans="1:4" x14ac:dyDescent="0.2">
      <c r="A5247" s="5">
        <v>5186</v>
      </c>
      <c r="B5247" s="1714">
        <f>'Revenues 9-14'!C200</f>
        <v>184745</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1900</v>
      </c>
    </row>
    <row r="5255" spans="1:5" x14ac:dyDescent="0.2">
      <c r="A5255" s="5">
        <v>5194</v>
      </c>
      <c r="B5255" s="1714">
        <f>'Revenues 9-14'!C202</f>
        <v>0</v>
      </c>
      <c r="D5255" s="2" t="str">
        <f t="shared" si="81"/>
        <v>Error?</v>
      </c>
    </row>
    <row r="5256" spans="1:5" x14ac:dyDescent="0.2">
      <c r="A5256" s="5">
        <v>5195</v>
      </c>
      <c r="B5256" s="1714">
        <f>'Revenues 9-14'!C206</f>
        <v>12692</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184745</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15186</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731934</v>
      </c>
      <c r="D5278" s="2" t="str">
        <f t="shared" si="81"/>
        <v>Error?</v>
      </c>
    </row>
    <row r="5279" spans="1:4" x14ac:dyDescent="0.2">
      <c r="A5279" s="5">
        <v>5218</v>
      </c>
      <c r="B5279" s="1714">
        <f>'Revenues 9-14'!C214</f>
        <v>0</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747120</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16685</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16685</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9558</v>
      </c>
      <c r="D5312" s="2" t="str">
        <f t="shared" si="82"/>
        <v>Error?</v>
      </c>
    </row>
    <row r="5313" spans="1:5" x14ac:dyDescent="0.2">
      <c r="A5313" s="10">
        <v>5252</v>
      </c>
      <c r="B5313" s="1714"/>
      <c r="D5313" s="2" t="str">
        <f t="shared" si="82"/>
        <v>OK</v>
      </c>
      <c r="E5313" s="4" t="s">
        <v>1900</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1432359</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1432359</v>
      </c>
      <c r="C5326" s="2" t="s">
        <v>569</v>
      </c>
      <c r="D5326" s="2" t="str">
        <f t="shared" si="82"/>
        <v>Error?</v>
      </c>
    </row>
    <row r="5327" spans="1:5" x14ac:dyDescent="0.2">
      <c r="A5327" s="5">
        <v>5266</v>
      </c>
      <c r="B5327" s="1714">
        <f>'Revenues 9-14'!C268</f>
        <v>49673463</v>
      </c>
      <c r="C5327" s="2" t="s">
        <v>569</v>
      </c>
      <c r="D5327" s="2" t="str">
        <f t="shared" si="82"/>
        <v>Error?</v>
      </c>
    </row>
    <row r="5328" spans="1:5" x14ac:dyDescent="0.2">
      <c r="A5328" s="5">
        <v>5267</v>
      </c>
      <c r="B5328" s="1714">
        <f>'Revenues 9-14'!D5</f>
        <v>5688502</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5688502</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0</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0</v>
      </c>
      <c r="C5339" s="2" t="s">
        <v>569</v>
      </c>
      <c r="D5339" s="2" t="str">
        <f t="shared" si="82"/>
        <v>Error?</v>
      </c>
    </row>
    <row r="5340" spans="1:4" x14ac:dyDescent="0.2">
      <c r="A5340" s="5">
        <v>5279</v>
      </c>
      <c r="B5340" s="1714">
        <f>'Revenues 9-14'!D65</f>
        <v>153276</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153276</v>
      </c>
      <c r="C5342" s="2" t="s">
        <v>569</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569</v>
      </c>
      <c r="D5348" s="2" t="str">
        <f t="shared" si="82"/>
        <v>Error?</v>
      </c>
    </row>
    <row r="5349" spans="1:4" x14ac:dyDescent="0.2">
      <c r="A5349" s="5">
        <v>5288</v>
      </c>
      <c r="B5349" s="1714">
        <f>'Revenues 9-14'!D95</f>
        <v>65781</v>
      </c>
      <c r="D5349" s="2" t="str">
        <f t="shared" si="82"/>
        <v>Error?</v>
      </c>
    </row>
    <row r="5350" spans="1:4" x14ac:dyDescent="0.2">
      <c r="A5350" s="5">
        <v>5289</v>
      </c>
      <c r="B5350" s="1714">
        <f>'Revenues 9-14'!D96</f>
        <v>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129121</v>
      </c>
      <c r="D5354" s="2" t="str">
        <f t="shared" si="82"/>
        <v>Error?</v>
      </c>
    </row>
    <row r="5355" spans="1:4" x14ac:dyDescent="0.2">
      <c r="A5355" s="5">
        <v>5294</v>
      </c>
      <c r="B5355" s="1714">
        <f>'Revenues 9-14'!D108</f>
        <v>298090</v>
      </c>
      <c r="C5355" s="2" t="s">
        <v>569</v>
      </c>
      <c r="D5355" s="2" t="str">
        <f t="shared" si="82"/>
        <v>Error?</v>
      </c>
    </row>
    <row r="5356" spans="1:4" x14ac:dyDescent="0.2">
      <c r="A5356" s="5">
        <v>5295</v>
      </c>
      <c r="B5356" s="1714">
        <f>'Revenues 9-14'!D109</f>
        <v>6139868</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50000</v>
      </c>
      <c r="C5421" s="2" t="s">
        <v>569</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1900</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569</v>
      </c>
      <c r="D5507" s="2" t="str">
        <f t="shared" si="85"/>
        <v>Error?</v>
      </c>
    </row>
    <row r="5508" spans="1:4" x14ac:dyDescent="0.2">
      <c r="A5508" s="5">
        <v>5447</v>
      </c>
      <c r="B5508" s="1714">
        <f>'Revenues 9-14'!D268</f>
        <v>6189868</v>
      </c>
      <c r="C5508" s="2" t="s">
        <v>569</v>
      </c>
      <c r="D5508" s="2" t="str">
        <f t="shared" si="85"/>
        <v>Error?</v>
      </c>
    </row>
    <row r="5509" spans="1:4" x14ac:dyDescent="0.2">
      <c r="A5509" s="5">
        <v>5448</v>
      </c>
      <c r="B5509" s="1714">
        <f>'Revenues 9-14'!E5</f>
        <v>11756470</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11756470</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74116</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74116</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11830586</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11830586</v>
      </c>
      <c r="C5552" s="2" t="s">
        <v>569</v>
      </c>
      <c r="D5552" s="2" t="str">
        <f t="shared" si="85"/>
        <v>Error?</v>
      </c>
    </row>
    <row r="5553" spans="1:4" x14ac:dyDescent="0.2">
      <c r="A5553" s="5">
        <v>5492</v>
      </c>
      <c r="B5553" s="1714">
        <f>'Revenues 9-14'!F5</f>
        <v>1569229</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1569229</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569</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19609</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16021</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35630</v>
      </c>
      <c r="C5579" s="2" t="s">
        <v>569</v>
      </c>
      <c r="D5579" s="2" t="str">
        <f t="shared" si="86"/>
        <v>Error?</v>
      </c>
    </row>
    <row r="5580" spans="1:4" x14ac:dyDescent="0.2">
      <c r="A5580" s="5">
        <v>5519</v>
      </c>
      <c r="B5580" s="1714">
        <f>'Revenues 9-14'!F65</f>
        <v>54425</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54425</v>
      </c>
      <c r="C5582" s="2" t="s">
        <v>569</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23837</v>
      </c>
      <c r="D5586" s="2" t="str">
        <f t="shared" si="86"/>
        <v>Error?</v>
      </c>
    </row>
    <row r="5587" spans="1:4" x14ac:dyDescent="0.2">
      <c r="A5587" s="5">
        <v>5526</v>
      </c>
      <c r="B5587" s="1714">
        <f>'Revenues 9-14'!F108</f>
        <v>23837</v>
      </c>
      <c r="C5587" s="2" t="s">
        <v>569</v>
      </c>
      <c r="D5587" s="2" t="str">
        <f t="shared" si="86"/>
        <v>Error?</v>
      </c>
    </row>
    <row r="5588" spans="1:4" x14ac:dyDescent="0.2">
      <c r="A5588" s="5">
        <v>5527</v>
      </c>
      <c r="B5588" s="1714">
        <f>'Revenues 9-14'!F109</f>
        <v>1683121</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400000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400000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1834167</v>
      </c>
      <c r="D5615" s="2" t="str">
        <f t="shared" si="86"/>
        <v>Error?</v>
      </c>
    </row>
    <row r="5616" spans="1:4" x14ac:dyDescent="0.2">
      <c r="A5616" s="10">
        <v>5555</v>
      </c>
      <c r="B5616" s="1714"/>
      <c r="D5616" s="2" t="str">
        <f t="shared" si="86"/>
        <v>OK</v>
      </c>
    </row>
    <row r="5617" spans="1:5" x14ac:dyDescent="0.2">
      <c r="A5617" s="5">
        <v>5556</v>
      </c>
      <c r="B5617" s="1714">
        <f>'Revenues 9-14'!F153</f>
        <v>1501252</v>
      </c>
      <c r="D5617" s="2" t="str">
        <f t="shared" si="86"/>
        <v>Error?</v>
      </c>
    </row>
    <row r="5618" spans="1:5" x14ac:dyDescent="0.2">
      <c r="A5618" s="5">
        <v>5557</v>
      </c>
      <c r="B5618" s="1714">
        <f>'Revenues 9-14'!F155</f>
        <v>3335419</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1900</v>
      </c>
    </row>
    <row r="5631" spans="1:5" x14ac:dyDescent="0.2">
      <c r="A5631" s="10">
        <v>5570</v>
      </c>
      <c r="B5631" s="1714"/>
      <c r="D5631" s="2" t="str">
        <f t="shared" ref="D5631:D5694" si="87">IF(ISBLANK(B5631),"OK",IF(A5631-B5631=0,"OK","Error?"))</f>
        <v>OK</v>
      </c>
      <c r="E5631" s="4" t="s">
        <v>1900</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3335419</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3735419</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1900</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1900</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5418540</v>
      </c>
      <c r="C5720" s="2" t="s">
        <v>569</v>
      </c>
      <c r="D5720" s="2" t="str">
        <f t="shared" si="88"/>
        <v>Error?</v>
      </c>
    </row>
    <row r="5721" spans="1:4" x14ac:dyDescent="0.2">
      <c r="A5721" s="5">
        <v>5660</v>
      </c>
      <c r="B5721" s="1714">
        <f>'Revenues 9-14'!G5</f>
        <v>490386</v>
      </c>
      <c r="D5721" s="2" t="str">
        <f t="shared" si="88"/>
        <v>Error?</v>
      </c>
    </row>
    <row r="5722" spans="1:4" x14ac:dyDescent="0.2">
      <c r="A5722" s="5">
        <v>5661</v>
      </c>
      <c r="B5722" s="1714">
        <f>'Revenues 9-14'!G7</f>
        <v>0</v>
      </c>
      <c r="D5722" s="2" t="str">
        <f t="shared" si="88"/>
        <v>Error?</v>
      </c>
    </row>
    <row r="5723" spans="1:4" x14ac:dyDescent="0.2">
      <c r="A5723" s="5">
        <v>5662</v>
      </c>
      <c r="B5723" s="1714">
        <f>'Revenues 9-14'!G8</f>
        <v>833654</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1324040</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75000</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75000</v>
      </c>
      <c r="C5730" s="2" t="s">
        <v>569</v>
      </c>
      <c r="D5730" s="2" t="str">
        <f t="shared" si="88"/>
        <v>Error?</v>
      </c>
    </row>
    <row r="5731" spans="1:4" x14ac:dyDescent="0.2">
      <c r="A5731" s="5">
        <v>5670</v>
      </c>
      <c r="B5731" s="1714">
        <f>'Revenues 9-14'!G65</f>
        <v>36859</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36859</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1900</v>
      </c>
    </row>
    <row r="5768" spans="1:5" x14ac:dyDescent="0.2">
      <c r="A5768" s="10">
        <v>5707</v>
      </c>
      <c r="B5768" s="1714"/>
      <c r="D5768" s="2" t="str">
        <f t="shared" si="89"/>
        <v>OK</v>
      </c>
      <c r="E5768" s="4" t="s">
        <v>1900</v>
      </c>
    </row>
    <row r="5769" spans="1:5" x14ac:dyDescent="0.2">
      <c r="A5769" s="10">
        <v>5708</v>
      </c>
      <c r="B5769" s="1714"/>
      <c r="D5769" s="2" t="str">
        <f t="shared" si="89"/>
        <v>OK</v>
      </c>
    </row>
    <row r="5770" spans="1:5" x14ac:dyDescent="0.2">
      <c r="A5770" s="5">
        <v>5709</v>
      </c>
      <c r="B5770" s="1714">
        <f>'Revenues 9-14'!G169</f>
        <v>0</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1900</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1900</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569</v>
      </c>
      <c r="D5869" s="2" t="str">
        <f t="shared" si="90"/>
        <v>Error?</v>
      </c>
    </row>
    <row r="5870" spans="1:4" x14ac:dyDescent="0.2">
      <c r="A5870" s="5">
        <v>5809</v>
      </c>
      <c r="B5870" s="1714">
        <f>'Revenues 9-14'!G268</f>
        <v>1435899</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0</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0</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0</v>
      </c>
      <c r="D5885" s="2" t="str">
        <f t="shared" si="90"/>
        <v>Error?</v>
      </c>
    </row>
    <row r="5886" spans="1:4" x14ac:dyDescent="0.2">
      <c r="A5886" s="5">
        <v>5825</v>
      </c>
      <c r="B5886" s="1714">
        <f>'Revenues 9-14'!H108</f>
        <v>0</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0</v>
      </c>
      <c r="C5915" s="2" t="s">
        <v>569</v>
      </c>
      <c r="D5915" s="2" t="str">
        <f t="shared" si="91"/>
        <v>Error?</v>
      </c>
    </row>
    <row r="5916" spans="1:4" x14ac:dyDescent="0.2">
      <c r="A5916" s="5">
        <v>5855</v>
      </c>
      <c r="B5916" s="1714">
        <f>'Revenues 9-14'!I5</f>
        <v>98091</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98091</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33821</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33821</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131912</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0</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0</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0</v>
      </c>
      <c r="C6023" s="2" t="s">
        <v>569</v>
      </c>
      <c r="D6023" s="2" t="str">
        <f t="shared" si="93"/>
        <v>Error?</v>
      </c>
    </row>
    <row r="6024" spans="1:5" x14ac:dyDescent="0.2">
      <c r="A6024" s="5">
        <v>5963</v>
      </c>
      <c r="B6024" s="1714">
        <f>'Revenues 9-14'!G109</f>
        <v>1435899</v>
      </c>
      <c r="C6024" s="2" t="s">
        <v>569</v>
      </c>
      <c r="D6024" s="2" t="str">
        <f t="shared" si="93"/>
        <v>Error?</v>
      </c>
    </row>
    <row r="6025" spans="1:5" x14ac:dyDescent="0.2">
      <c r="A6025" s="5">
        <v>5964</v>
      </c>
      <c r="B6025" s="1714">
        <f>'Revenues 9-14'!H109</f>
        <v>0</v>
      </c>
      <c r="C6025" s="2" t="s">
        <v>569</v>
      </c>
      <c r="D6025" s="2" t="str">
        <f t="shared" si="93"/>
        <v>Error?</v>
      </c>
    </row>
    <row r="6026" spans="1:5" x14ac:dyDescent="0.2">
      <c r="A6026" s="5">
        <v>5965</v>
      </c>
      <c r="B6026" s="1714">
        <f>'Revenues 9-14'!I109</f>
        <v>131912</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0</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45171</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12560</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3947.1</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0</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0</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292812</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820894</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0</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219303</v>
      </c>
      <c r="D6133" s="2" t="str">
        <f t="shared" si="94"/>
        <v>Error?</v>
      </c>
      <c r="E6133" s="2" t="s">
        <v>189</v>
      </c>
    </row>
    <row r="6134" spans="1:5" x14ac:dyDescent="0.2">
      <c r="A6134">
        <v>6073</v>
      </c>
      <c r="B6134" s="1714">
        <f>'Assets-Liab 5-6'!D26</f>
        <v>24135</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7569</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0</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284604</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0</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0</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0</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0</v>
      </c>
      <c r="D6216" s="2" t="str">
        <f t="shared" si="96"/>
        <v>Error?</v>
      </c>
      <c r="E6216" s="2" t="s">
        <v>189</v>
      </c>
    </row>
    <row r="6217" spans="1:5" x14ac:dyDescent="0.2">
      <c r="A6217">
        <v>6156</v>
      </c>
      <c r="B6217" s="1714">
        <f>'Assets-Liab 5-6'!J4</f>
        <v>0</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0</v>
      </c>
      <c r="D6219" s="2" t="str">
        <f t="shared" si="96"/>
        <v>Error?</v>
      </c>
      <c r="E6219" s="2" t="s">
        <v>189</v>
      </c>
    </row>
    <row r="6220" spans="1:5" x14ac:dyDescent="0.2">
      <c r="A6220">
        <v>6159</v>
      </c>
      <c r="B6220" s="1714">
        <f>'Acct Summary 7-8'!J4</f>
        <v>0</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0</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0</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0</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0</v>
      </c>
      <c r="D6229" s="2" t="str">
        <f t="shared" si="96"/>
        <v>Error?</v>
      </c>
      <c r="E6229" s="2" t="s">
        <v>189</v>
      </c>
    </row>
    <row r="6230" spans="1:5" x14ac:dyDescent="0.2">
      <c r="A6230">
        <v>6169</v>
      </c>
      <c r="B6230" s="1714">
        <f>'Acct Summary 7-8'!J20</f>
        <v>0</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0</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0</v>
      </c>
      <c r="D6263" s="2" t="str">
        <f t="shared" si="96"/>
        <v>Error?</v>
      </c>
      <c r="E6263" s="2" t="s">
        <v>189</v>
      </c>
    </row>
    <row r="6264" spans="1:5" x14ac:dyDescent="0.2">
      <c r="A6264">
        <v>6203</v>
      </c>
      <c r="B6264" s="1714">
        <f>'Acct Summary 7-8'!J79</f>
        <v>0</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0</v>
      </c>
      <c r="D6266" s="2" t="str">
        <f t="shared" si="96"/>
        <v>Error?</v>
      </c>
      <c r="E6266" s="2" t="s">
        <v>189</v>
      </c>
    </row>
    <row r="6267" spans="1:5" x14ac:dyDescent="0.2">
      <c r="A6267">
        <v>6206</v>
      </c>
      <c r="B6267" s="1714">
        <f>'Acct Summary 7-8'!C82</f>
        <v>-378961</v>
      </c>
      <c r="D6267" s="2" t="str">
        <f t="shared" si="96"/>
        <v>Error?</v>
      </c>
      <c r="E6267" s="2" t="s">
        <v>189</v>
      </c>
    </row>
    <row r="6268" spans="1:5" x14ac:dyDescent="0.2">
      <c r="A6268">
        <v>6207</v>
      </c>
      <c r="B6268" s="1714">
        <f>'Acct Summary 7-8'!D82</f>
        <v>736432</v>
      </c>
      <c r="D6268" s="2" t="str">
        <f t="shared" si="96"/>
        <v>Error?</v>
      </c>
      <c r="E6268" s="2" t="s">
        <v>189</v>
      </c>
    </row>
    <row r="6269" spans="1:5" x14ac:dyDescent="0.2">
      <c r="A6269">
        <v>6208</v>
      </c>
      <c r="B6269" s="1714">
        <f>'Acct Summary 7-8'!E82</f>
        <v>130293</v>
      </c>
      <c r="D6269" s="2" t="str">
        <f t="shared" si="96"/>
        <v>Error?</v>
      </c>
      <c r="E6269" s="2" t="s">
        <v>189</v>
      </c>
    </row>
    <row r="6270" spans="1:5" x14ac:dyDescent="0.2">
      <c r="A6270">
        <v>6209</v>
      </c>
      <c r="B6270" s="1714">
        <f>'Acct Summary 7-8'!F82</f>
        <v>639543</v>
      </c>
      <c r="D6270" s="2" t="str">
        <f t="shared" si="96"/>
        <v>Error?</v>
      </c>
      <c r="E6270" s="2" t="s">
        <v>189</v>
      </c>
    </row>
    <row r="6271" spans="1:5" x14ac:dyDescent="0.2">
      <c r="A6271">
        <v>6210</v>
      </c>
      <c r="B6271" s="1714">
        <f>'Acct Summary 7-8'!G82</f>
        <v>-93374</v>
      </c>
      <c r="D6271" s="2" t="str">
        <f t="shared" ref="D6271:D6334" si="97">IF(ISBLANK(B6271),"OK",IF(A6271-B6271=0,"OK","Error?"))</f>
        <v>Error?</v>
      </c>
      <c r="E6271" s="2" t="s">
        <v>189</v>
      </c>
    </row>
    <row r="6272" spans="1:5" x14ac:dyDescent="0.2">
      <c r="A6272">
        <v>6211</v>
      </c>
      <c r="B6272" s="1714">
        <f>'Acct Summary 7-8'!H82</f>
        <v>0</v>
      </c>
      <c r="D6272" s="2" t="str">
        <f t="shared" si="97"/>
        <v>Error?</v>
      </c>
      <c r="E6272" s="2" t="s">
        <v>189</v>
      </c>
    </row>
    <row r="6273" spans="1:5" x14ac:dyDescent="0.2">
      <c r="A6273">
        <v>6212</v>
      </c>
      <c r="B6273" s="1714">
        <f>'Acct Summary 7-8'!I82</f>
        <v>131912</v>
      </c>
      <c r="D6273" s="2" t="str">
        <f t="shared" si="97"/>
        <v>Error?</v>
      </c>
      <c r="E6273" s="2" t="s">
        <v>189</v>
      </c>
    </row>
    <row r="6274" spans="1:5" x14ac:dyDescent="0.2">
      <c r="A6274">
        <v>6213</v>
      </c>
      <c r="B6274" s="1714">
        <f>'Acct Summary 7-8'!J82</f>
        <v>0</v>
      </c>
      <c r="D6274" s="2" t="str">
        <f t="shared" si="97"/>
        <v>Error?</v>
      </c>
      <c r="E6274" s="2" t="s">
        <v>189</v>
      </c>
    </row>
    <row r="6275" spans="1:5" x14ac:dyDescent="0.2">
      <c r="A6275">
        <v>6214</v>
      </c>
      <c r="B6275" s="1714">
        <f>'Acct Summary 7-8'!K82</f>
        <v>0</v>
      </c>
      <c r="D6275" s="2" t="str">
        <f t="shared" si="97"/>
        <v>Error?</v>
      </c>
      <c r="E6275" s="2" t="s">
        <v>189</v>
      </c>
    </row>
    <row r="6276" spans="1:5" x14ac:dyDescent="0.2">
      <c r="A6276">
        <v>6215</v>
      </c>
      <c r="B6276" s="1714">
        <f>'Acct Summary 7-8'!C83</f>
        <v>-0.10733845740745566</v>
      </c>
      <c r="D6276" s="2" t="str">
        <f t="shared" si="97"/>
        <v>Error?</v>
      </c>
      <c r="E6276" s="2" t="s">
        <v>189</v>
      </c>
    </row>
    <row r="6277" spans="1:5" x14ac:dyDescent="0.2">
      <c r="A6277">
        <v>6216</v>
      </c>
      <c r="B6277" s="1714">
        <f>'Acct Summary 7-8'!D83</f>
        <v>0.1694782166437683</v>
      </c>
      <c r="D6277" s="2" t="str">
        <f t="shared" si="97"/>
        <v>Error?</v>
      </c>
      <c r="E6277" s="2" t="s">
        <v>189</v>
      </c>
    </row>
    <row r="6278" spans="1:5" x14ac:dyDescent="0.2">
      <c r="A6278">
        <v>6217</v>
      </c>
      <c r="B6278" s="1714">
        <f>'Acct Summary 7-8'!E83</f>
        <v>0.11591532655537723</v>
      </c>
      <c r="D6278" s="2" t="str">
        <f t="shared" si="97"/>
        <v>Error?</v>
      </c>
      <c r="E6278" s="2" t="s">
        <v>189</v>
      </c>
    </row>
    <row r="6279" spans="1:5" x14ac:dyDescent="0.2">
      <c r="A6279">
        <v>6218</v>
      </c>
      <c r="B6279" s="1714">
        <f>'Acct Summary 7-8'!F83</f>
        <v>0.20444218686965232</v>
      </c>
      <c r="D6279" s="2" t="str">
        <f t="shared" si="97"/>
        <v>Error?</v>
      </c>
      <c r="E6279" s="2" t="s">
        <v>189</v>
      </c>
    </row>
    <row r="6280" spans="1:5" x14ac:dyDescent="0.2">
      <c r="A6280">
        <v>6219</v>
      </c>
      <c r="B6280" s="1714">
        <f>'Acct Summary 7-8'!G83</f>
        <v>-8.4673002285175381E-2</v>
      </c>
      <c r="D6280" s="2" t="str">
        <f t="shared" si="97"/>
        <v>Error?</v>
      </c>
      <c r="E6280" s="2" t="s">
        <v>189</v>
      </c>
    </row>
    <row r="6281" spans="1:5" x14ac:dyDescent="0.2">
      <c r="A6281">
        <v>6220</v>
      </c>
      <c r="B6281" s="1714" t="e">
        <f>'Acct Summary 7-8'!H83</f>
        <v>#DIV/0!</v>
      </c>
      <c r="D6281" s="2" t="e">
        <f t="shared" si="97"/>
        <v>#DIV/0!</v>
      </c>
      <c r="E6281" s="2" t="s">
        <v>189</v>
      </c>
    </row>
    <row r="6282" spans="1:5" x14ac:dyDescent="0.2">
      <c r="A6282">
        <v>6221</v>
      </c>
      <c r="B6282" s="1714">
        <f>'Acct Summary 7-8'!I83</f>
        <v>8.9164009676693273E-2</v>
      </c>
      <c r="D6282" s="2" t="str">
        <f t="shared" si="97"/>
        <v>Error?</v>
      </c>
      <c r="E6282" s="2" t="s">
        <v>189</v>
      </c>
    </row>
    <row r="6283" spans="1:5" x14ac:dyDescent="0.2">
      <c r="A6283">
        <v>6222</v>
      </c>
      <c r="B6283" s="1714" t="e">
        <f>'Acct Summary 7-8'!J83</f>
        <v>#DIV/0!</v>
      </c>
      <c r="D6283" s="2" t="e">
        <f t="shared" si="97"/>
        <v>#DIV/0!</v>
      </c>
      <c r="E6283" s="2" t="s">
        <v>189</v>
      </c>
    </row>
    <row r="6284" spans="1:5" x14ac:dyDescent="0.2">
      <c r="A6284">
        <v>6223</v>
      </c>
      <c r="B6284" s="1714" t="e">
        <f>'Acct Summary 7-8'!K83</f>
        <v>#DIV/0!</v>
      </c>
      <c r="D6284" s="2" t="e">
        <f t="shared" si="97"/>
        <v>#DIV/0!</v>
      </c>
      <c r="E6284" s="2" t="s">
        <v>189</v>
      </c>
    </row>
    <row r="6285" spans="1:5" x14ac:dyDescent="0.2">
      <c r="A6285">
        <v>6224</v>
      </c>
      <c r="B6285" s="1714">
        <f>'Acct Summary 7-8'!E37</f>
        <v>0</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0</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0</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0</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0</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103188</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3289</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40810</v>
      </c>
      <c r="D6339" s="2" t="str">
        <f t="shared" si="98"/>
        <v>Error?</v>
      </c>
      <c r="E6339" s="2" t="s">
        <v>189</v>
      </c>
    </row>
    <row r="6340" spans="1:5" x14ac:dyDescent="0.2">
      <c r="A6340">
        <v>6279</v>
      </c>
      <c r="B6340" s="1714">
        <f>'Revenues 9-14'!C102</f>
        <v>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0</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15736</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1899</v>
      </c>
    </row>
    <row r="6383" spans="1:6" x14ac:dyDescent="0.2">
      <c r="A6383" s="126">
        <v>6322</v>
      </c>
      <c r="B6383" s="1714"/>
      <c r="D6383" s="2" t="str">
        <f t="shared" si="98"/>
        <v>OK</v>
      </c>
      <c r="E6383" s="2" t="s">
        <v>189</v>
      </c>
      <c r="F6383" s="1" t="s">
        <v>1899</v>
      </c>
    </row>
    <row r="6384" spans="1:6" x14ac:dyDescent="0.2">
      <c r="A6384" s="126">
        <v>6323</v>
      </c>
      <c r="B6384" s="1714"/>
      <c r="D6384" s="2" t="str">
        <f t="shared" si="98"/>
        <v>OK</v>
      </c>
      <c r="E6384" s="2" t="s">
        <v>189</v>
      </c>
      <c r="F6384" s="1" t="s">
        <v>1899</v>
      </c>
    </row>
    <row r="6385" spans="1:6" x14ac:dyDescent="0.2">
      <c r="A6385" s="126">
        <v>6324</v>
      </c>
      <c r="B6385" s="1714"/>
      <c r="D6385" s="2" t="str">
        <f t="shared" si="98"/>
        <v>OK</v>
      </c>
      <c r="E6385" s="2" t="s">
        <v>189</v>
      </c>
      <c r="F6385" s="1" t="s">
        <v>1899</v>
      </c>
    </row>
    <row r="6386" spans="1:6" x14ac:dyDescent="0.2">
      <c r="A6386" s="126">
        <v>6325</v>
      </c>
      <c r="B6386" s="1714"/>
      <c r="D6386" s="2" t="str">
        <f t="shared" si="98"/>
        <v>OK</v>
      </c>
      <c r="E6386" s="2" t="s">
        <v>189</v>
      </c>
      <c r="F6386" s="1" t="s">
        <v>1899</v>
      </c>
    </row>
    <row r="6387" spans="1:6" x14ac:dyDescent="0.2">
      <c r="A6387" s="126">
        <v>6326</v>
      </c>
      <c r="B6387" s="1714"/>
      <c r="D6387" s="2" t="str">
        <f t="shared" si="98"/>
        <v>OK</v>
      </c>
      <c r="E6387" s="2" t="s">
        <v>189</v>
      </c>
      <c r="F6387" s="1" t="s">
        <v>1899</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1899</v>
      </c>
    </row>
    <row r="6411" spans="1:6" x14ac:dyDescent="0.2">
      <c r="A6411" s="126">
        <v>6350</v>
      </c>
      <c r="B6411" s="1714"/>
      <c r="D6411" s="2" t="str">
        <f t="shared" si="99"/>
        <v>OK</v>
      </c>
      <c r="E6411" s="2" t="s">
        <v>189</v>
      </c>
      <c r="F6411" s="1" t="s">
        <v>1899</v>
      </c>
    </row>
    <row r="6412" spans="1:6" x14ac:dyDescent="0.2">
      <c r="A6412" s="126">
        <v>6351</v>
      </c>
      <c r="B6412" s="1714"/>
      <c r="D6412" s="2" t="str">
        <f t="shared" si="99"/>
        <v>OK</v>
      </c>
      <c r="E6412" s="2" t="s">
        <v>189</v>
      </c>
      <c r="F6412" s="1" t="s">
        <v>1899</v>
      </c>
    </row>
    <row r="6413" spans="1:6" x14ac:dyDescent="0.2">
      <c r="A6413" s="126">
        <v>6352</v>
      </c>
      <c r="B6413" s="1714"/>
      <c r="D6413" s="2" t="str">
        <f t="shared" si="99"/>
        <v>OK</v>
      </c>
      <c r="E6413" s="2" t="s">
        <v>189</v>
      </c>
      <c r="F6413" s="1" t="s">
        <v>1899</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1995</v>
      </c>
    </row>
    <row r="6417" spans="1:5" x14ac:dyDescent="0.2">
      <c r="A6417" s="126">
        <v>6356</v>
      </c>
      <c r="B6417" s="1714"/>
      <c r="D6417" s="2" t="str">
        <f t="shared" si="99"/>
        <v>OK</v>
      </c>
      <c r="E6417" s="4" t="s">
        <v>1995</v>
      </c>
    </row>
    <row r="6418" spans="1:5" x14ac:dyDescent="0.2">
      <c r="A6418" s="126">
        <v>6357</v>
      </c>
      <c r="B6418" s="1714"/>
      <c r="D6418" s="2" t="str">
        <f t="shared" si="99"/>
        <v>OK</v>
      </c>
      <c r="E6418" s="4" t="s">
        <v>1995</v>
      </c>
    </row>
    <row r="6419" spans="1:5" x14ac:dyDescent="0.2">
      <c r="A6419" s="126">
        <v>6358</v>
      </c>
      <c r="B6419" s="1714"/>
      <c r="D6419" s="2" t="str">
        <f t="shared" si="99"/>
        <v>OK</v>
      </c>
      <c r="E6419" s="4" t="s">
        <v>1995</v>
      </c>
    </row>
    <row r="6420" spans="1:5" x14ac:dyDescent="0.2">
      <c r="A6420" s="126">
        <v>6359</v>
      </c>
      <c r="B6420" s="1714"/>
      <c r="D6420" s="2" t="str">
        <f t="shared" si="99"/>
        <v>OK</v>
      </c>
      <c r="E6420" s="4" t="s">
        <v>1995</v>
      </c>
    </row>
    <row r="6421" spans="1:5" x14ac:dyDescent="0.2">
      <c r="A6421" s="126">
        <v>6360</v>
      </c>
      <c r="B6421" s="1714"/>
      <c r="D6421" s="2" t="str">
        <f t="shared" si="99"/>
        <v>OK</v>
      </c>
      <c r="E6421" s="4" t="s">
        <v>1995</v>
      </c>
    </row>
    <row r="6422" spans="1:5" x14ac:dyDescent="0.2">
      <c r="A6422" s="126">
        <v>6361</v>
      </c>
      <c r="B6422" s="1714"/>
      <c r="D6422" s="2" t="str">
        <f t="shared" si="99"/>
        <v>OK</v>
      </c>
      <c r="E6422" s="4" t="s">
        <v>1995</v>
      </c>
    </row>
    <row r="6423" spans="1:5" x14ac:dyDescent="0.2">
      <c r="A6423" s="126">
        <v>6362</v>
      </c>
      <c r="B6423" s="1714"/>
      <c r="D6423" s="2" t="str">
        <f t="shared" si="99"/>
        <v>OK</v>
      </c>
      <c r="E6423" s="4" t="s">
        <v>1995</v>
      </c>
    </row>
    <row r="6424" spans="1:5" x14ac:dyDescent="0.2">
      <c r="A6424" s="126">
        <v>6363</v>
      </c>
      <c r="B6424" s="1714"/>
      <c r="D6424" s="2" t="str">
        <f t="shared" si="99"/>
        <v>OK</v>
      </c>
      <c r="E6424" s="4" t="s">
        <v>1995</v>
      </c>
    </row>
    <row r="6425" spans="1:5" x14ac:dyDescent="0.2">
      <c r="A6425" s="126">
        <v>6364</v>
      </c>
      <c r="B6425" s="1714"/>
      <c r="D6425" s="2" t="str">
        <f t="shared" si="99"/>
        <v>OK</v>
      </c>
      <c r="E6425" s="4" t="s">
        <v>1995</v>
      </c>
    </row>
    <row r="6426" spans="1:5" x14ac:dyDescent="0.2">
      <c r="A6426" s="126">
        <v>6365</v>
      </c>
      <c r="B6426" s="1714"/>
      <c r="D6426" s="2" t="str">
        <f t="shared" si="99"/>
        <v>OK</v>
      </c>
      <c r="E6426" s="4" t="s">
        <v>1995</v>
      </c>
    </row>
    <row r="6427" spans="1:5" x14ac:dyDescent="0.2">
      <c r="A6427" s="126">
        <v>6366</v>
      </c>
      <c r="B6427" s="1714"/>
      <c r="D6427" s="2" t="str">
        <f t="shared" si="99"/>
        <v>OK</v>
      </c>
      <c r="E6427" s="4" t="s">
        <v>1995</v>
      </c>
    </row>
    <row r="6428" spans="1:5" x14ac:dyDescent="0.2">
      <c r="A6428" s="126">
        <v>6367</v>
      </c>
      <c r="B6428" s="1714"/>
      <c r="D6428" s="2" t="str">
        <f t="shared" si="99"/>
        <v>OK</v>
      </c>
      <c r="E6428" s="4" t="s">
        <v>1995</v>
      </c>
    </row>
    <row r="6429" spans="1:5" x14ac:dyDescent="0.2">
      <c r="A6429" s="126">
        <v>6368</v>
      </c>
      <c r="B6429" s="1714"/>
      <c r="D6429" s="2" t="str">
        <f t="shared" si="99"/>
        <v>OK</v>
      </c>
      <c r="E6429" s="4" t="s">
        <v>1995</v>
      </c>
    </row>
    <row r="6430" spans="1:5" x14ac:dyDescent="0.2">
      <c r="A6430" s="126">
        <v>6369</v>
      </c>
      <c r="B6430" s="1714"/>
      <c r="D6430" s="2" t="str">
        <f t="shared" si="99"/>
        <v>OK</v>
      </c>
      <c r="E6430" s="4" t="s">
        <v>1995</v>
      </c>
    </row>
    <row r="6431" spans="1:5" x14ac:dyDescent="0.2">
      <c r="A6431" s="126">
        <v>6370</v>
      </c>
      <c r="B6431" s="1714"/>
      <c r="D6431" s="2" t="str">
        <f t="shared" si="99"/>
        <v>OK</v>
      </c>
      <c r="E6431" s="4" t="s">
        <v>1995</v>
      </c>
    </row>
    <row r="6432" spans="1:5" x14ac:dyDescent="0.2">
      <c r="A6432" s="126">
        <v>6371</v>
      </c>
      <c r="B6432" s="1714"/>
      <c r="D6432" s="2" t="str">
        <f t="shared" si="99"/>
        <v>OK</v>
      </c>
      <c r="E6432" s="4" t="s">
        <v>1995</v>
      </c>
    </row>
    <row r="6433" spans="1:5" x14ac:dyDescent="0.2">
      <c r="A6433" s="126">
        <v>6372</v>
      </c>
      <c r="B6433" s="1714"/>
      <c r="D6433" s="2" t="str">
        <f t="shared" si="99"/>
        <v>OK</v>
      </c>
      <c r="E6433" s="4" t="s">
        <v>1995</v>
      </c>
    </row>
    <row r="6434" spans="1:5" x14ac:dyDescent="0.2">
      <c r="A6434" s="126">
        <v>6373</v>
      </c>
      <c r="B6434" s="1714"/>
      <c r="D6434" s="2" t="str">
        <f t="shared" si="99"/>
        <v>OK</v>
      </c>
      <c r="E6434" s="4" t="s">
        <v>1995</v>
      </c>
    </row>
    <row r="6435" spans="1:5" x14ac:dyDescent="0.2">
      <c r="A6435" s="126">
        <v>6374</v>
      </c>
      <c r="B6435" s="1714"/>
      <c r="D6435" s="2" t="str">
        <f t="shared" si="99"/>
        <v>OK</v>
      </c>
      <c r="E6435" s="4" t="s">
        <v>1995</v>
      </c>
    </row>
    <row r="6436" spans="1:5" x14ac:dyDescent="0.2">
      <c r="A6436" s="126">
        <v>6375</v>
      </c>
      <c r="B6436" s="1714"/>
      <c r="D6436" s="2" t="str">
        <f t="shared" si="99"/>
        <v>OK</v>
      </c>
      <c r="E6436" s="4" t="s">
        <v>1995</v>
      </c>
    </row>
    <row r="6437" spans="1:5" x14ac:dyDescent="0.2">
      <c r="A6437" s="126">
        <v>6376</v>
      </c>
      <c r="B6437" s="1714"/>
      <c r="D6437" s="2" t="str">
        <f t="shared" si="99"/>
        <v>OK</v>
      </c>
      <c r="E6437" s="4" t="s">
        <v>1995</v>
      </c>
    </row>
    <row r="6438" spans="1:5" x14ac:dyDescent="0.2">
      <c r="A6438" s="126">
        <v>6377</v>
      </c>
      <c r="B6438" s="1714"/>
      <c r="D6438" s="2" t="str">
        <f t="shared" si="99"/>
        <v>OK</v>
      </c>
      <c r="E6438" s="4" t="s">
        <v>1995</v>
      </c>
    </row>
    <row r="6439" spans="1:5" x14ac:dyDescent="0.2">
      <c r="A6439" s="126">
        <v>6378</v>
      </c>
      <c r="B6439" s="1714"/>
      <c r="D6439" s="2" t="str">
        <f t="shared" si="99"/>
        <v>OK</v>
      </c>
      <c r="E6439" s="4" t="s">
        <v>1995</v>
      </c>
    </row>
    <row r="6440" spans="1:5" x14ac:dyDescent="0.2">
      <c r="A6440" s="126">
        <v>6379</v>
      </c>
      <c r="B6440" s="1714"/>
      <c r="D6440" s="2" t="str">
        <f t="shared" si="99"/>
        <v>OK</v>
      </c>
      <c r="E6440" s="4" t="s">
        <v>1995</v>
      </c>
    </row>
    <row r="6441" spans="1:5" x14ac:dyDescent="0.2">
      <c r="A6441" s="126">
        <v>6380</v>
      </c>
      <c r="B6441" s="1714"/>
      <c r="D6441" s="2" t="str">
        <f t="shared" si="99"/>
        <v>OK</v>
      </c>
      <c r="E6441" s="4" t="s">
        <v>1995</v>
      </c>
    </row>
    <row r="6442" spans="1:5" x14ac:dyDescent="0.2">
      <c r="A6442" s="126">
        <v>6381</v>
      </c>
      <c r="B6442" s="1714"/>
      <c r="D6442" s="2" t="str">
        <f t="shared" si="99"/>
        <v>OK</v>
      </c>
      <c r="E6442" s="4" t="s">
        <v>1995</v>
      </c>
    </row>
    <row r="6443" spans="1:5" x14ac:dyDescent="0.2">
      <c r="A6443" s="126">
        <v>6382</v>
      </c>
      <c r="B6443" s="1714"/>
      <c r="D6443" s="2" t="str">
        <f t="shared" si="99"/>
        <v>OK</v>
      </c>
      <c r="E6443" s="4" t="s">
        <v>1995</v>
      </c>
    </row>
    <row r="6444" spans="1:5" x14ac:dyDescent="0.2">
      <c r="A6444" s="126">
        <v>6383</v>
      </c>
      <c r="B6444" s="1714"/>
      <c r="D6444" s="2" t="str">
        <f t="shared" si="99"/>
        <v>OK</v>
      </c>
      <c r="E6444" s="4" t="s">
        <v>1995</v>
      </c>
    </row>
    <row r="6445" spans="1:5" x14ac:dyDescent="0.2">
      <c r="A6445" s="126">
        <v>6384</v>
      </c>
      <c r="B6445" s="1714"/>
      <c r="D6445" s="2" t="str">
        <f t="shared" si="99"/>
        <v>OK</v>
      </c>
      <c r="E6445" s="4" t="s">
        <v>1995</v>
      </c>
    </row>
    <row r="6446" spans="1:5" x14ac:dyDescent="0.2">
      <c r="A6446" s="126">
        <v>6385</v>
      </c>
      <c r="B6446" s="1714"/>
      <c r="D6446" s="2" t="str">
        <f t="shared" si="99"/>
        <v>OK</v>
      </c>
      <c r="E6446" s="4" t="s">
        <v>1995</v>
      </c>
    </row>
    <row r="6447" spans="1:5" x14ac:dyDescent="0.2">
      <c r="A6447" s="126">
        <v>6386</v>
      </c>
      <c r="B6447" s="1714"/>
      <c r="D6447" s="2" t="str">
        <f t="shared" si="99"/>
        <v>OK</v>
      </c>
      <c r="E6447" s="4" t="s">
        <v>1995</v>
      </c>
    </row>
    <row r="6448" spans="1:5" x14ac:dyDescent="0.2">
      <c r="A6448" s="126">
        <v>6387</v>
      </c>
      <c r="B6448" s="1714"/>
      <c r="D6448" s="2" t="str">
        <f t="shared" si="99"/>
        <v>OK</v>
      </c>
      <c r="E6448" s="4" t="s">
        <v>1995</v>
      </c>
    </row>
    <row r="6449" spans="1:5" x14ac:dyDescent="0.2">
      <c r="A6449" s="126">
        <v>6388</v>
      </c>
      <c r="B6449" s="1714"/>
      <c r="D6449" s="2" t="str">
        <f t="shared" si="99"/>
        <v>OK</v>
      </c>
      <c r="E6449" s="4" t="s">
        <v>1995</v>
      </c>
    </row>
    <row r="6450" spans="1:5" x14ac:dyDescent="0.2">
      <c r="A6450" s="126">
        <v>6389</v>
      </c>
      <c r="B6450" s="1714"/>
      <c r="D6450" s="2" t="str">
        <f t="shared" si="99"/>
        <v>OK</v>
      </c>
      <c r="E6450" s="4" t="s">
        <v>1995</v>
      </c>
    </row>
    <row r="6451" spans="1:5" x14ac:dyDescent="0.2">
      <c r="A6451" s="126">
        <v>6390</v>
      </c>
      <c r="B6451" s="1714"/>
      <c r="D6451" s="2" t="str">
        <f t="shared" si="99"/>
        <v>OK</v>
      </c>
      <c r="E6451" s="4" t="s">
        <v>1995</v>
      </c>
    </row>
    <row r="6452" spans="1:5" x14ac:dyDescent="0.2">
      <c r="A6452" s="126">
        <v>6391</v>
      </c>
      <c r="B6452" s="1714"/>
      <c r="D6452" s="2" t="str">
        <f t="shared" si="99"/>
        <v>OK</v>
      </c>
      <c r="E6452" s="4" t="s">
        <v>1995</v>
      </c>
    </row>
    <row r="6453" spans="1:5" x14ac:dyDescent="0.2">
      <c r="A6453" s="126">
        <v>6392</v>
      </c>
      <c r="B6453" s="1714"/>
      <c r="D6453" s="2" t="str">
        <f t="shared" si="99"/>
        <v>OK</v>
      </c>
      <c r="E6453" s="4" t="s">
        <v>1995</v>
      </c>
    </row>
    <row r="6454" spans="1:5" x14ac:dyDescent="0.2">
      <c r="A6454" s="126">
        <v>6393</v>
      </c>
      <c r="B6454" s="1714"/>
      <c r="D6454" s="2" t="str">
        <f t="shared" si="99"/>
        <v>OK</v>
      </c>
      <c r="E6454" s="4" t="s">
        <v>1995</v>
      </c>
    </row>
    <row r="6455" spans="1:5" x14ac:dyDescent="0.2">
      <c r="A6455" s="126">
        <v>6394</v>
      </c>
      <c r="B6455" s="1714"/>
      <c r="D6455" s="2" t="str">
        <f t="shared" si="99"/>
        <v>OK</v>
      </c>
      <c r="E6455" s="4" t="s">
        <v>1995</v>
      </c>
    </row>
    <row r="6456" spans="1:5" x14ac:dyDescent="0.2">
      <c r="A6456" s="126">
        <v>6395</v>
      </c>
      <c r="B6456" s="1714"/>
      <c r="D6456" s="2" t="str">
        <f t="shared" si="99"/>
        <v>OK</v>
      </c>
      <c r="E6456" s="4" t="s">
        <v>1995</v>
      </c>
    </row>
    <row r="6457" spans="1:5" x14ac:dyDescent="0.2">
      <c r="A6457" s="126">
        <v>6396</v>
      </c>
      <c r="B6457" s="1714"/>
      <c r="D6457" s="2" t="str">
        <f t="shared" si="99"/>
        <v>OK</v>
      </c>
      <c r="E6457" s="4" t="s">
        <v>1995</v>
      </c>
    </row>
    <row r="6458" spans="1:5" x14ac:dyDescent="0.2">
      <c r="A6458" s="126">
        <v>6397</v>
      </c>
      <c r="B6458" s="1714"/>
      <c r="D6458" s="2" t="str">
        <f t="shared" si="99"/>
        <v>OK</v>
      </c>
      <c r="E6458" s="4" t="s">
        <v>1995</v>
      </c>
    </row>
    <row r="6459" spans="1:5" x14ac:dyDescent="0.2">
      <c r="A6459" s="126">
        <v>6398</v>
      </c>
      <c r="B6459" s="1714"/>
      <c r="D6459" s="2" t="str">
        <f t="shared" si="99"/>
        <v>OK</v>
      </c>
      <c r="E6459" s="4" t="s">
        <v>1995</v>
      </c>
    </row>
    <row r="6460" spans="1:5" x14ac:dyDescent="0.2">
      <c r="A6460" s="126">
        <v>6399</v>
      </c>
      <c r="B6460" s="1714"/>
      <c r="D6460" s="2" t="str">
        <f t="shared" si="99"/>
        <v>OK</v>
      </c>
      <c r="E6460" s="4" t="s">
        <v>1995</v>
      </c>
    </row>
    <row r="6461" spans="1:5" x14ac:dyDescent="0.2">
      <c r="A6461" s="126">
        <v>6400</v>
      </c>
      <c r="B6461" s="1714"/>
      <c r="D6461" s="2" t="str">
        <f t="shared" si="99"/>
        <v>OK</v>
      </c>
      <c r="E6461" s="4" t="s">
        <v>1995</v>
      </c>
    </row>
    <row r="6462" spans="1:5" x14ac:dyDescent="0.2">
      <c r="A6462" s="126">
        <v>6401</v>
      </c>
      <c r="B6462" s="1714"/>
      <c r="D6462" s="2" t="str">
        <f t="shared" si="99"/>
        <v>OK</v>
      </c>
      <c r="E6462" s="4" t="s">
        <v>1995</v>
      </c>
    </row>
    <row r="6463" spans="1:5" x14ac:dyDescent="0.2">
      <c r="A6463" s="126">
        <v>6402</v>
      </c>
      <c r="B6463" s="1714"/>
      <c r="D6463" s="2" t="str">
        <f t="shared" ref="D6463:D6526" si="100">IF(ISBLANK(B6463),"OK",IF(A6463-B6463=0,"OK","Error?"))</f>
        <v>OK</v>
      </c>
      <c r="E6463" s="4" t="s">
        <v>1995</v>
      </c>
    </row>
    <row r="6464" spans="1:5" x14ac:dyDescent="0.2">
      <c r="A6464" s="126">
        <v>6403</v>
      </c>
      <c r="B6464" s="1714"/>
      <c r="D6464" s="2" t="str">
        <f t="shared" si="100"/>
        <v>OK</v>
      </c>
      <c r="E6464" s="4" t="s">
        <v>1995</v>
      </c>
    </row>
    <row r="6465" spans="1:5" x14ac:dyDescent="0.2">
      <c r="A6465" s="126">
        <v>6404</v>
      </c>
      <c r="B6465" s="1714"/>
      <c r="D6465" s="2" t="str">
        <f t="shared" si="100"/>
        <v>OK</v>
      </c>
      <c r="E6465" s="4" t="s">
        <v>1995</v>
      </c>
    </row>
    <row r="6466" spans="1:5" x14ac:dyDescent="0.2">
      <c r="A6466" s="126">
        <v>6405</v>
      </c>
      <c r="B6466" s="1714"/>
      <c r="D6466" s="2" t="str">
        <f t="shared" si="100"/>
        <v>OK</v>
      </c>
      <c r="E6466" s="4" t="s">
        <v>1995</v>
      </c>
    </row>
    <row r="6467" spans="1:5" x14ac:dyDescent="0.2">
      <c r="A6467" s="126">
        <v>6406</v>
      </c>
      <c r="B6467" s="1714"/>
      <c r="D6467" s="2" t="str">
        <f t="shared" si="100"/>
        <v>OK</v>
      </c>
      <c r="E6467" s="4" t="s">
        <v>1995</v>
      </c>
    </row>
    <row r="6468" spans="1:5" x14ac:dyDescent="0.2">
      <c r="A6468" s="126">
        <v>6407</v>
      </c>
      <c r="B6468" s="1714"/>
      <c r="D6468" s="2" t="str">
        <f t="shared" si="100"/>
        <v>OK</v>
      </c>
      <c r="E6468" s="4" t="s">
        <v>1995</v>
      </c>
    </row>
    <row r="6469" spans="1:5" x14ac:dyDescent="0.2">
      <c r="A6469" s="126">
        <v>6408</v>
      </c>
      <c r="B6469" s="1714"/>
      <c r="D6469" s="2" t="str">
        <f t="shared" si="100"/>
        <v>OK</v>
      </c>
      <c r="E6469" s="4" t="s">
        <v>1995</v>
      </c>
    </row>
    <row r="6470" spans="1:5" x14ac:dyDescent="0.2">
      <c r="A6470" s="126">
        <v>6409</v>
      </c>
      <c r="B6470" s="1714"/>
      <c r="D6470" s="2" t="str">
        <f t="shared" si="100"/>
        <v>OK</v>
      </c>
      <c r="E6470" s="4" t="s">
        <v>1995</v>
      </c>
    </row>
    <row r="6471" spans="1:5" x14ac:dyDescent="0.2">
      <c r="A6471" s="126">
        <v>6410</v>
      </c>
      <c r="B6471" s="1714"/>
      <c r="D6471" s="2" t="str">
        <f t="shared" si="100"/>
        <v>OK</v>
      </c>
      <c r="E6471" s="4" t="s">
        <v>1995</v>
      </c>
    </row>
    <row r="6472" spans="1:5" x14ac:dyDescent="0.2">
      <c r="A6472" s="126">
        <v>6411</v>
      </c>
      <c r="B6472" s="1714"/>
      <c r="D6472" s="2" t="str">
        <f t="shared" si="100"/>
        <v>OK</v>
      </c>
      <c r="E6472" s="4" t="s">
        <v>1995</v>
      </c>
    </row>
    <row r="6473" spans="1:5" x14ac:dyDescent="0.2">
      <c r="A6473" s="126">
        <v>6412</v>
      </c>
      <c r="B6473" s="1714"/>
      <c r="D6473" s="2" t="str">
        <f t="shared" si="100"/>
        <v>OK</v>
      </c>
      <c r="E6473" s="4" t="s">
        <v>1995</v>
      </c>
    </row>
    <row r="6474" spans="1:5" x14ac:dyDescent="0.2">
      <c r="A6474" s="126">
        <v>6413</v>
      </c>
      <c r="B6474" s="1714"/>
      <c r="D6474" s="2" t="str">
        <f t="shared" si="100"/>
        <v>OK</v>
      </c>
      <c r="E6474" s="4" t="s">
        <v>1995</v>
      </c>
    </row>
    <row r="6475" spans="1:5" x14ac:dyDescent="0.2">
      <c r="A6475" s="126">
        <v>6414</v>
      </c>
      <c r="B6475" s="1714"/>
      <c r="D6475" s="2" t="str">
        <f t="shared" si="100"/>
        <v>OK</v>
      </c>
      <c r="E6475" s="4" t="s">
        <v>1995</v>
      </c>
    </row>
    <row r="6476" spans="1:5" x14ac:dyDescent="0.2">
      <c r="A6476" s="126">
        <v>6415</v>
      </c>
      <c r="B6476" s="1714"/>
      <c r="D6476" s="2" t="str">
        <f t="shared" si="100"/>
        <v>OK</v>
      </c>
      <c r="E6476" s="4" t="s">
        <v>1995</v>
      </c>
    </row>
    <row r="6477" spans="1:5" x14ac:dyDescent="0.2">
      <c r="A6477" s="126">
        <v>6416</v>
      </c>
      <c r="B6477" s="1714"/>
      <c r="D6477" s="2" t="str">
        <f t="shared" si="100"/>
        <v>OK</v>
      </c>
      <c r="E6477" s="4" t="s">
        <v>1995</v>
      </c>
    </row>
    <row r="6478" spans="1:5" x14ac:dyDescent="0.2">
      <c r="A6478" s="126">
        <v>6417</v>
      </c>
      <c r="B6478" s="1714"/>
      <c r="D6478" s="2" t="str">
        <f t="shared" si="100"/>
        <v>OK</v>
      </c>
      <c r="E6478" s="4" t="s">
        <v>1995</v>
      </c>
    </row>
    <row r="6479" spans="1:5" x14ac:dyDescent="0.2">
      <c r="A6479" s="126">
        <v>6418</v>
      </c>
      <c r="B6479" s="1714"/>
      <c r="D6479" s="2" t="str">
        <f t="shared" si="100"/>
        <v>OK</v>
      </c>
      <c r="E6479" s="4" t="s">
        <v>1995</v>
      </c>
    </row>
    <row r="6480" spans="1:5" x14ac:dyDescent="0.2">
      <c r="A6480" s="126">
        <v>6419</v>
      </c>
      <c r="B6480" s="1714"/>
      <c r="D6480" s="2" t="str">
        <f t="shared" si="100"/>
        <v>OK</v>
      </c>
      <c r="E6480" s="4" t="s">
        <v>1995</v>
      </c>
    </row>
    <row r="6481" spans="1:5" x14ac:dyDescent="0.2">
      <c r="A6481" s="126">
        <v>6420</v>
      </c>
      <c r="B6481" s="1714"/>
      <c r="D6481" s="2" t="str">
        <f t="shared" si="100"/>
        <v>OK</v>
      </c>
      <c r="E6481" s="4" t="s">
        <v>1995</v>
      </c>
    </row>
    <row r="6482" spans="1:5" x14ac:dyDescent="0.2">
      <c r="A6482" s="126">
        <v>6421</v>
      </c>
      <c r="B6482" s="1714"/>
      <c r="D6482" s="2" t="str">
        <f t="shared" si="100"/>
        <v>OK</v>
      </c>
      <c r="E6482" s="4" t="s">
        <v>1995</v>
      </c>
    </row>
    <row r="6483" spans="1:5" x14ac:dyDescent="0.2">
      <c r="A6483" s="126">
        <v>6422</v>
      </c>
      <c r="B6483" s="1714"/>
      <c r="D6483" s="2" t="str">
        <f t="shared" si="100"/>
        <v>OK</v>
      </c>
      <c r="E6483" s="4" t="s">
        <v>1995</v>
      </c>
    </row>
    <row r="6484" spans="1:5" x14ac:dyDescent="0.2">
      <c r="A6484" s="126">
        <v>6423</v>
      </c>
      <c r="B6484" s="1714"/>
      <c r="D6484" s="2" t="str">
        <f t="shared" si="100"/>
        <v>OK</v>
      </c>
      <c r="E6484" s="4" t="s">
        <v>1995</v>
      </c>
    </row>
    <row r="6485" spans="1:5" x14ac:dyDescent="0.2">
      <c r="A6485" s="126">
        <v>6424</v>
      </c>
      <c r="B6485" s="1714"/>
      <c r="D6485" s="2" t="str">
        <f t="shared" si="100"/>
        <v>OK</v>
      </c>
      <c r="E6485" s="4" t="s">
        <v>1995</v>
      </c>
    </row>
    <row r="6486" spans="1:5" x14ac:dyDescent="0.2">
      <c r="A6486" s="126">
        <v>6425</v>
      </c>
      <c r="B6486" s="1714"/>
      <c r="D6486" s="2" t="str">
        <f t="shared" si="100"/>
        <v>OK</v>
      </c>
      <c r="E6486" s="4" t="s">
        <v>1995</v>
      </c>
    </row>
    <row r="6487" spans="1:5" x14ac:dyDescent="0.2">
      <c r="A6487" s="126">
        <v>6426</v>
      </c>
      <c r="B6487" s="1714"/>
      <c r="D6487" s="2" t="str">
        <f t="shared" si="100"/>
        <v>OK</v>
      </c>
      <c r="E6487" s="4" t="s">
        <v>1995</v>
      </c>
    </row>
    <row r="6488" spans="1:5" x14ac:dyDescent="0.2">
      <c r="A6488" s="126">
        <v>6427</v>
      </c>
      <c r="B6488" s="1714"/>
      <c r="D6488" s="2" t="str">
        <f t="shared" si="100"/>
        <v>OK</v>
      </c>
      <c r="E6488" s="4" t="s">
        <v>1995</v>
      </c>
    </row>
    <row r="6489" spans="1:5" x14ac:dyDescent="0.2">
      <c r="A6489" s="126">
        <v>6428</v>
      </c>
      <c r="B6489" s="1714"/>
      <c r="D6489" s="2" t="str">
        <f t="shared" si="100"/>
        <v>OK</v>
      </c>
      <c r="E6489" s="4" t="s">
        <v>1995</v>
      </c>
    </row>
    <row r="6490" spans="1:5" x14ac:dyDescent="0.2">
      <c r="A6490" s="126">
        <v>6429</v>
      </c>
      <c r="B6490" s="1714"/>
      <c r="D6490" s="2" t="str">
        <f t="shared" si="100"/>
        <v>OK</v>
      </c>
      <c r="E6490" s="4" t="s">
        <v>1995</v>
      </c>
    </row>
    <row r="6491" spans="1:5" x14ac:dyDescent="0.2">
      <c r="A6491" s="126">
        <v>6430</v>
      </c>
      <c r="B6491" s="1714"/>
      <c r="D6491" s="2" t="str">
        <f t="shared" si="100"/>
        <v>OK</v>
      </c>
      <c r="E6491" s="4" t="s">
        <v>1995</v>
      </c>
    </row>
    <row r="6492" spans="1:5" x14ac:dyDescent="0.2">
      <c r="A6492" s="126">
        <v>6431</v>
      </c>
      <c r="B6492" s="1714"/>
      <c r="D6492" s="2" t="str">
        <f t="shared" si="100"/>
        <v>OK</v>
      </c>
      <c r="E6492" s="4" t="s">
        <v>1995</v>
      </c>
    </row>
    <row r="6493" spans="1:5" x14ac:dyDescent="0.2">
      <c r="A6493" s="126">
        <v>6432</v>
      </c>
      <c r="B6493" s="1714"/>
      <c r="D6493" s="2" t="str">
        <f t="shared" si="100"/>
        <v>OK</v>
      </c>
      <c r="E6493" s="4" t="s">
        <v>1995</v>
      </c>
    </row>
    <row r="6494" spans="1:5" x14ac:dyDescent="0.2">
      <c r="A6494" s="126">
        <v>6433</v>
      </c>
      <c r="B6494" s="1714"/>
      <c r="D6494" s="2" t="str">
        <f t="shared" si="100"/>
        <v>OK</v>
      </c>
      <c r="E6494" s="4" t="s">
        <v>1995</v>
      </c>
    </row>
    <row r="6495" spans="1:5" x14ac:dyDescent="0.2">
      <c r="A6495" s="126">
        <v>6434</v>
      </c>
      <c r="B6495" s="1714"/>
      <c r="D6495" s="2" t="str">
        <f t="shared" si="100"/>
        <v>OK</v>
      </c>
      <c r="E6495" s="4" t="s">
        <v>1995</v>
      </c>
    </row>
    <row r="6496" spans="1:5" x14ac:dyDescent="0.2">
      <c r="A6496" s="126">
        <v>6435</v>
      </c>
      <c r="B6496" s="1714"/>
      <c r="D6496" s="2" t="str">
        <f t="shared" si="100"/>
        <v>OK</v>
      </c>
      <c r="E6496" s="4" t="s">
        <v>1995</v>
      </c>
    </row>
    <row r="6497" spans="1:5" x14ac:dyDescent="0.2">
      <c r="A6497" s="126">
        <v>6436</v>
      </c>
      <c r="B6497" s="1714"/>
      <c r="D6497" s="2" t="str">
        <f t="shared" si="100"/>
        <v>OK</v>
      </c>
      <c r="E6497" s="4" t="s">
        <v>1995</v>
      </c>
    </row>
    <row r="6498" spans="1:5" x14ac:dyDescent="0.2">
      <c r="A6498" s="126">
        <v>6437</v>
      </c>
      <c r="B6498" s="1714"/>
      <c r="D6498" s="2" t="str">
        <f t="shared" si="100"/>
        <v>OK</v>
      </c>
      <c r="E6498" s="4" t="s">
        <v>1995</v>
      </c>
    </row>
    <row r="6499" spans="1:5" x14ac:dyDescent="0.2">
      <c r="A6499" s="126">
        <v>6438</v>
      </c>
      <c r="B6499" s="1714"/>
      <c r="D6499" s="2" t="str">
        <f t="shared" si="100"/>
        <v>OK</v>
      </c>
      <c r="E6499" s="4" t="s">
        <v>1995</v>
      </c>
    </row>
    <row r="6500" spans="1:5" x14ac:dyDescent="0.2">
      <c r="A6500" s="126">
        <v>6439</v>
      </c>
      <c r="B6500" s="1714"/>
      <c r="D6500" s="2" t="str">
        <f t="shared" si="100"/>
        <v>OK</v>
      </c>
      <c r="E6500" s="4" t="s">
        <v>1995</v>
      </c>
    </row>
    <row r="6501" spans="1:5" x14ac:dyDescent="0.2">
      <c r="A6501" s="126">
        <v>6440</v>
      </c>
      <c r="B6501" s="1714"/>
      <c r="D6501" s="2" t="str">
        <f t="shared" si="100"/>
        <v>OK</v>
      </c>
      <c r="E6501" s="4" t="s">
        <v>1995</v>
      </c>
    </row>
    <row r="6502" spans="1:5" x14ac:dyDescent="0.2">
      <c r="A6502" s="126">
        <v>6441</v>
      </c>
      <c r="B6502" s="1714"/>
      <c r="D6502" s="2" t="str">
        <f t="shared" si="100"/>
        <v>OK</v>
      </c>
      <c r="E6502" s="4" t="s">
        <v>1995</v>
      </c>
    </row>
    <row r="6503" spans="1:5" x14ac:dyDescent="0.2">
      <c r="A6503" s="126">
        <v>6442</v>
      </c>
      <c r="B6503" s="1714"/>
      <c r="D6503" s="2" t="str">
        <f t="shared" si="100"/>
        <v>OK</v>
      </c>
      <c r="E6503" s="4" t="s">
        <v>1995</v>
      </c>
    </row>
    <row r="6504" spans="1:5" x14ac:dyDescent="0.2">
      <c r="A6504" s="126">
        <v>6443</v>
      </c>
      <c r="B6504" s="1714"/>
      <c r="D6504" s="2" t="str">
        <f t="shared" si="100"/>
        <v>OK</v>
      </c>
      <c r="E6504" s="4" t="s">
        <v>1995</v>
      </c>
    </row>
    <row r="6505" spans="1:5" x14ac:dyDescent="0.2">
      <c r="A6505" s="126">
        <v>6444</v>
      </c>
      <c r="B6505" s="1714"/>
      <c r="D6505" s="2" t="str">
        <f t="shared" si="100"/>
        <v>OK</v>
      </c>
      <c r="E6505" s="4" t="s">
        <v>1995</v>
      </c>
    </row>
    <row r="6506" spans="1:5" x14ac:dyDescent="0.2">
      <c r="A6506" s="126">
        <v>6445</v>
      </c>
      <c r="B6506" s="1714"/>
      <c r="D6506" s="2" t="str">
        <f t="shared" si="100"/>
        <v>OK</v>
      </c>
      <c r="E6506" s="4" t="s">
        <v>1995</v>
      </c>
    </row>
    <row r="6507" spans="1:5" x14ac:dyDescent="0.2">
      <c r="A6507" s="126">
        <v>6446</v>
      </c>
      <c r="B6507" s="1714"/>
      <c r="D6507" s="2" t="str">
        <f t="shared" si="100"/>
        <v>OK</v>
      </c>
      <c r="E6507" s="4" t="s">
        <v>1995</v>
      </c>
    </row>
    <row r="6508" spans="1:5" x14ac:dyDescent="0.2">
      <c r="A6508" s="126">
        <v>6447</v>
      </c>
      <c r="B6508" s="1714"/>
      <c r="D6508" s="2" t="str">
        <f t="shared" si="100"/>
        <v>OK</v>
      </c>
      <c r="E6508" s="4" t="s">
        <v>1995</v>
      </c>
    </row>
    <row r="6509" spans="1:5" x14ac:dyDescent="0.2">
      <c r="A6509" s="126">
        <v>6448</v>
      </c>
      <c r="B6509" s="1714"/>
      <c r="D6509" s="2" t="str">
        <f t="shared" si="100"/>
        <v>OK</v>
      </c>
      <c r="E6509" s="4" t="s">
        <v>1995</v>
      </c>
    </row>
    <row r="6510" spans="1:5" x14ac:dyDescent="0.2">
      <c r="A6510" s="126">
        <v>6449</v>
      </c>
      <c r="B6510" s="1714"/>
      <c r="D6510" s="2" t="str">
        <f t="shared" si="100"/>
        <v>OK</v>
      </c>
      <c r="E6510" s="4" t="s">
        <v>1995</v>
      </c>
    </row>
    <row r="6511" spans="1:5" x14ac:dyDescent="0.2">
      <c r="A6511" s="126">
        <v>6450</v>
      </c>
      <c r="B6511" s="1714"/>
      <c r="D6511" s="2" t="str">
        <f t="shared" si="100"/>
        <v>OK</v>
      </c>
      <c r="E6511" s="4" t="s">
        <v>1995</v>
      </c>
    </row>
    <row r="6512" spans="1:5" x14ac:dyDescent="0.2">
      <c r="A6512" s="126">
        <v>6451</v>
      </c>
      <c r="B6512" s="1714"/>
      <c r="D6512" s="2" t="str">
        <f t="shared" si="100"/>
        <v>OK</v>
      </c>
      <c r="E6512" s="4" t="s">
        <v>1995</v>
      </c>
    </row>
    <row r="6513" spans="1:5" x14ac:dyDescent="0.2">
      <c r="A6513" s="126">
        <v>6452</v>
      </c>
      <c r="B6513" s="1714"/>
      <c r="D6513" s="2" t="str">
        <f t="shared" si="100"/>
        <v>OK</v>
      </c>
      <c r="E6513" s="4" t="s">
        <v>1995</v>
      </c>
    </row>
    <row r="6514" spans="1:5" x14ac:dyDescent="0.2">
      <c r="A6514" s="126">
        <v>6453</v>
      </c>
      <c r="B6514" s="1714"/>
      <c r="D6514" s="2" t="str">
        <f t="shared" si="100"/>
        <v>OK</v>
      </c>
      <c r="E6514" s="4" t="s">
        <v>1995</v>
      </c>
    </row>
    <row r="6515" spans="1:5" x14ac:dyDescent="0.2">
      <c r="A6515" s="126">
        <v>6454</v>
      </c>
      <c r="B6515" s="1714"/>
      <c r="D6515" s="2" t="str">
        <f t="shared" si="100"/>
        <v>OK</v>
      </c>
      <c r="E6515" s="4" t="s">
        <v>1995</v>
      </c>
    </row>
    <row r="6516" spans="1:5" x14ac:dyDescent="0.2">
      <c r="A6516" s="126">
        <v>6455</v>
      </c>
      <c r="B6516" s="1714"/>
      <c r="D6516" s="2" t="str">
        <f t="shared" si="100"/>
        <v>OK</v>
      </c>
      <c r="E6516" s="4" t="s">
        <v>1995</v>
      </c>
    </row>
    <row r="6517" spans="1:5" x14ac:dyDescent="0.2">
      <c r="A6517" s="126">
        <v>6456</v>
      </c>
      <c r="B6517" s="1714"/>
      <c r="D6517" s="2" t="str">
        <f t="shared" si="100"/>
        <v>OK</v>
      </c>
      <c r="E6517" s="4" t="s">
        <v>1995</v>
      </c>
    </row>
    <row r="6518" spans="1:5" x14ac:dyDescent="0.2">
      <c r="A6518" s="126">
        <v>6457</v>
      </c>
      <c r="B6518" s="1714"/>
      <c r="D6518" s="2" t="str">
        <f t="shared" si="100"/>
        <v>OK</v>
      </c>
      <c r="E6518" s="4" t="s">
        <v>1995</v>
      </c>
    </row>
    <row r="6519" spans="1:5" x14ac:dyDescent="0.2">
      <c r="A6519" s="126">
        <v>6458</v>
      </c>
      <c r="B6519" s="1714"/>
      <c r="D6519" s="2" t="str">
        <f t="shared" si="100"/>
        <v>OK</v>
      </c>
      <c r="E6519" s="4" t="s">
        <v>1995</v>
      </c>
    </row>
    <row r="6520" spans="1:5" x14ac:dyDescent="0.2">
      <c r="A6520" s="126">
        <v>6459</v>
      </c>
      <c r="B6520" s="1714"/>
      <c r="D6520" s="2" t="str">
        <f t="shared" si="100"/>
        <v>OK</v>
      </c>
      <c r="E6520" s="4" t="s">
        <v>1995</v>
      </c>
    </row>
    <row r="6521" spans="1:5" x14ac:dyDescent="0.2">
      <c r="A6521" s="126">
        <v>6460</v>
      </c>
      <c r="B6521" s="1714"/>
      <c r="D6521" s="2" t="str">
        <f t="shared" si="100"/>
        <v>OK</v>
      </c>
      <c r="E6521" s="4" t="s">
        <v>1995</v>
      </c>
    </row>
    <row r="6522" spans="1:5" x14ac:dyDescent="0.2">
      <c r="A6522" s="126">
        <v>6461</v>
      </c>
      <c r="B6522" s="1714"/>
      <c r="D6522" s="2" t="str">
        <f t="shared" si="100"/>
        <v>OK</v>
      </c>
      <c r="E6522" s="4" t="s">
        <v>1995</v>
      </c>
    </row>
    <row r="6523" spans="1:5" x14ac:dyDescent="0.2">
      <c r="A6523" s="126">
        <v>6462</v>
      </c>
      <c r="B6523" s="1714"/>
      <c r="D6523" s="2" t="str">
        <f t="shared" si="100"/>
        <v>OK</v>
      </c>
      <c r="E6523" s="4" t="s">
        <v>1995</v>
      </c>
    </row>
    <row r="6524" spans="1:5" x14ac:dyDescent="0.2">
      <c r="A6524" s="126">
        <v>6463</v>
      </c>
      <c r="B6524" s="1714"/>
      <c r="D6524" s="2" t="str">
        <f t="shared" si="100"/>
        <v>OK</v>
      </c>
      <c r="E6524" s="4" t="s">
        <v>1995</v>
      </c>
    </row>
    <row r="6525" spans="1:5" x14ac:dyDescent="0.2">
      <c r="A6525" s="126">
        <v>6464</v>
      </c>
      <c r="B6525" s="1714"/>
      <c r="D6525" s="2" t="str">
        <f t="shared" si="100"/>
        <v>OK</v>
      </c>
      <c r="E6525" s="4" t="s">
        <v>1995</v>
      </c>
    </row>
    <row r="6526" spans="1:5" x14ac:dyDescent="0.2">
      <c r="A6526" s="126">
        <v>6465</v>
      </c>
      <c r="B6526" s="1714"/>
      <c r="D6526" s="2" t="str">
        <f t="shared" si="100"/>
        <v>OK</v>
      </c>
      <c r="E6526" s="4" t="s">
        <v>1995</v>
      </c>
    </row>
    <row r="6527" spans="1:5" x14ac:dyDescent="0.2">
      <c r="A6527" s="126">
        <v>6466</v>
      </c>
      <c r="B6527" s="1714"/>
      <c r="D6527" s="2" t="str">
        <f t="shared" ref="D6527:D6590" si="101">IF(ISBLANK(B6527),"OK",IF(A6527-B6527=0,"OK","Error?"))</f>
        <v>OK</v>
      </c>
      <c r="E6527" s="4" t="s">
        <v>1995</v>
      </c>
    </row>
    <row r="6528" spans="1:5" x14ac:dyDescent="0.2">
      <c r="A6528" s="126">
        <v>6467</v>
      </c>
      <c r="B6528" s="1714"/>
      <c r="D6528" s="2" t="str">
        <f t="shared" si="101"/>
        <v>OK</v>
      </c>
      <c r="E6528" s="4" t="s">
        <v>1995</v>
      </c>
    </row>
    <row r="6529" spans="1:5" x14ac:dyDescent="0.2">
      <c r="A6529" s="126">
        <v>6468</v>
      </c>
      <c r="B6529" s="1714"/>
      <c r="D6529" s="2" t="str">
        <f t="shared" si="101"/>
        <v>OK</v>
      </c>
      <c r="E6529" s="4" t="s">
        <v>1995</v>
      </c>
    </row>
    <row r="6530" spans="1:5" x14ac:dyDescent="0.2">
      <c r="A6530" s="126">
        <v>6469</v>
      </c>
      <c r="B6530" s="1714"/>
      <c r="D6530" s="2" t="str">
        <f t="shared" si="101"/>
        <v>OK</v>
      </c>
      <c r="E6530" s="4" t="s">
        <v>1995</v>
      </c>
    </row>
    <row r="6531" spans="1:5" x14ac:dyDescent="0.2">
      <c r="A6531" s="126">
        <v>6470</v>
      </c>
      <c r="B6531" s="1714"/>
      <c r="D6531" s="2" t="str">
        <f t="shared" si="101"/>
        <v>OK</v>
      </c>
      <c r="E6531" s="4" t="s">
        <v>1995</v>
      </c>
    </row>
    <row r="6532" spans="1:5" x14ac:dyDescent="0.2">
      <c r="A6532" s="126">
        <v>6471</v>
      </c>
      <c r="B6532" s="1714"/>
      <c r="D6532" s="2" t="str">
        <f t="shared" si="101"/>
        <v>OK</v>
      </c>
      <c r="E6532" s="4" t="s">
        <v>1995</v>
      </c>
    </row>
    <row r="6533" spans="1:5" x14ac:dyDescent="0.2">
      <c r="A6533" s="126">
        <v>6472</v>
      </c>
      <c r="B6533" s="1714"/>
      <c r="D6533" s="2" t="str">
        <f t="shared" si="101"/>
        <v>OK</v>
      </c>
      <c r="E6533" s="4" t="s">
        <v>1995</v>
      </c>
    </row>
    <row r="6534" spans="1:5" x14ac:dyDescent="0.2">
      <c r="A6534" s="126">
        <v>6473</v>
      </c>
      <c r="B6534" s="1714"/>
      <c r="D6534" s="2" t="str">
        <f t="shared" si="101"/>
        <v>OK</v>
      </c>
      <c r="E6534" s="4" t="s">
        <v>1995</v>
      </c>
    </row>
    <row r="6535" spans="1:5" x14ac:dyDescent="0.2">
      <c r="A6535" s="126">
        <v>6474</v>
      </c>
      <c r="B6535" s="1714"/>
      <c r="D6535" s="2" t="str">
        <f t="shared" si="101"/>
        <v>OK</v>
      </c>
      <c r="E6535" s="4" t="s">
        <v>1995</v>
      </c>
    </row>
    <row r="6536" spans="1:5" x14ac:dyDescent="0.2">
      <c r="A6536" s="126">
        <v>6475</v>
      </c>
      <c r="B6536" s="1714"/>
      <c r="D6536" s="2" t="str">
        <f t="shared" si="101"/>
        <v>OK</v>
      </c>
      <c r="E6536" s="4" t="s">
        <v>1995</v>
      </c>
    </row>
    <row r="6537" spans="1:5" x14ac:dyDescent="0.2">
      <c r="A6537" s="126">
        <v>6476</v>
      </c>
      <c r="B6537" s="1714"/>
      <c r="D6537" s="2" t="str">
        <f t="shared" si="101"/>
        <v>OK</v>
      </c>
      <c r="E6537" s="4" t="s">
        <v>1995</v>
      </c>
    </row>
    <row r="6538" spans="1:5" x14ac:dyDescent="0.2">
      <c r="A6538" s="126">
        <v>6477</v>
      </c>
      <c r="B6538" s="1714"/>
      <c r="D6538" s="2" t="str">
        <f t="shared" si="101"/>
        <v>OK</v>
      </c>
      <c r="E6538" s="4" t="s">
        <v>1995</v>
      </c>
    </row>
    <row r="6539" spans="1:5" x14ac:dyDescent="0.2">
      <c r="A6539" s="126">
        <v>6478</v>
      </c>
      <c r="B6539" s="1714"/>
      <c r="D6539" s="2" t="str">
        <f t="shared" si="101"/>
        <v>OK</v>
      </c>
      <c r="E6539" s="4" t="s">
        <v>1995</v>
      </c>
    </row>
    <row r="6540" spans="1:5" x14ac:dyDescent="0.2">
      <c r="A6540" s="126">
        <v>6479</v>
      </c>
      <c r="B6540" s="1714"/>
      <c r="D6540" s="2" t="str">
        <f t="shared" si="101"/>
        <v>OK</v>
      </c>
      <c r="E6540" s="4" t="s">
        <v>1995</v>
      </c>
    </row>
    <row r="6541" spans="1:5" x14ac:dyDescent="0.2">
      <c r="A6541" s="126">
        <v>6480</v>
      </c>
      <c r="B6541" s="1714"/>
      <c r="D6541" s="2" t="str">
        <f t="shared" si="101"/>
        <v>OK</v>
      </c>
      <c r="E6541" s="4" t="s">
        <v>1995</v>
      </c>
    </row>
    <row r="6542" spans="1:5" x14ac:dyDescent="0.2">
      <c r="A6542" s="126">
        <v>6481</v>
      </c>
      <c r="B6542" s="1714"/>
      <c r="D6542" s="2" t="str">
        <f t="shared" si="101"/>
        <v>OK</v>
      </c>
      <c r="E6542" s="4" t="s">
        <v>1995</v>
      </c>
    </row>
    <row r="6543" spans="1:5" x14ac:dyDescent="0.2">
      <c r="A6543" s="126">
        <v>6482</v>
      </c>
      <c r="B6543" s="1714"/>
      <c r="D6543" s="2" t="str">
        <f t="shared" si="101"/>
        <v>OK</v>
      </c>
      <c r="E6543" s="4" t="s">
        <v>1995</v>
      </c>
    </row>
    <row r="6544" spans="1:5" x14ac:dyDescent="0.2">
      <c r="A6544" s="126">
        <v>6483</v>
      </c>
      <c r="B6544" s="1714"/>
      <c r="D6544" s="2" t="str">
        <f t="shared" si="101"/>
        <v>OK</v>
      </c>
      <c r="E6544" s="4" t="s">
        <v>1995</v>
      </c>
    </row>
    <row r="6545" spans="1:5" x14ac:dyDescent="0.2">
      <c r="A6545" s="126">
        <v>6484</v>
      </c>
      <c r="B6545" s="1714"/>
      <c r="D6545" s="2" t="str">
        <f t="shared" si="101"/>
        <v>OK</v>
      </c>
      <c r="E6545" s="4" t="s">
        <v>1995</v>
      </c>
    </row>
    <row r="6546" spans="1:5" x14ac:dyDescent="0.2">
      <c r="A6546" s="126">
        <v>6485</v>
      </c>
      <c r="B6546" s="1714"/>
      <c r="D6546" s="2" t="str">
        <f t="shared" si="101"/>
        <v>OK</v>
      </c>
      <c r="E6546" s="4" t="s">
        <v>1995</v>
      </c>
    </row>
    <row r="6547" spans="1:5" x14ac:dyDescent="0.2">
      <c r="A6547" s="126">
        <v>6486</v>
      </c>
      <c r="B6547" s="1714"/>
      <c r="D6547" s="2" t="str">
        <f t="shared" si="101"/>
        <v>OK</v>
      </c>
      <c r="E6547" s="4" t="s">
        <v>1995</v>
      </c>
    </row>
    <row r="6548" spans="1:5" x14ac:dyDescent="0.2">
      <c r="A6548" s="126">
        <v>6487</v>
      </c>
      <c r="B6548" s="1714"/>
      <c r="D6548" s="2" t="str">
        <f t="shared" si="101"/>
        <v>OK</v>
      </c>
      <c r="E6548" s="4" t="s">
        <v>1995</v>
      </c>
    </row>
    <row r="6549" spans="1:5" x14ac:dyDescent="0.2">
      <c r="A6549" s="126">
        <v>6488</v>
      </c>
      <c r="B6549" s="1714"/>
      <c r="D6549" s="2" t="str">
        <f t="shared" si="101"/>
        <v>OK</v>
      </c>
      <c r="E6549" s="4" t="s">
        <v>1995</v>
      </c>
    </row>
    <row r="6550" spans="1:5" x14ac:dyDescent="0.2">
      <c r="A6550" s="126">
        <v>6489</v>
      </c>
      <c r="B6550" s="1714"/>
      <c r="D6550" s="2" t="str">
        <f t="shared" si="101"/>
        <v>OK</v>
      </c>
      <c r="E6550" s="4" t="s">
        <v>1995</v>
      </c>
    </row>
    <row r="6551" spans="1:5" x14ac:dyDescent="0.2">
      <c r="A6551" s="126">
        <v>6490</v>
      </c>
      <c r="B6551" s="1714"/>
      <c r="D6551" s="2" t="str">
        <f t="shared" si="101"/>
        <v>OK</v>
      </c>
      <c r="E6551" s="4" t="s">
        <v>1995</v>
      </c>
    </row>
    <row r="6552" spans="1:5" x14ac:dyDescent="0.2">
      <c r="A6552" s="126">
        <v>6491</v>
      </c>
      <c r="B6552" s="1714"/>
      <c r="D6552" s="2" t="str">
        <f t="shared" si="101"/>
        <v>OK</v>
      </c>
      <c r="E6552" s="4" t="s">
        <v>1995</v>
      </c>
    </row>
    <row r="6553" spans="1:5" x14ac:dyDescent="0.2">
      <c r="A6553" s="126">
        <v>6492</v>
      </c>
      <c r="B6553" s="1714"/>
      <c r="D6553" s="2" t="str">
        <f t="shared" si="101"/>
        <v>OK</v>
      </c>
      <c r="E6553" s="4" t="s">
        <v>1995</v>
      </c>
    </row>
    <row r="6554" spans="1:5" x14ac:dyDescent="0.2">
      <c r="A6554" s="126">
        <v>6493</v>
      </c>
      <c r="B6554" s="1714"/>
      <c r="D6554" s="2" t="str">
        <f t="shared" si="101"/>
        <v>OK</v>
      </c>
      <c r="E6554" s="4" t="s">
        <v>1995</v>
      </c>
    </row>
    <row r="6555" spans="1:5" x14ac:dyDescent="0.2">
      <c r="A6555" s="126">
        <v>6494</v>
      </c>
      <c r="B6555" s="1714"/>
      <c r="D6555" s="2" t="str">
        <f t="shared" si="101"/>
        <v>OK</v>
      </c>
      <c r="E6555" s="4" t="s">
        <v>1995</v>
      </c>
    </row>
    <row r="6556" spans="1:5" x14ac:dyDescent="0.2">
      <c r="A6556" s="126">
        <v>6495</v>
      </c>
      <c r="B6556" s="1714"/>
      <c r="D6556" s="2" t="str">
        <f t="shared" si="101"/>
        <v>OK</v>
      </c>
      <c r="E6556" s="4" t="s">
        <v>1995</v>
      </c>
    </row>
    <row r="6557" spans="1:5" x14ac:dyDescent="0.2">
      <c r="A6557" s="126">
        <v>6496</v>
      </c>
      <c r="B6557" s="1714"/>
      <c r="D6557" s="2" t="str">
        <f t="shared" si="101"/>
        <v>OK</v>
      </c>
      <c r="E6557" s="4" t="s">
        <v>1995</v>
      </c>
    </row>
    <row r="6558" spans="1:5" x14ac:dyDescent="0.2">
      <c r="A6558" s="126">
        <v>6497</v>
      </c>
      <c r="B6558" s="1714"/>
      <c r="D6558" s="2" t="str">
        <f t="shared" si="101"/>
        <v>OK</v>
      </c>
      <c r="E6558" s="4" t="s">
        <v>1995</v>
      </c>
    </row>
    <row r="6559" spans="1:5" x14ac:dyDescent="0.2">
      <c r="A6559" s="126">
        <v>6498</v>
      </c>
      <c r="B6559" s="1714"/>
      <c r="D6559" s="2" t="str">
        <f t="shared" si="101"/>
        <v>OK</v>
      </c>
      <c r="E6559" s="4" t="s">
        <v>1995</v>
      </c>
    </row>
    <row r="6560" spans="1:5" x14ac:dyDescent="0.2">
      <c r="A6560" s="126">
        <v>6499</v>
      </c>
      <c r="B6560" s="1714"/>
      <c r="D6560" s="2" t="str">
        <f t="shared" si="101"/>
        <v>OK</v>
      </c>
      <c r="E6560" s="4" t="s">
        <v>1995</v>
      </c>
    </row>
    <row r="6561" spans="1:5" x14ac:dyDescent="0.2">
      <c r="A6561" s="126">
        <v>6500</v>
      </c>
      <c r="B6561" s="1714"/>
      <c r="D6561" s="2" t="str">
        <f t="shared" si="101"/>
        <v>OK</v>
      </c>
      <c r="E6561" s="4" t="s">
        <v>1995</v>
      </c>
    </row>
    <row r="6562" spans="1:5" x14ac:dyDescent="0.2">
      <c r="A6562" s="126">
        <v>6501</v>
      </c>
      <c r="B6562" s="1714"/>
      <c r="D6562" s="2" t="str">
        <f t="shared" si="101"/>
        <v>OK</v>
      </c>
      <c r="E6562" s="4" t="s">
        <v>1995</v>
      </c>
    </row>
    <row r="6563" spans="1:5" x14ac:dyDescent="0.2">
      <c r="A6563" s="126">
        <v>6502</v>
      </c>
      <c r="B6563" s="1714"/>
      <c r="D6563" s="2" t="str">
        <f t="shared" si="101"/>
        <v>OK</v>
      </c>
      <c r="E6563" s="4" t="s">
        <v>1995</v>
      </c>
    </row>
    <row r="6564" spans="1:5" x14ac:dyDescent="0.2">
      <c r="A6564" s="126">
        <v>6503</v>
      </c>
      <c r="B6564" s="1714"/>
      <c r="D6564" s="2" t="str">
        <f t="shared" si="101"/>
        <v>OK</v>
      </c>
      <c r="E6564" s="4" t="s">
        <v>1995</v>
      </c>
    </row>
    <row r="6565" spans="1:5" x14ac:dyDescent="0.2">
      <c r="A6565" s="126">
        <v>6504</v>
      </c>
      <c r="B6565" s="1714"/>
      <c r="D6565" s="2" t="str">
        <f t="shared" si="101"/>
        <v>OK</v>
      </c>
      <c r="E6565" s="4" t="s">
        <v>1995</v>
      </c>
    </row>
    <row r="6566" spans="1:5" x14ac:dyDescent="0.2">
      <c r="A6566" s="126">
        <v>6505</v>
      </c>
      <c r="B6566" s="1714"/>
      <c r="D6566" s="2" t="str">
        <f t="shared" si="101"/>
        <v>OK</v>
      </c>
      <c r="E6566" s="4" t="s">
        <v>1995</v>
      </c>
    </row>
    <row r="6567" spans="1:5" x14ac:dyDescent="0.2">
      <c r="A6567" s="126">
        <v>6506</v>
      </c>
      <c r="B6567" s="1714"/>
      <c r="D6567" s="2" t="str">
        <f t="shared" si="101"/>
        <v>OK</v>
      </c>
      <c r="E6567" s="4" t="s">
        <v>1995</v>
      </c>
    </row>
    <row r="6568" spans="1:5" x14ac:dyDescent="0.2">
      <c r="A6568" s="126">
        <v>6507</v>
      </c>
      <c r="B6568" s="1714"/>
      <c r="D6568" s="2" t="str">
        <f t="shared" si="101"/>
        <v>OK</v>
      </c>
      <c r="E6568" s="4" t="s">
        <v>1995</v>
      </c>
    </row>
    <row r="6569" spans="1:5" x14ac:dyDescent="0.2">
      <c r="A6569" s="126">
        <v>6508</v>
      </c>
      <c r="B6569" s="1714"/>
      <c r="D6569" s="2" t="str">
        <f t="shared" si="101"/>
        <v>OK</v>
      </c>
      <c r="E6569" s="4" t="s">
        <v>1995</v>
      </c>
    </row>
    <row r="6570" spans="1:5" x14ac:dyDescent="0.2">
      <c r="A6570" s="126">
        <v>6509</v>
      </c>
      <c r="B6570" s="1714"/>
      <c r="D6570" s="2" t="str">
        <f t="shared" si="101"/>
        <v>OK</v>
      </c>
      <c r="E6570" s="4" t="s">
        <v>1995</v>
      </c>
    </row>
    <row r="6571" spans="1:5" x14ac:dyDescent="0.2">
      <c r="A6571" s="126">
        <v>6510</v>
      </c>
      <c r="B6571" s="1714"/>
      <c r="D6571" s="2" t="str">
        <f t="shared" si="101"/>
        <v>OK</v>
      </c>
      <c r="E6571" s="4" t="s">
        <v>1995</v>
      </c>
    </row>
    <row r="6572" spans="1:5" x14ac:dyDescent="0.2">
      <c r="A6572" s="126">
        <v>6511</v>
      </c>
      <c r="B6572" s="1714"/>
      <c r="D6572" s="2" t="str">
        <f t="shared" si="101"/>
        <v>OK</v>
      </c>
      <c r="E6572" s="4" t="s">
        <v>1995</v>
      </c>
    </row>
    <row r="6573" spans="1:5" x14ac:dyDescent="0.2">
      <c r="A6573" s="126">
        <v>6512</v>
      </c>
      <c r="B6573" s="1714"/>
      <c r="D6573" s="2" t="str">
        <f t="shared" si="101"/>
        <v>OK</v>
      </c>
      <c r="E6573" s="4" t="s">
        <v>1995</v>
      </c>
    </row>
    <row r="6574" spans="1:5" x14ac:dyDescent="0.2">
      <c r="A6574" s="126">
        <v>6513</v>
      </c>
      <c r="B6574" s="1714"/>
      <c r="D6574" s="2" t="str">
        <f t="shared" si="101"/>
        <v>OK</v>
      </c>
      <c r="E6574" s="4" t="s">
        <v>1995</v>
      </c>
    </row>
    <row r="6575" spans="1:5" x14ac:dyDescent="0.2">
      <c r="A6575" s="126">
        <v>6514</v>
      </c>
      <c r="B6575" s="1714"/>
      <c r="D6575" s="2" t="str">
        <f t="shared" si="101"/>
        <v>OK</v>
      </c>
      <c r="E6575" s="4" t="s">
        <v>1995</v>
      </c>
    </row>
    <row r="6576" spans="1:5" x14ac:dyDescent="0.2">
      <c r="A6576" s="126">
        <v>6515</v>
      </c>
      <c r="B6576" s="1714"/>
      <c r="D6576" s="2" t="str">
        <f t="shared" si="101"/>
        <v>OK</v>
      </c>
      <c r="E6576" s="4" t="s">
        <v>1995</v>
      </c>
    </row>
    <row r="6577" spans="1:5" x14ac:dyDescent="0.2">
      <c r="A6577" s="126">
        <v>6516</v>
      </c>
      <c r="B6577" s="1714"/>
      <c r="D6577" s="2" t="str">
        <f t="shared" si="101"/>
        <v>OK</v>
      </c>
      <c r="E6577" s="4" t="s">
        <v>1995</v>
      </c>
    </row>
    <row r="6578" spans="1:5" x14ac:dyDescent="0.2">
      <c r="A6578" s="126">
        <v>6517</v>
      </c>
      <c r="B6578" s="1714"/>
      <c r="D6578" s="2" t="str">
        <f t="shared" si="101"/>
        <v>OK</v>
      </c>
      <c r="E6578" s="4" t="s">
        <v>1995</v>
      </c>
    </row>
    <row r="6579" spans="1:5" x14ac:dyDescent="0.2">
      <c r="A6579" s="126">
        <v>6518</v>
      </c>
      <c r="B6579" s="1714"/>
      <c r="D6579" s="2" t="str">
        <f t="shared" si="101"/>
        <v>OK</v>
      </c>
      <c r="E6579" s="4" t="s">
        <v>1995</v>
      </c>
    </row>
    <row r="6580" spans="1:5" x14ac:dyDescent="0.2">
      <c r="A6580" s="126">
        <v>6519</v>
      </c>
      <c r="B6580" s="1714"/>
      <c r="D6580" s="2" t="str">
        <f t="shared" si="101"/>
        <v>OK</v>
      </c>
      <c r="E6580" s="4" t="s">
        <v>1995</v>
      </c>
    </row>
    <row r="6581" spans="1:5" x14ac:dyDescent="0.2">
      <c r="A6581" s="126">
        <v>6520</v>
      </c>
      <c r="B6581" s="1714"/>
      <c r="D6581" s="2" t="str">
        <f t="shared" si="101"/>
        <v>OK</v>
      </c>
      <c r="E6581" s="4" t="s">
        <v>1995</v>
      </c>
    </row>
    <row r="6582" spans="1:5" x14ac:dyDescent="0.2">
      <c r="A6582" s="126">
        <v>6521</v>
      </c>
      <c r="B6582" s="1714"/>
      <c r="D6582" s="2" t="str">
        <f t="shared" si="101"/>
        <v>OK</v>
      </c>
      <c r="E6582" s="4" t="s">
        <v>1995</v>
      </c>
    </row>
    <row r="6583" spans="1:5" x14ac:dyDescent="0.2">
      <c r="A6583" s="126">
        <v>6522</v>
      </c>
      <c r="B6583" s="1714"/>
      <c r="D6583" s="2" t="str">
        <f t="shared" si="101"/>
        <v>OK</v>
      </c>
      <c r="E6583" s="4" t="s">
        <v>1995</v>
      </c>
    </row>
    <row r="6584" spans="1:5" x14ac:dyDescent="0.2">
      <c r="A6584" s="126">
        <v>6523</v>
      </c>
      <c r="B6584" s="1714"/>
      <c r="D6584" s="2" t="str">
        <f t="shared" si="101"/>
        <v>OK</v>
      </c>
      <c r="E6584" s="4" t="s">
        <v>1995</v>
      </c>
    </row>
    <row r="6585" spans="1:5" x14ac:dyDescent="0.2">
      <c r="A6585" s="126">
        <v>6524</v>
      </c>
      <c r="B6585" s="1714"/>
      <c r="D6585" s="2" t="str">
        <f t="shared" si="101"/>
        <v>OK</v>
      </c>
      <c r="E6585" s="4" t="s">
        <v>1995</v>
      </c>
    </row>
    <row r="6586" spans="1:5" x14ac:dyDescent="0.2">
      <c r="A6586" s="126">
        <v>6525</v>
      </c>
      <c r="B6586" s="1714"/>
      <c r="D6586" s="2" t="str">
        <f t="shared" si="101"/>
        <v>OK</v>
      </c>
      <c r="E6586" s="4" t="s">
        <v>1995</v>
      </c>
    </row>
    <row r="6587" spans="1:5" x14ac:dyDescent="0.2">
      <c r="A6587" s="126">
        <v>6526</v>
      </c>
      <c r="B6587" s="1714"/>
      <c r="D6587" s="2" t="str">
        <f t="shared" si="101"/>
        <v>OK</v>
      </c>
      <c r="E6587" s="4" t="s">
        <v>1995</v>
      </c>
    </row>
    <row r="6588" spans="1:5" x14ac:dyDescent="0.2">
      <c r="A6588" s="126">
        <v>6527</v>
      </c>
      <c r="B6588" s="1714"/>
      <c r="D6588" s="2" t="str">
        <f t="shared" si="101"/>
        <v>OK</v>
      </c>
      <c r="E6588" s="4" t="s">
        <v>1995</v>
      </c>
    </row>
    <row r="6589" spans="1:5" x14ac:dyDescent="0.2">
      <c r="A6589" s="126">
        <v>6528</v>
      </c>
      <c r="B6589" s="1714"/>
      <c r="D6589" s="2" t="str">
        <f t="shared" si="101"/>
        <v>OK</v>
      </c>
      <c r="E6589" s="4" t="s">
        <v>1995</v>
      </c>
    </row>
    <row r="6590" spans="1:5" x14ac:dyDescent="0.2">
      <c r="A6590" s="126">
        <v>6529</v>
      </c>
      <c r="B6590" s="1714"/>
      <c r="D6590" s="2" t="str">
        <f t="shared" si="101"/>
        <v>OK</v>
      </c>
      <c r="E6590" s="4" t="s">
        <v>1995</v>
      </c>
    </row>
    <row r="6591" spans="1:5" x14ac:dyDescent="0.2">
      <c r="A6591" s="126">
        <v>6530</v>
      </c>
      <c r="B6591" s="1714"/>
      <c r="D6591" s="2" t="str">
        <f t="shared" ref="D6591:D6654" si="102">IF(ISBLANK(B6591),"OK",IF(A6591-B6591=0,"OK","Error?"))</f>
        <v>OK</v>
      </c>
      <c r="E6591" s="4" t="s">
        <v>1995</v>
      </c>
    </row>
    <row r="6592" spans="1:5" x14ac:dyDescent="0.2">
      <c r="A6592" s="126">
        <v>6531</v>
      </c>
      <c r="B6592" s="1714"/>
      <c r="D6592" s="2" t="str">
        <f t="shared" si="102"/>
        <v>OK</v>
      </c>
      <c r="E6592" s="4" t="s">
        <v>1995</v>
      </c>
    </row>
    <row r="6593" spans="1:5" x14ac:dyDescent="0.2">
      <c r="A6593" s="126">
        <v>6532</v>
      </c>
      <c r="B6593" s="1714"/>
      <c r="D6593" s="2" t="str">
        <f t="shared" si="102"/>
        <v>OK</v>
      </c>
      <c r="E6593" s="4" t="s">
        <v>1995</v>
      </c>
    </row>
    <row r="6594" spans="1:5" x14ac:dyDescent="0.2">
      <c r="A6594" s="126">
        <v>6533</v>
      </c>
      <c r="B6594" s="1714"/>
      <c r="D6594" s="2" t="str">
        <f t="shared" si="102"/>
        <v>OK</v>
      </c>
      <c r="E6594" s="4" t="s">
        <v>1995</v>
      </c>
    </row>
    <row r="6595" spans="1:5" x14ac:dyDescent="0.2">
      <c r="A6595" s="126">
        <v>6534</v>
      </c>
      <c r="B6595" s="1714"/>
      <c r="D6595" s="2" t="str">
        <f t="shared" si="102"/>
        <v>OK</v>
      </c>
      <c r="E6595" s="4" t="s">
        <v>1995</v>
      </c>
    </row>
    <row r="6596" spans="1:5" x14ac:dyDescent="0.2">
      <c r="A6596" s="126">
        <v>6535</v>
      </c>
      <c r="B6596" s="1714"/>
      <c r="D6596" s="2" t="str">
        <f t="shared" si="102"/>
        <v>OK</v>
      </c>
      <c r="E6596" s="4" t="s">
        <v>1995</v>
      </c>
    </row>
    <row r="6597" spans="1:5" x14ac:dyDescent="0.2">
      <c r="A6597" s="126">
        <v>6536</v>
      </c>
      <c r="B6597" s="1714"/>
      <c r="D6597" s="2" t="str">
        <f t="shared" si="102"/>
        <v>OK</v>
      </c>
      <c r="E6597" s="4" t="s">
        <v>1995</v>
      </c>
    </row>
    <row r="6598" spans="1:5" x14ac:dyDescent="0.2">
      <c r="A6598" s="126">
        <v>6537</v>
      </c>
      <c r="B6598" s="1714"/>
      <c r="D6598" s="2" t="str">
        <f t="shared" si="102"/>
        <v>OK</v>
      </c>
      <c r="E6598" s="4" t="s">
        <v>1995</v>
      </c>
    </row>
    <row r="6599" spans="1:5" x14ac:dyDescent="0.2">
      <c r="A6599" s="126">
        <v>6538</v>
      </c>
      <c r="B6599" s="1714"/>
      <c r="D6599" s="2" t="str">
        <f t="shared" si="102"/>
        <v>OK</v>
      </c>
      <c r="E6599" s="4" t="s">
        <v>1995</v>
      </c>
    </row>
    <row r="6600" spans="1:5" x14ac:dyDescent="0.2">
      <c r="A6600" s="126">
        <v>6539</v>
      </c>
      <c r="B6600" s="1714"/>
      <c r="D6600" s="2" t="str">
        <f t="shared" si="102"/>
        <v>OK</v>
      </c>
      <c r="E6600" s="4" t="s">
        <v>1995</v>
      </c>
    </row>
    <row r="6601" spans="1:5" x14ac:dyDescent="0.2">
      <c r="A6601" s="126">
        <v>6540</v>
      </c>
      <c r="B6601" s="1714"/>
      <c r="D6601" s="2" t="str">
        <f t="shared" si="102"/>
        <v>OK</v>
      </c>
      <c r="E6601" s="4" t="s">
        <v>1995</v>
      </c>
    </row>
    <row r="6602" spans="1:5" x14ac:dyDescent="0.2">
      <c r="A6602" s="126">
        <v>6541</v>
      </c>
      <c r="B6602" s="1714"/>
      <c r="D6602" s="2" t="str">
        <f t="shared" si="102"/>
        <v>OK</v>
      </c>
      <c r="E6602" s="4" t="s">
        <v>1995</v>
      </c>
    </row>
    <row r="6603" spans="1:5" x14ac:dyDescent="0.2">
      <c r="A6603" s="126">
        <v>6542</v>
      </c>
      <c r="B6603" s="1714"/>
      <c r="D6603" s="2" t="str">
        <f t="shared" si="102"/>
        <v>OK</v>
      </c>
      <c r="E6603" s="4" t="s">
        <v>1995</v>
      </c>
    </row>
    <row r="6604" spans="1:5" x14ac:dyDescent="0.2">
      <c r="A6604" s="126">
        <v>6543</v>
      </c>
      <c r="B6604" s="1714"/>
      <c r="D6604" s="2" t="str">
        <f t="shared" si="102"/>
        <v>OK</v>
      </c>
      <c r="E6604" s="4" t="s">
        <v>1995</v>
      </c>
    </row>
    <row r="6605" spans="1:5" x14ac:dyDescent="0.2">
      <c r="A6605" s="126">
        <v>6544</v>
      </c>
      <c r="B6605" s="1714"/>
      <c r="D6605" s="2" t="str">
        <f t="shared" si="102"/>
        <v>OK</v>
      </c>
      <c r="E6605" s="4" t="s">
        <v>1995</v>
      </c>
    </row>
    <row r="6606" spans="1:5" x14ac:dyDescent="0.2">
      <c r="A6606" s="126">
        <v>6545</v>
      </c>
      <c r="B6606" s="1714"/>
      <c r="D6606" s="2" t="str">
        <f t="shared" si="102"/>
        <v>OK</v>
      </c>
      <c r="E6606" s="4" t="s">
        <v>1995</v>
      </c>
    </row>
    <row r="6607" spans="1:5" x14ac:dyDescent="0.2">
      <c r="A6607" s="126">
        <v>6546</v>
      </c>
      <c r="B6607" s="1714"/>
      <c r="D6607" s="2" t="str">
        <f t="shared" si="102"/>
        <v>OK</v>
      </c>
      <c r="E6607" s="4" t="s">
        <v>1995</v>
      </c>
    </row>
    <row r="6608" spans="1:5" x14ac:dyDescent="0.2">
      <c r="A6608" s="126">
        <v>6547</v>
      </c>
      <c r="B6608" s="1714"/>
      <c r="D6608" s="2" t="str">
        <f t="shared" si="102"/>
        <v>OK</v>
      </c>
      <c r="E6608" s="4" t="s">
        <v>1995</v>
      </c>
    </row>
    <row r="6609" spans="1:5" x14ac:dyDescent="0.2">
      <c r="A6609" s="126">
        <v>6548</v>
      </c>
      <c r="B6609" s="1714"/>
      <c r="D6609" s="2" t="str">
        <f t="shared" si="102"/>
        <v>OK</v>
      </c>
      <c r="E6609" s="4" t="s">
        <v>1995</v>
      </c>
    </row>
    <row r="6610" spans="1:5" x14ac:dyDescent="0.2">
      <c r="A6610" s="126">
        <v>6549</v>
      </c>
      <c r="B6610" s="1714"/>
      <c r="D6610" s="2" t="str">
        <f t="shared" si="102"/>
        <v>OK</v>
      </c>
      <c r="E6610" s="4" t="s">
        <v>1995</v>
      </c>
    </row>
    <row r="6611" spans="1:5" x14ac:dyDescent="0.2">
      <c r="A6611" s="126">
        <v>6550</v>
      </c>
      <c r="B6611" s="1714"/>
      <c r="D6611" s="2" t="str">
        <f t="shared" si="102"/>
        <v>OK</v>
      </c>
      <c r="E6611" s="4" t="s">
        <v>1995</v>
      </c>
    </row>
    <row r="6612" spans="1:5" x14ac:dyDescent="0.2">
      <c r="A6612" s="126">
        <v>6551</v>
      </c>
      <c r="B6612" s="1714"/>
      <c r="D6612" s="2" t="str">
        <f t="shared" si="102"/>
        <v>OK</v>
      </c>
      <c r="E6612" s="4" t="s">
        <v>1995</v>
      </c>
    </row>
    <row r="6613" spans="1:5" x14ac:dyDescent="0.2">
      <c r="A6613" s="126">
        <v>6552</v>
      </c>
      <c r="B6613" s="1714"/>
      <c r="D6613" s="2" t="str">
        <f t="shared" si="102"/>
        <v>OK</v>
      </c>
      <c r="E6613" s="4" t="s">
        <v>1995</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0</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1899</v>
      </c>
    </row>
    <row r="6842" spans="1:5" x14ac:dyDescent="0.2">
      <c r="A6842" s="126">
        <v>6781</v>
      </c>
      <c r="B6842" s="1714"/>
      <c r="D6842" s="2" t="str">
        <f t="shared" si="105"/>
        <v>OK</v>
      </c>
      <c r="E6842" s="1" t="s">
        <v>1899</v>
      </c>
    </row>
    <row r="6843" spans="1:5" x14ac:dyDescent="0.2">
      <c r="A6843" s="126">
        <v>6782</v>
      </c>
      <c r="B6843" s="1714"/>
      <c r="D6843" s="2" t="str">
        <f t="shared" si="105"/>
        <v>OK</v>
      </c>
      <c r="E6843" s="1" t="s">
        <v>1899</v>
      </c>
    </row>
    <row r="6844" spans="1:5" x14ac:dyDescent="0.2">
      <c r="A6844">
        <v>6783</v>
      </c>
      <c r="B6844" s="1714">
        <f>'Expenditures 15-22'!I5</f>
        <v>56405</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0</v>
      </c>
      <c r="D6848" s="2" t="str">
        <f t="shared" si="106"/>
        <v>Error?</v>
      </c>
    </row>
    <row r="6849" spans="1:4" x14ac:dyDescent="0.2">
      <c r="A6849">
        <v>6788</v>
      </c>
      <c r="B6849" s="1714">
        <f>'Expenditures 15-22'!I8</f>
        <v>987</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467873</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30958</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2426</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282370</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0</v>
      </c>
      <c r="D6878" s="2" t="str">
        <f t="shared" si="106"/>
        <v>Error?</v>
      </c>
    </row>
    <row r="6879" spans="1:4" x14ac:dyDescent="0.2">
      <c r="A6879">
        <v>6818</v>
      </c>
      <c r="B6879" s="1714">
        <f>'Expenditures 15-22'!K21</f>
        <v>0</v>
      </c>
      <c r="D6879" s="2" t="str">
        <f t="shared" si="106"/>
        <v>Error?</v>
      </c>
    </row>
    <row r="6880" spans="1:4" x14ac:dyDescent="0.2">
      <c r="A6880">
        <v>6819</v>
      </c>
      <c r="B6880" s="1714">
        <f>'Expenditures 15-22'!H22</f>
        <v>1627030</v>
      </c>
      <c r="D6880" s="2" t="str">
        <f t="shared" si="106"/>
        <v>Error?</v>
      </c>
    </row>
    <row r="6881" spans="1:4" x14ac:dyDescent="0.2">
      <c r="A6881">
        <v>6820</v>
      </c>
      <c r="B6881" s="1714">
        <f>'Expenditures 15-22'!K22</f>
        <v>1627030</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90776</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1168</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142049</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143217</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2947</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2947</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16778</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53121</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69899</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0</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0</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216063</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306839</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916424</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916424</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916424</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0</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916424</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0</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351566</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351566</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351566</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0</v>
      </c>
      <c r="D7073" s="2" t="str">
        <f t="shared" si="109"/>
        <v>Error?</v>
      </c>
    </row>
    <row r="7074" spans="1:4" x14ac:dyDescent="0.2">
      <c r="A7074">
        <v>7013</v>
      </c>
      <c r="B7074" s="1714">
        <f>'Expenditures 15-22'!K216</f>
        <v>0</v>
      </c>
      <c r="D7074" s="2" t="str">
        <f t="shared" si="109"/>
        <v>Error?</v>
      </c>
    </row>
    <row r="7075" spans="1:4" x14ac:dyDescent="0.2">
      <c r="A7075">
        <v>7014</v>
      </c>
      <c r="B7075" s="1714">
        <f>'Expenditures 15-22'!D218</f>
        <v>22378</v>
      </c>
      <c r="D7075" s="2" t="str">
        <f t="shared" si="109"/>
        <v>Error?</v>
      </c>
    </row>
    <row r="7076" spans="1:4" x14ac:dyDescent="0.2">
      <c r="A7076">
        <v>7015</v>
      </c>
      <c r="B7076" s="1714">
        <f>'Expenditures 15-22'!K218</f>
        <v>22378</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2977</v>
      </c>
      <c r="D7079" s="2" t="str">
        <f t="shared" si="109"/>
        <v>Error?</v>
      </c>
    </row>
    <row r="7080" spans="1:4" x14ac:dyDescent="0.2">
      <c r="A7080">
        <v>7019</v>
      </c>
      <c r="B7080" s="1714">
        <f>'Expenditures 15-22'!K226</f>
        <v>2977</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0</v>
      </c>
      <c r="D7093" s="2" t="str">
        <f t="shared" si="109"/>
        <v>Error?</v>
      </c>
    </row>
    <row r="7094" spans="1:4" x14ac:dyDescent="0.2">
      <c r="A7094">
        <v>7033</v>
      </c>
      <c r="B7094" s="1714">
        <f>'Expenditures 15-22'!K254</f>
        <v>0</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0</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0</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0</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0</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0</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0</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0</v>
      </c>
      <c r="D7172" s="2" t="str">
        <f t="shared" si="111"/>
        <v>Error?</v>
      </c>
    </row>
    <row r="7173" spans="1:4" x14ac:dyDescent="0.2">
      <c r="A7173">
        <v>7112</v>
      </c>
      <c r="B7173" s="1714">
        <f>'Expenditures 15-22'!D325</f>
        <v>0</v>
      </c>
      <c r="D7173" s="2" t="str">
        <f t="shared" si="111"/>
        <v>Error?</v>
      </c>
    </row>
    <row r="7174" spans="1:4" x14ac:dyDescent="0.2">
      <c r="A7174">
        <v>7113</v>
      </c>
      <c r="B7174" s="1714">
        <f>'Expenditures 15-22'!E325</f>
        <v>0</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0</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0</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0</v>
      </c>
      <c r="D7198" s="2" t="str">
        <f t="shared" si="111"/>
        <v>Error?</v>
      </c>
    </row>
    <row r="7199" spans="1:4" x14ac:dyDescent="0.2">
      <c r="A7199">
        <v>7138</v>
      </c>
      <c r="B7199" s="1714">
        <f>'Expenditures 15-22'!C330</f>
        <v>0</v>
      </c>
      <c r="D7199" s="2" t="str">
        <f t="shared" si="111"/>
        <v>Error?</v>
      </c>
    </row>
    <row r="7200" spans="1:4" x14ac:dyDescent="0.2">
      <c r="A7200">
        <v>7139</v>
      </c>
      <c r="B7200" s="1714">
        <f>'Expenditures 15-22'!D330</f>
        <v>0</v>
      </c>
      <c r="D7200" s="2" t="str">
        <f t="shared" si="111"/>
        <v>Error?</v>
      </c>
    </row>
    <row r="7201" spans="1:4" x14ac:dyDescent="0.2">
      <c r="A7201">
        <v>7140</v>
      </c>
      <c r="B7201" s="1714">
        <f>'Expenditures 15-22'!E330</f>
        <v>0</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0</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0</v>
      </c>
      <c r="D7216" s="2" t="str">
        <f t="shared" si="111"/>
        <v>Error?</v>
      </c>
    </row>
    <row r="7217" spans="1:4" x14ac:dyDescent="0.2">
      <c r="A7217">
        <v>7156</v>
      </c>
      <c r="B7217" s="1714">
        <f>'Expenditures 15-22'!D342</f>
        <v>0</v>
      </c>
      <c r="D7217" s="2" t="str">
        <f t="shared" si="111"/>
        <v>Error?</v>
      </c>
    </row>
    <row r="7218" spans="1:4" x14ac:dyDescent="0.2">
      <c r="A7218">
        <v>7157</v>
      </c>
      <c r="B7218" s="1714">
        <f>'Expenditures 15-22'!E342</f>
        <v>0</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0</v>
      </c>
      <c r="D7224" s="2" t="str">
        <f t="shared" si="111"/>
        <v>Error?</v>
      </c>
    </row>
    <row r="7225" spans="1:4" x14ac:dyDescent="0.2">
      <c r="A7225">
        <v>7164</v>
      </c>
      <c r="B7225" s="1714">
        <f>'Expenditures 15-22'!K343</f>
        <v>0</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0</v>
      </c>
      <c r="D7246" s="2" t="str">
        <f t="shared" si="112"/>
        <v>Error?</v>
      </c>
    </row>
    <row r="7247" spans="1:4" x14ac:dyDescent="0.2">
      <c r="A7247">
        <f t="shared" si="113"/>
        <v>7186</v>
      </c>
      <c r="B7247" s="1714">
        <f>'Expenditures 15-22'!E7</f>
        <v>0</v>
      </c>
      <c r="D7247" s="2" t="str">
        <f t="shared" si="112"/>
        <v>Error?</v>
      </c>
    </row>
    <row r="7248" spans="1:4" x14ac:dyDescent="0.2">
      <c r="A7248">
        <f t="shared" si="113"/>
        <v>7187</v>
      </c>
      <c r="B7248" s="1714">
        <f>'Expenditures 15-22'!F7</f>
        <v>0</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368693</v>
      </c>
      <c r="D7251" s="2" t="str">
        <f t="shared" si="112"/>
        <v>Error?</v>
      </c>
    </row>
    <row r="7252" spans="1:4" x14ac:dyDescent="0.2">
      <c r="A7252">
        <f t="shared" si="113"/>
        <v>7191</v>
      </c>
      <c r="B7252" s="1714">
        <f>'Expenditures 15-22'!D9</f>
        <v>96229</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2951</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229864</v>
      </c>
      <c r="D7263" s="2" t="str">
        <f t="shared" si="112"/>
        <v>Error?</v>
      </c>
    </row>
    <row r="7264" spans="1:4" x14ac:dyDescent="0.2">
      <c r="A7264">
        <f t="shared" si="113"/>
        <v>7203</v>
      </c>
      <c r="B7264" s="1714">
        <f>'Expenditures 15-22'!D17</f>
        <v>47965</v>
      </c>
      <c r="D7264" s="2" t="str">
        <f t="shared" si="112"/>
        <v>Error?</v>
      </c>
    </row>
    <row r="7265" spans="1:5" x14ac:dyDescent="0.2">
      <c r="A7265">
        <f t="shared" si="113"/>
        <v>7204</v>
      </c>
      <c r="B7265" s="1714">
        <f>'Expenditures 15-22'!E17</f>
        <v>396</v>
      </c>
      <c r="D7265" s="2" t="str">
        <f t="shared" si="112"/>
        <v>Error?</v>
      </c>
    </row>
    <row r="7266" spans="1:5" x14ac:dyDescent="0.2">
      <c r="A7266">
        <f t="shared" si="113"/>
        <v>7205</v>
      </c>
      <c r="B7266" s="1714">
        <f>'Expenditures 15-22'!F17</f>
        <v>3205</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940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1574829</v>
      </c>
      <c r="D7624" s="2" t="str">
        <f t="shared" si="124"/>
        <v>Error?</v>
      </c>
      <c r="E7624" s="2" t="s">
        <v>19</v>
      </c>
    </row>
    <row r="7625" spans="1:5" x14ac:dyDescent="0.2">
      <c r="A7625">
        <f t="shared" si="123"/>
        <v>7564</v>
      </c>
      <c r="B7625" s="1714">
        <f>'Cap Outlay Deprec 26'!I17</f>
        <v>157482.9</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4858433.9000000004</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1996</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1996</v>
      </c>
    </row>
    <row r="7641" spans="1:6" x14ac:dyDescent="0.2">
      <c r="A7641" s="126">
        <f t="shared" si="125"/>
        <v>7580</v>
      </c>
      <c r="B7641" s="1715"/>
      <c r="D7641" s="2" t="str">
        <f t="shared" si="124"/>
        <v>OK</v>
      </c>
      <c r="E7641" s="4" t="s">
        <v>1996</v>
      </c>
    </row>
    <row r="7642" spans="1:6" x14ac:dyDescent="0.2">
      <c r="A7642" s="126">
        <f t="shared" si="125"/>
        <v>7581</v>
      </c>
      <c r="B7642" s="1715"/>
      <c r="D7642" s="2" t="str">
        <f t="shared" si="124"/>
        <v>OK</v>
      </c>
      <c r="E7642" s="4" t="s">
        <v>1996</v>
      </c>
    </row>
    <row r="7643" spans="1:6" x14ac:dyDescent="0.2">
      <c r="A7643" s="126">
        <f t="shared" si="125"/>
        <v>7582</v>
      </c>
      <c r="B7643" s="1715"/>
      <c r="D7643" s="2" t="str">
        <f t="shared" si="124"/>
        <v>OK</v>
      </c>
      <c r="E7643" s="4" t="s">
        <v>1996</v>
      </c>
    </row>
    <row r="7644" spans="1:6" x14ac:dyDescent="0.2">
      <c r="A7644" s="126">
        <f t="shared" si="125"/>
        <v>7583</v>
      </c>
      <c r="B7644" s="1715"/>
      <c r="D7644" s="2" t="str">
        <f t="shared" si="124"/>
        <v>OK</v>
      </c>
      <c r="E7644" s="4" t="s">
        <v>1996</v>
      </c>
    </row>
    <row r="7645" spans="1:6" x14ac:dyDescent="0.2">
      <c r="A7645" s="126">
        <f t="shared" si="125"/>
        <v>7584</v>
      </c>
      <c r="B7645" s="1715"/>
      <c r="D7645" s="2" t="str">
        <f t="shared" si="124"/>
        <v>OK</v>
      </c>
      <c r="E7645" s="4" t="s">
        <v>1996</v>
      </c>
    </row>
    <row r="7646" spans="1:6" x14ac:dyDescent="0.2">
      <c r="A7646" s="126">
        <f t="shared" si="125"/>
        <v>7585</v>
      </c>
      <c r="B7646" s="1715"/>
      <c r="D7646" s="2" t="str">
        <f t="shared" si="124"/>
        <v>OK</v>
      </c>
      <c r="E7646" s="4" t="s">
        <v>1996</v>
      </c>
    </row>
    <row r="7647" spans="1:6" x14ac:dyDescent="0.2">
      <c r="A7647" s="126">
        <f t="shared" si="125"/>
        <v>7586</v>
      </c>
      <c r="B7647" s="1715"/>
      <c r="D7647" s="2" t="str">
        <f t="shared" si="124"/>
        <v>OK</v>
      </c>
      <c r="E7647" s="4" t="s">
        <v>1996</v>
      </c>
    </row>
    <row r="7648" spans="1:6" x14ac:dyDescent="0.2">
      <c r="A7648" s="126">
        <f t="shared" si="125"/>
        <v>7587</v>
      </c>
      <c r="B7648" s="1715"/>
      <c r="D7648" s="2" t="str">
        <f t="shared" si="124"/>
        <v>OK</v>
      </c>
      <c r="E7648" s="4" t="s">
        <v>1996</v>
      </c>
    </row>
    <row r="7649" spans="1:5" x14ac:dyDescent="0.2">
      <c r="A7649" s="126">
        <f t="shared" si="125"/>
        <v>7588</v>
      </c>
      <c r="B7649" s="1715"/>
      <c r="D7649" s="2" t="str">
        <f t="shared" si="124"/>
        <v>OK</v>
      </c>
      <c r="E7649" s="4" t="s">
        <v>1996</v>
      </c>
    </row>
    <row r="7650" spans="1:5" x14ac:dyDescent="0.2">
      <c r="A7650" s="126">
        <f t="shared" si="125"/>
        <v>7589</v>
      </c>
      <c r="B7650" s="1715"/>
      <c r="D7650" s="2" t="str">
        <f t="shared" si="124"/>
        <v>OK</v>
      </c>
      <c r="E7650" s="4" t="s">
        <v>1996</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0</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0</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0</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0</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0</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40810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40810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40810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4217297</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40810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0</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992812</v>
      </c>
      <c r="D7758" s="2" t="str">
        <f t="shared" si="127"/>
        <v>Error?</v>
      </c>
      <c r="E7758" s="4" t="s">
        <v>1324</v>
      </c>
    </row>
    <row r="7759" spans="1:6" x14ac:dyDescent="0.2">
      <c r="A7759">
        <v>7698</v>
      </c>
      <c r="B7759" s="1714">
        <f>'Aud Quest 2'!J88</f>
        <v>4031268</v>
      </c>
      <c r="D7759" s="2" t="str">
        <f t="shared" si="127"/>
        <v>Error?</v>
      </c>
      <c r="E7759" s="4" t="s">
        <v>1324</v>
      </c>
    </row>
    <row r="7760" spans="1:6" x14ac:dyDescent="0.2">
      <c r="A7760">
        <v>7699</v>
      </c>
      <c r="B7760" s="1714">
        <f>'Aud Quest 2'!J90</f>
        <v>5024080</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1998</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1827</v>
      </c>
    </row>
    <row r="7775" spans="1:5" x14ac:dyDescent="0.2">
      <c r="A7775">
        <v>7714</v>
      </c>
      <c r="B7775" s="1714">
        <f>'Expenditures 15-22'!H133</f>
        <v>0</v>
      </c>
      <c r="D7775" s="2" t="str">
        <f t="shared" si="127"/>
        <v>Error?</v>
      </c>
      <c r="E7775" s="4" t="s">
        <v>1827</v>
      </c>
    </row>
    <row r="7776" spans="1:5" x14ac:dyDescent="0.2">
      <c r="A7776">
        <v>7715</v>
      </c>
      <c r="B7776" s="1714">
        <f>'Expenditures 15-22'!K133</f>
        <v>0</v>
      </c>
      <c r="D7776" s="2" t="str">
        <f t="shared" si="127"/>
        <v>Error?</v>
      </c>
      <c r="E7776" s="4" t="s">
        <v>1827</v>
      </c>
    </row>
    <row r="7777" spans="1:5" x14ac:dyDescent="0.2">
      <c r="A7777">
        <v>7716</v>
      </c>
      <c r="B7777" s="1714">
        <f>'Expenditures 15-22'!H157</f>
        <v>0</v>
      </c>
      <c r="D7777" s="2" t="str">
        <f t="shared" si="127"/>
        <v>Error?</v>
      </c>
      <c r="E7777" s="4" t="s">
        <v>1827</v>
      </c>
    </row>
    <row r="7778" spans="1:5" x14ac:dyDescent="0.2">
      <c r="A7778">
        <v>7717</v>
      </c>
      <c r="B7778" s="1714">
        <f>'Expenditures 15-22'!K157</f>
        <v>0</v>
      </c>
      <c r="D7778" s="2" t="str">
        <f t="shared" si="127"/>
        <v>Error?</v>
      </c>
      <c r="E7778" s="4" t="s">
        <v>1827</v>
      </c>
    </row>
    <row r="7779" spans="1:5" x14ac:dyDescent="0.2">
      <c r="A7779">
        <v>7718</v>
      </c>
      <c r="B7779" s="1714">
        <f>'Expenditures 15-22'!H158</f>
        <v>0</v>
      </c>
      <c r="D7779" s="2" t="str">
        <f t="shared" si="127"/>
        <v>Error?</v>
      </c>
      <c r="E7779" s="4" t="s">
        <v>1827</v>
      </c>
    </row>
    <row r="7780" spans="1:5" x14ac:dyDescent="0.2">
      <c r="A7780">
        <v>7719</v>
      </c>
      <c r="B7780" s="1714">
        <f>'Expenditures 15-22'!K158</f>
        <v>0</v>
      </c>
      <c r="D7780" s="2" t="str">
        <f t="shared" si="127"/>
        <v>Error?</v>
      </c>
      <c r="E7780" s="4" t="s">
        <v>1827</v>
      </c>
    </row>
    <row r="7781" spans="1:5" x14ac:dyDescent="0.2">
      <c r="A7781">
        <v>7720</v>
      </c>
      <c r="B7781" s="1714">
        <f>'Expenditures 15-22'!H159</f>
        <v>0</v>
      </c>
      <c r="D7781" s="2" t="str">
        <f t="shared" si="127"/>
        <v>Error?</v>
      </c>
      <c r="E7781" s="4" t="s">
        <v>1827</v>
      </c>
    </row>
    <row r="7782" spans="1:5" x14ac:dyDescent="0.2">
      <c r="A7782">
        <v>7721</v>
      </c>
      <c r="B7782" s="1714">
        <f>'Expenditures 15-22'!K159</f>
        <v>0</v>
      </c>
      <c r="D7782" s="2" t="str">
        <f t="shared" si="127"/>
        <v>Error?</v>
      </c>
      <c r="E7782" s="4" t="s">
        <v>1827</v>
      </c>
    </row>
    <row r="7783" spans="1:5" x14ac:dyDescent="0.2">
      <c r="A7783">
        <v>7722</v>
      </c>
      <c r="B7783" s="1714">
        <f>'Expenditures 15-22'!D282</f>
        <v>0</v>
      </c>
      <c r="D7783" s="2" t="str">
        <f t="shared" si="127"/>
        <v>Error?</v>
      </c>
      <c r="E7783" s="4" t="s">
        <v>1827</v>
      </c>
    </row>
    <row r="7784" spans="1:5" x14ac:dyDescent="0.2">
      <c r="A7784">
        <v>7723</v>
      </c>
      <c r="B7784" s="1714">
        <f>'Expenditures 15-22'!K282</f>
        <v>0</v>
      </c>
      <c r="D7784" s="2" t="str">
        <f t="shared" si="127"/>
        <v>Error?</v>
      </c>
      <c r="E7784" s="4" t="s">
        <v>1827</v>
      </c>
    </row>
    <row r="7785" spans="1:5" x14ac:dyDescent="0.2">
      <c r="A7785">
        <v>7724</v>
      </c>
      <c r="B7785" s="1714">
        <f>'Expenditures 15-22'!H332</f>
        <v>0</v>
      </c>
      <c r="D7785" s="2" t="str">
        <f t="shared" si="127"/>
        <v>Error?</v>
      </c>
      <c r="E7785" s="4" t="s">
        <v>1827</v>
      </c>
    </row>
    <row r="7786" spans="1:5" x14ac:dyDescent="0.2">
      <c r="A7786">
        <v>7725</v>
      </c>
      <c r="B7786" s="1714">
        <f>'Expenditures 15-22'!K332</f>
        <v>0</v>
      </c>
      <c r="D7786" s="2" t="str">
        <f t="shared" si="127"/>
        <v>Error?</v>
      </c>
      <c r="E7786" s="4" t="s">
        <v>1827</v>
      </c>
    </row>
    <row r="7787" spans="1:5" x14ac:dyDescent="0.2">
      <c r="A7787">
        <v>7726</v>
      </c>
      <c r="B7787" s="1714">
        <f>'Expenditures 15-22'!H333</f>
        <v>0</v>
      </c>
      <c r="D7787" s="2" t="str">
        <f t="shared" si="127"/>
        <v>Error?</v>
      </c>
      <c r="E7787" s="4" t="s">
        <v>1827</v>
      </c>
    </row>
    <row r="7788" spans="1:5" x14ac:dyDescent="0.2">
      <c r="A7788">
        <v>7727</v>
      </c>
      <c r="B7788" s="1714">
        <f>'Expenditures 15-22'!K333</f>
        <v>0</v>
      </c>
      <c r="D7788" s="2" t="str">
        <f t="shared" si="127"/>
        <v>Error?</v>
      </c>
      <c r="E7788" s="4" t="s">
        <v>1827</v>
      </c>
    </row>
    <row r="7789" spans="1:5" x14ac:dyDescent="0.2">
      <c r="A7789">
        <v>7728</v>
      </c>
      <c r="B7789" s="1714">
        <f>'Expenditures 15-22'!H334</f>
        <v>0</v>
      </c>
      <c r="D7789" s="2" t="str">
        <f t="shared" si="127"/>
        <v>Error?</v>
      </c>
      <c r="E7789" s="4" t="s">
        <v>1827</v>
      </c>
    </row>
    <row r="7790" spans="1:5" x14ac:dyDescent="0.2">
      <c r="A7790">
        <v>7729</v>
      </c>
      <c r="B7790" s="1714">
        <f>'Expenditures 15-22'!K334</f>
        <v>0</v>
      </c>
      <c r="D7790" s="2" t="str">
        <f t="shared" si="127"/>
        <v>Error?</v>
      </c>
      <c r="E7790" s="4" t="s">
        <v>1827</v>
      </c>
    </row>
    <row r="7791" spans="1:5" x14ac:dyDescent="0.2">
      <c r="A7791">
        <v>7730</v>
      </c>
      <c r="B7791" s="1714">
        <f>'Expenditures 15-22'!H354</f>
        <v>0</v>
      </c>
      <c r="D7791" s="2" t="str">
        <f t="shared" si="127"/>
        <v>Error?</v>
      </c>
      <c r="E7791" s="4" t="s">
        <v>1827</v>
      </c>
    </row>
    <row r="7792" spans="1:5" x14ac:dyDescent="0.2">
      <c r="A7792">
        <v>7731</v>
      </c>
      <c r="B7792" s="1714">
        <f>'Expenditures 15-22'!K354</f>
        <v>0</v>
      </c>
      <c r="D7792" s="2" t="str">
        <f t="shared" si="127"/>
        <v>Error?</v>
      </c>
      <c r="E7792" s="4" t="s">
        <v>1827</v>
      </c>
    </row>
    <row r="7793" spans="1:5" x14ac:dyDescent="0.2">
      <c r="A7793">
        <v>7732</v>
      </c>
      <c r="B7793" s="1714">
        <f>'Expenditures 15-22'!H355</f>
        <v>0</v>
      </c>
      <c r="D7793" s="2" t="str">
        <f t="shared" si="127"/>
        <v>Error?</v>
      </c>
      <c r="E7793" s="4" t="s">
        <v>1827</v>
      </c>
    </row>
    <row r="7794" spans="1:5" x14ac:dyDescent="0.2">
      <c r="A7794">
        <v>7733</v>
      </c>
      <c r="B7794" s="1714">
        <f>'Expenditures 15-22'!K355</f>
        <v>0</v>
      </c>
      <c r="D7794" s="2" t="str">
        <f t="shared" si="127"/>
        <v>Error?</v>
      </c>
      <c r="E7794" s="4" t="s">
        <v>1827</v>
      </c>
    </row>
    <row r="7795" spans="1:5" x14ac:dyDescent="0.2">
      <c r="A7795">
        <v>7734</v>
      </c>
      <c r="B7795" s="1714">
        <f>'Expenditures 15-22'!E138</f>
        <v>0</v>
      </c>
      <c r="D7795" s="2" t="str">
        <f t="shared" si="127"/>
        <v>Error?</v>
      </c>
      <c r="E7795" s="4" t="s">
        <v>1827</v>
      </c>
    </row>
    <row r="7796" spans="1:5" x14ac:dyDescent="0.2">
      <c r="A7796">
        <v>7735</v>
      </c>
      <c r="B7796" s="1714">
        <f>'Acct Summary 7-8'!J15</f>
        <v>0</v>
      </c>
      <c r="D7796" s="2" t="str">
        <f t="shared" si="127"/>
        <v>Error?</v>
      </c>
      <c r="E7796" s="4" t="s">
        <v>1827</v>
      </c>
    </row>
    <row r="7797" spans="1:5" x14ac:dyDescent="0.2">
      <c r="A7797" s="126">
        <v>7736</v>
      </c>
      <c r="B7797" s="1714"/>
      <c r="D7797" s="2" t="str">
        <f t="shared" si="127"/>
        <v>OK</v>
      </c>
      <c r="E7797" s="4" t="s">
        <v>1980</v>
      </c>
    </row>
    <row r="7798" spans="1:5" x14ac:dyDescent="0.2">
      <c r="A7798" s="126">
        <v>7737</v>
      </c>
      <c r="B7798" s="1714"/>
      <c r="D7798" s="2" t="str">
        <f t="shared" si="127"/>
        <v>OK</v>
      </c>
      <c r="E7798" s="4" t="s">
        <v>1980</v>
      </c>
    </row>
    <row r="7799" spans="1:5" x14ac:dyDescent="0.2">
      <c r="A7799" s="126">
        <v>7738</v>
      </c>
      <c r="B7799" s="1714"/>
      <c r="D7799" s="2" t="str">
        <f t="shared" si="127"/>
        <v>OK</v>
      </c>
      <c r="E7799" s="4" t="s">
        <v>1980</v>
      </c>
    </row>
    <row r="7800" spans="1:5" x14ac:dyDescent="0.2">
      <c r="A7800">
        <v>7739</v>
      </c>
      <c r="B7800" s="1714">
        <f>'Rest Tax Levies-Tort Im 25'!K23</f>
        <v>0</v>
      </c>
      <c r="D7800" s="2" t="str">
        <f t="shared" si="127"/>
        <v>Error?</v>
      </c>
      <c r="E7800" s="4" t="s">
        <v>1967</v>
      </c>
    </row>
    <row r="7801" spans="1:5" x14ac:dyDescent="0.2">
      <c r="A7801">
        <v>7740</v>
      </c>
      <c r="B7801" s="1714">
        <f>'Revenues 9-14'!C120</f>
        <v>0</v>
      </c>
      <c r="D7801" s="2" t="str">
        <f t="shared" si="127"/>
        <v>Error?</v>
      </c>
      <c r="E7801" s="4" t="s">
        <v>1901</v>
      </c>
    </row>
    <row r="7802" spans="1:5" x14ac:dyDescent="0.2">
      <c r="A7802">
        <v>7741</v>
      </c>
      <c r="B7802" s="1714">
        <f>'Revenues 9-14'!D120</f>
        <v>0</v>
      </c>
      <c r="D7802" s="2" t="str">
        <f t="shared" si="127"/>
        <v>Error?</v>
      </c>
      <c r="E7802" s="4" t="s">
        <v>1901</v>
      </c>
    </row>
    <row r="7803" spans="1:5" x14ac:dyDescent="0.2">
      <c r="A7803">
        <v>7742</v>
      </c>
      <c r="B7803" s="1714">
        <f>'Revenues 9-14'!E120</f>
        <v>0</v>
      </c>
      <c r="D7803" s="2" t="str">
        <f t="shared" si="127"/>
        <v>Error?</v>
      </c>
      <c r="E7803" s="4" t="s">
        <v>1901</v>
      </c>
    </row>
    <row r="7804" spans="1:5" x14ac:dyDescent="0.2">
      <c r="A7804">
        <v>7743</v>
      </c>
      <c r="B7804" s="1714">
        <f>'Revenues 9-14'!F120</f>
        <v>0</v>
      </c>
      <c r="D7804" s="2" t="str">
        <f t="shared" si="127"/>
        <v>Error?</v>
      </c>
      <c r="E7804" s="4" t="s">
        <v>1901</v>
      </c>
    </row>
    <row r="7805" spans="1:5" x14ac:dyDescent="0.2">
      <c r="A7805">
        <v>7744</v>
      </c>
      <c r="B7805" s="1714">
        <f>'Revenues 9-14'!G120</f>
        <v>0</v>
      </c>
      <c r="D7805" s="2" t="str">
        <f t="shared" si="127"/>
        <v>Error?</v>
      </c>
      <c r="E7805" s="4" t="s">
        <v>1901</v>
      </c>
    </row>
    <row r="7806" spans="1:5" x14ac:dyDescent="0.2">
      <c r="A7806">
        <v>7745</v>
      </c>
      <c r="B7806" s="1714">
        <f>'Revenues 9-14'!H120</f>
        <v>0</v>
      </c>
      <c r="D7806" s="2" t="str">
        <f t="shared" si="127"/>
        <v>Error?</v>
      </c>
      <c r="E7806" s="4" t="s">
        <v>1901</v>
      </c>
    </row>
    <row r="7807" spans="1:5" x14ac:dyDescent="0.2">
      <c r="A7807">
        <v>7746</v>
      </c>
      <c r="B7807" s="1714">
        <f>'Revenues 9-14'!J120</f>
        <v>0</v>
      </c>
      <c r="D7807" s="2" t="str">
        <f t="shared" ref="D7807:D7821" si="128">IF(ISBLANK(B7807),"OK",IF(A7807-B7807=0,"OK","Error?"))</f>
        <v>Error?</v>
      </c>
      <c r="E7807" s="4" t="s">
        <v>1901</v>
      </c>
    </row>
    <row r="7808" spans="1:5" x14ac:dyDescent="0.2">
      <c r="A7808">
        <v>7747</v>
      </c>
      <c r="B7808" s="1714">
        <f>'Revenues 9-14'!K120</f>
        <v>0</v>
      </c>
      <c r="D7808" s="2" t="str">
        <f t="shared" si="128"/>
        <v>Error?</v>
      </c>
      <c r="E7808" s="4" t="s">
        <v>1901</v>
      </c>
    </row>
    <row r="7809" spans="1:5" x14ac:dyDescent="0.2">
      <c r="A7809">
        <v>7748</v>
      </c>
      <c r="B7809" s="1714">
        <f>'Revenues 9-14'!C261</f>
        <v>0</v>
      </c>
      <c r="D7809" s="2" t="str">
        <f t="shared" si="128"/>
        <v>Error?</v>
      </c>
      <c r="E7809" s="4" t="s">
        <v>1902</v>
      </c>
    </row>
    <row r="7810" spans="1:5" x14ac:dyDescent="0.2">
      <c r="A7810">
        <v>7749</v>
      </c>
      <c r="B7810" s="1714">
        <f>'Revenues 9-14'!D261</f>
        <v>0</v>
      </c>
      <c r="D7810" s="2" t="str">
        <f t="shared" si="128"/>
        <v>Error?</v>
      </c>
      <c r="E7810" s="4" t="s">
        <v>1902</v>
      </c>
    </row>
    <row r="7811" spans="1:5" x14ac:dyDescent="0.2">
      <c r="A7811">
        <v>7750</v>
      </c>
      <c r="B7811" s="1714">
        <f>'Revenues 9-14'!F261</f>
        <v>0</v>
      </c>
      <c r="D7811" s="2" t="str">
        <f t="shared" si="128"/>
        <v>Error?</v>
      </c>
      <c r="E7811" s="4" t="s">
        <v>1902</v>
      </c>
    </row>
    <row r="7812" spans="1:5" x14ac:dyDescent="0.2">
      <c r="A7812">
        <v>7751</v>
      </c>
      <c r="B7812" s="1714">
        <f>'Revenues 9-14'!G261</f>
        <v>0</v>
      </c>
      <c r="D7812" s="2" t="str">
        <f t="shared" si="128"/>
        <v>Error?</v>
      </c>
      <c r="E7812" s="4" t="s">
        <v>1902</v>
      </c>
    </row>
    <row r="7813" spans="1:5" x14ac:dyDescent="0.2">
      <c r="A7813">
        <v>7752</v>
      </c>
      <c r="B7813" s="1714">
        <f>'Revenues 9-14'!C262</f>
        <v>0</v>
      </c>
      <c r="D7813" s="2" t="str">
        <f t="shared" si="128"/>
        <v>Error?</v>
      </c>
      <c r="E7813" s="4" t="s">
        <v>1903</v>
      </c>
    </row>
    <row r="7814" spans="1:5" x14ac:dyDescent="0.2">
      <c r="A7814">
        <v>7753</v>
      </c>
      <c r="B7814" s="1714">
        <f>'Revenues 9-14'!D262</f>
        <v>0</v>
      </c>
      <c r="D7814" s="2" t="str">
        <f t="shared" si="128"/>
        <v>Error?</v>
      </c>
      <c r="E7814" s="4" t="s">
        <v>1903</v>
      </c>
    </row>
    <row r="7815" spans="1:5" x14ac:dyDescent="0.2">
      <c r="A7815">
        <v>7754</v>
      </c>
      <c r="B7815" s="1714">
        <f>'Revenues 9-14'!F262</f>
        <v>0</v>
      </c>
      <c r="D7815" s="2" t="str">
        <f t="shared" si="128"/>
        <v>Error?</v>
      </c>
      <c r="E7815" s="4" t="s">
        <v>1903</v>
      </c>
    </row>
    <row r="7816" spans="1:5" x14ac:dyDescent="0.2">
      <c r="A7816">
        <v>7755</v>
      </c>
      <c r="B7816" s="1714">
        <f>'Revenues 9-14'!G262</f>
        <v>0</v>
      </c>
      <c r="D7816" s="2" t="str">
        <f t="shared" si="128"/>
        <v>Error?</v>
      </c>
      <c r="E7816" s="4" t="s">
        <v>1903</v>
      </c>
    </row>
    <row r="7817" spans="1:5" x14ac:dyDescent="0.2">
      <c r="A7817">
        <v>7756</v>
      </c>
      <c r="B7817" s="1714">
        <f>'Short-Term Long-Term Debt 24'!C49</f>
        <v>98629691</v>
      </c>
      <c r="D7817" s="2" t="str">
        <f t="shared" si="128"/>
        <v>Error?</v>
      </c>
      <c r="E7817" s="4" t="s">
        <v>1967</v>
      </c>
    </row>
    <row r="7818" spans="1:5" x14ac:dyDescent="0.2">
      <c r="A7818">
        <v>7757</v>
      </c>
      <c r="B7818" s="1714">
        <f>'PCTC-OEPP 27-28'!F172</f>
        <v>1367386</v>
      </c>
      <c r="D7818" s="2" t="str">
        <f t="shared" si="128"/>
        <v>Error?</v>
      </c>
      <c r="E7818" s="4" t="s">
        <v>1981</v>
      </c>
    </row>
    <row r="7819" spans="1:5" x14ac:dyDescent="0.2">
      <c r="A7819">
        <v>7758</v>
      </c>
      <c r="B7819" s="1714">
        <f>'PCTC-OEPP 27-28'!F173</f>
        <v>18041</v>
      </c>
      <c r="D7819" s="2" t="str">
        <f t="shared" si="128"/>
        <v>Error?</v>
      </c>
      <c r="E7819" s="4" t="s">
        <v>1981</v>
      </c>
    </row>
    <row r="7820" spans="1:5" x14ac:dyDescent="0.2">
      <c r="A7820">
        <v>7759</v>
      </c>
      <c r="B7820" s="1714">
        <f>'ICR Computation 30'!E40</f>
        <v>-6019305.9400000004</v>
      </c>
      <c r="D7820" s="2" t="str">
        <f t="shared" si="128"/>
        <v>Error?</v>
      </c>
    </row>
    <row r="7821" spans="1:5" x14ac:dyDescent="0.2">
      <c r="A7821">
        <v>7760</v>
      </c>
      <c r="B7821" s="1714">
        <f>'ICR Computation 30'!G40</f>
        <v>-6019305.9400000004</v>
      </c>
      <c r="D7821" s="2" t="str">
        <f t="shared" si="128"/>
        <v>Error?</v>
      </c>
    </row>
    <row r="7822" spans="1:5" x14ac:dyDescent="0.2">
      <c r="A7822" s="1">
        <v>7761</v>
      </c>
      <c r="B7822" s="1714">
        <f>'PCTC-OEPP 27-28'!F14</f>
        <v>73514423</v>
      </c>
      <c r="D7822" s="4" t="s">
        <v>1998</v>
      </c>
      <c r="E7822" s="4" t="s">
        <v>1999</v>
      </c>
    </row>
    <row r="7823" spans="1:5" x14ac:dyDescent="0.2">
      <c r="A7823" s="1">
        <v>7762</v>
      </c>
      <c r="B7823" s="1714">
        <f>'PCTC-OEPP 27-28'!F30</f>
        <v>0</v>
      </c>
      <c r="D7823" s="4" t="s">
        <v>1998</v>
      </c>
      <c r="E7823" s="4" t="s">
        <v>1999</v>
      </c>
    </row>
    <row r="7824" spans="1:5" x14ac:dyDescent="0.2">
      <c r="A7824" s="1">
        <v>7763</v>
      </c>
      <c r="B7824" s="1714">
        <f>'PCTC-OEPP 27-28'!F31</f>
        <v>0</v>
      </c>
      <c r="D7824" s="4" t="s">
        <v>1998</v>
      </c>
      <c r="E7824" s="4" t="s">
        <v>1999</v>
      </c>
    </row>
    <row r="7825" spans="1:5" x14ac:dyDescent="0.2">
      <c r="A7825" s="1">
        <v>7764</v>
      </c>
      <c r="B7825" s="1714">
        <f>'PCTC-OEPP 27-28'!F32</f>
        <v>0</v>
      </c>
      <c r="D7825" s="2" t="str">
        <f t="shared" ref="D7825:D7887" si="129">IF(ISBLANK(B7825),"OK",IF(A7825-B7825=0,"OK","Error?"))</f>
        <v>Error?</v>
      </c>
      <c r="E7825" s="4" t="s">
        <v>1999</v>
      </c>
    </row>
    <row r="7826" spans="1:5" x14ac:dyDescent="0.2">
      <c r="A7826">
        <v>7765</v>
      </c>
      <c r="B7826" s="1714">
        <f>'PCTC-OEPP 27-28'!F34</f>
        <v>0</v>
      </c>
      <c r="D7826" s="2" t="str">
        <f t="shared" si="129"/>
        <v>Error?</v>
      </c>
      <c r="E7826" s="4" t="s">
        <v>1999</v>
      </c>
    </row>
    <row r="7827" spans="1:5" x14ac:dyDescent="0.2">
      <c r="A7827">
        <v>7766</v>
      </c>
      <c r="B7827" s="1714">
        <f>'PCTC-OEPP 27-28'!F35</f>
        <v>467873</v>
      </c>
      <c r="D7827" s="2" t="str">
        <f t="shared" si="129"/>
        <v>Error?</v>
      </c>
      <c r="E7827" s="4" t="s">
        <v>1999</v>
      </c>
    </row>
    <row r="7828" spans="1:5" x14ac:dyDescent="0.2">
      <c r="A7828">
        <v>7767</v>
      </c>
      <c r="B7828" s="1714">
        <f>'PCTC-OEPP 27-28'!F36</f>
        <v>0</v>
      </c>
      <c r="D7828" s="2" t="str">
        <f t="shared" si="129"/>
        <v>Error?</v>
      </c>
      <c r="E7828" s="4" t="s">
        <v>1999</v>
      </c>
    </row>
    <row r="7829" spans="1:5" x14ac:dyDescent="0.2">
      <c r="A7829">
        <v>7768</v>
      </c>
      <c r="B7829" s="1714">
        <f>'PCTC-OEPP 27-28'!F37</f>
        <v>0</v>
      </c>
      <c r="D7829" s="2" t="str">
        <f t="shared" si="129"/>
        <v>Error?</v>
      </c>
      <c r="E7829" s="4" t="s">
        <v>1999</v>
      </c>
    </row>
    <row r="7830" spans="1:5" x14ac:dyDescent="0.2">
      <c r="A7830">
        <v>7769</v>
      </c>
      <c r="B7830" s="1714">
        <f>'PCTC-OEPP 27-28'!F38</f>
        <v>41411</v>
      </c>
      <c r="D7830" s="2" t="str">
        <f t="shared" si="129"/>
        <v>Error?</v>
      </c>
      <c r="E7830" s="4" t="s">
        <v>1999</v>
      </c>
    </row>
    <row r="7831" spans="1:5" x14ac:dyDescent="0.2">
      <c r="A7831">
        <v>7770</v>
      </c>
      <c r="B7831" s="1714">
        <f>'PCTC-OEPP 27-28'!F52</f>
        <v>40736</v>
      </c>
      <c r="D7831" s="2" t="str">
        <f t="shared" si="129"/>
        <v>Error?</v>
      </c>
      <c r="E7831" s="4" t="s">
        <v>1999</v>
      </c>
    </row>
    <row r="7832" spans="1:5" x14ac:dyDescent="0.2">
      <c r="A7832">
        <v>7771</v>
      </c>
      <c r="B7832" s="1714">
        <f>'PCTC-OEPP 27-28'!F56</f>
        <v>0</v>
      </c>
      <c r="D7832" s="2" t="str">
        <f t="shared" si="129"/>
        <v>Error?</v>
      </c>
      <c r="E7832" s="4" t="s">
        <v>1999</v>
      </c>
    </row>
    <row r="7833" spans="1:5" x14ac:dyDescent="0.2">
      <c r="A7833">
        <v>7772</v>
      </c>
      <c r="B7833" s="1714">
        <f>'PCTC-OEPP 27-28'!F62</f>
        <v>0</v>
      </c>
      <c r="D7833" s="2" t="str">
        <f t="shared" si="129"/>
        <v>Error?</v>
      </c>
      <c r="E7833" s="4" t="s">
        <v>1999</v>
      </c>
    </row>
    <row r="7834" spans="1:5" x14ac:dyDescent="0.2">
      <c r="A7834">
        <v>7773</v>
      </c>
      <c r="B7834" s="1714">
        <f>'PCTC-OEPP 27-28'!F77</f>
        <v>15948085</v>
      </c>
      <c r="D7834" s="2" t="str">
        <f t="shared" si="129"/>
        <v>Error?</v>
      </c>
      <c r="E7834" s="4" t="s">
        <v>1999</v>
      </c>
    </row>
    <row r="7835" spans="1:5" x14ac:dyDescent="0.2">
      <c r="A7835">
        <v>7774</v>
      </c>
      <c r="B7835" s="1714">
        <f>'PCTC-OEPP 27-28'!F78</f>
        <v>57566338</v>
      </c>
      <c r="D7835" s="2" t="str">
        <f t="shared" si="129"/>
        <v>Error?</v>
      </c>
      <c r="E7835" s="4" t="s">
        <v>1999</v>
      </c>
    </row>
    <row r="7836" spans="1:5" x14ac:dyDescent="0.2">
      <c r="A7836" s="126">
        <v>7775</v>
      </c>
      <c r="B7836" s="1714"/>
      <c r="D7836" s="2" t="str">
        <f t="shared" si="129"/>
        <v>OK</v>
      </c>
      <c r="E7836" s="4" t="s">
        <v>2001</v>
      </c>
    </row>
    <row r="7837" spans="1:5" x14ac:dyDescent="0.2">
      <c r="A7837">
        <v>7776</v>
      </c>
      <c r="B7837" s="1714">
        <f>'PCTC-OEPP 27-28'!F80</f>
        <v>14584.464036887843</v>
      </c>
      <c r="D7837" s="2" t="str">
        <f t="shared" si="129"/>
        <v>Error?</v>
      </c>
      <c r="E7837" s="4" t="s">
        <v>1999</v>
      </c>
    </row>
    <row r="7838" spans="1:5" x14ac:dyDescent="0.2">
      <c r="A7838">
        <v>7777</v>
      </c>
      <c r="B7838" s="1714">
        <f>'PCTC-OEPP 27-28'!F96</f>
        <v>30875</v>
      </c>
      <c r="D7838" s="2" t="str">
        <f t="shared" si="129"/>
        <v>Error?</v>
      </c>
      <c r="E7838" s="4" t="s">
        <v>1999</v>
      </c>
    </row>
    <row r="7839" spans="1:5" x14ac:dyDescent="0.2">
      <c r="A7839">
        <v>7778</v>
      </c>
      <c r="B7839" s="1714">
        <f>'PCTC-OEPP 27-28'!F102</f>
        <v>65781</v>
      </c>
      <c r="D7839" s="2" t="str">
        <f t="shared" si="129"/>
        <v>Error?</v>
      </c>
      <c r="E7839" s="4" t="s">
        <v>1999</v>
      </c>
    </row>
    <row r="7840" spans="1:5" x14ac:dyDescent="0.2">
      <c r="A7840">
        <v>7779</v>
      </c>
      <c r="B7840" s="1714">
        <f>'PCTC-OEPP 27-28'!F103</f>
        <v>234988</v>
      </c>
      <c r="D7840" s="2" t="str">
        <f t="shared" si="129"/>
        <v>Error?</v>
      </c>
      <c r="E7840" s="4" t="s">
        <v>1999</v>
      </c>
    </row>
    <row r="7841" spans="1:5" x14ac:dyDescent="0.2">
      <c r="A7841">
        <v>7780</v>
      </c>
      <c r="B7841" s="1714">
        <f>'PCTC-OEPP 27-28'!F104</f>
        <v>0</v>
      </c>
      <c r="D7841" s="2" t="str">
        <f t="shared" si="129"/>
        <v>Error?</v>
      </c>
      <c r="E7841" s="4" t="s">
        <v>1999</v>
      </c>
    </row>
    <row r="7842" spans="1:5" x14ac:dyDescent="0.2">
      <c r="A7842">
        <v>7781</v>
      </c>
      <c r="B7842" s="1714">
        <f>'PCTC-OEPP 27-28'!F106</f>
        <v>695847</v>
      </c>
      <c r="D7842" s="2" t="str">
        <f t="shared" si="129"/>
        <v>Error?</v>
      </c>
      <c r="E7842" s="4" t="s">
        <v>1999</v>
      </c>
    </row>
    <row r="7843" spans="1:5" x14ac:dyDescent="0.2">
      <c r="A7843">
        <v>7782</v>
      </c>
      <c r="B7843" s="1714">
        <f>'PCTC-OEPP 27-28'!F107</f>
        <v>59538</v>
      </c>
      <c r="D7843" s="2" t="str">
        <f t="shared" si="129"/>
        <v>Error?</v>
      </c>
      <c r="E7843" s="4" t="s">
        <v>1999</v>
      </c>
    </row>
    <row r="7844" spans="1:5" x14ac:dyDescent="0.2">
      <c r="A7844">
        <v>7783</v>
      </c>
      <c r="B7844" s="1714">
        <f>'PCTC-OEPP 27-28'!F108</f>
        <v>0</v>
      </c>
      <c r="D7844" s="2" t="str">
        <f t="shared" si="129"/>
        <v>Error?</v>
      </c>
      <c r="E7844" s="4" t="s">
        <v>1999</v>
      </c>
    </row>
    <row r="7845" spans="1:5" x14ac:dyDescent="0.2">
      <c r="A7845">
        <v>7784</v>
      </c>
      <c r="B7845" s="1714">
        <f>'PCTC-OEPP 27-28'!F110</f>
        <v>0</v>
      </c>
      <c r="D7845" s="2" t="str">
        <f t="shared" si="129"/>
        <v>Error?</v>
      </c>
      <c r="E7845" s="4" t="s">
        <v>1999</v>
      </c>
    </row>
    <row r="7846" spans="1:5" x14ac:dyDescent="0.2">
      <c r="A7846">
        <v>7785</v>
      </c>
      <c r="B7846" s="1714">
        <f>'PCTC-OEPP 27-28'!F111</f>
        <v>24910</v>
      </c>
      <c r="D7846" s="2" t="str">
        <f t="shared" si="129"/>
        <v>Error?</v>
      </c>
      <c r="E7846" s="4" t="s">
        <v>1999</v>
      </c>
    </row>
    <row r="7847" spans="1:5" x14ac:dyDescent="0.2">
      <c r="A7847">
        <v>7786</v>
      </c>
      <c r="B7847" s="1714">
        <f>'PCTC-OEPP 27-28'!F112</f>
        <v>3335419</v>
      </c>
      <c r="D7847" s="2" t="str">
        <f t="shared" si="129"/>
        <v>Error?</v>
      </c>
      <c r="E7847" s="4" t="s">
        <v>1999</v>
      </c>
    </row>
    <row r="7848" spans="1:5" x14ac:dyDescent="0.2">
      <c r="A7848">
        <v>7787</v>
      </c>
      <c r="B7848" s="1714">
        <f>'PCTC-OEPP 27-28'!F114</f>
        <v>0</v>
      </c>
      <c r="D7848" s="2" t="str">
        <f t="shared" si="129"/>
        <v>Error?</v>
      </c>
      <c r="E7848" s="4" t="s">
        <v>1999</v>
      </c>
    </row>
    <row r="7849" spans="1:5" x14ac:dyDescent="0.2">
      <c r="A7849">
        <v>7788</v>
      </c>
      <c r="B7849" s="1714">
        <f>'PCTC-OEPP 27-28'!F115</f>
        <v>0</v>
      </c>
      <c r="D7849" s="2" t="str">
        <f t="shared" si="129"/>
        <v>Error?</v>
      </c>
      <c r="E7849" s="4" t="s">
        <v>1999</v>
      </c>
    </row>
    <row r="7850" spans="1:5" x14ac:dyDescent="0.2">
      <c r="A7850">
        <v>7789</v>
      </c>
      <c r="B7850" s="1714">
        <f>'PCTC-OEPP 27-28'!F116</f>
        <v>0</v>
      </c>
      <c r="D7850" s="2" t="str">
        <f t="shared" si="129"/>
        <v>Error?</v>
      </c>
      <c r="E7850" s="4" t="s">
        <v>1999</v>
      </c>
    </row>
    <row r="7851" spans="1:5" x14ac:dyDescent="0.2">
      <c r="A7851">
        <v>7790</v>
      </c>
      <c r="B7851" s="1714">
        <f>'PCTC-OEPP 27-28'!F117</f>
        <v>0</v>
      </c>
      <c r="D7851" s="2" t="str">
        <f t="shared" si="129"/>
        <v>Error?</v>
      </c>
      <c r="E7851" s="4" t="s">
        <v>1999</v>
      </c>
    </row>
    <row r="7852" spans="1:5" x14ac:dyDescent="0.2">
      <c r="A7852">
        <v>7791</v>
      </c>
      <c r="B7852" s="1714">
        <f>'PCTC-OEPP 27-28'!F118</f>
        <v>0</v>
      </c>
      <c r="D7852" s="2" t="str">
        <f t="shared" si="129"/>
        <v>Error?</v>
      </c>
      <c r="E7852" s="4" t="s">
        <v>1999</v>
      </c>
    </row>
    <row r="7853" spans="1:5" x14ac:dyDescent="0.2">
      <c r="A7853">
        <v>7792</v>
      </c>
      <c r="B7853" s="1714">
        <f>'PCTC-OEPP 27-28'!F119</f>
        <v>0</v>
      </c>
      <c r="D7853" s="2" t="str">
        <f t="shared" si="129"/>
        <v>Error?</v>
      </c>
      <c r="E7853" s="4" t="s">
        <v>1999</v>
      </c>
    </row>
    <row r="7854" spans="1:5" x14ac:dyDescent="0.2">
      <c r="A7854">
        <v>7793</v>
      </c>
      <c r="B7854" s="1714">
        <f>'PCTC-OEPP 27-28'!F120</f>
        <v>0</v>
      </c>
      <c r="D7854" s="2" t="str">
        <f t="shared" si="129"/>
        <v>Error?</v>
      </c>
      <c r="E7854" s="4" t="s">
        <v>1999</v>
      </c>
    </row>
    <row r="7855" spans="1:5" x14ac:dyDescent="0.2">
      <c r="A7855">
        <v>7794</v>
      </c>
      <c r="B7855" s="1714">
        <f>'PCTC-OEPP 27-28'!F122</f>
        <v>0</v>
      </c>
      <c r="D7855" s="2" t="str">
        <f t="shared" si="129"/>
        <v>Error?</v>
      </c>
      <c r="E7855" s="4" t="s">
        <v>1999</v>
      </c>
    </row>
    <row r="7856" spans="1:5" x14ac:dyDescent="0.2">
      <c r="A7856">
        <v>7795</v>
      </c>
      <c r="B7856" s="1714">
        <f>'PCTC-OEPP 27-28'!F124</f>
        <v>0</v>
      </c>
      <c r="D7856" s="2" t="str">
        <f t="shared" si="129"/>
        <v>Error?</v>
      </c>
      <c r="E7856" s="4" t="s">
        <v>1999</v>
      </c>
    </row>
    <row r="7857" spans="1:5" x14ac:dyDescent="0.2">
      <c r="A7857">
        <v>7796</v>
      </c>
      <c r="B7857" s="1714">
        <f>'PCTC-OEPP 27-28'!F125</f>
        <v>0</v>
      </c>
      <c r="D7857" s="2" t="str">
        <f t="shared" si="129"/>
        <v>Error?</v>
      </c>
      <c r="E7857" s="4" t="s">
        <v>1999</v>
      </c>
    </row>
    <row r="7858" spans="1:5" x14ac:dyDescent="0.2">
      <c r="A7858">
        <v>7797</v>
      </c>
      <c r="B7858" s="1714">
        <f>'PCTC-OEPP 27-28'!F126</f>
        <v>105012</v>
      </c>
      <c r="D7858" s="2" t="str">
        <f t="shared" si="129"/>
        <v>Error?</v>
      </c>
      <c r="E7858" s="4" t="s">
        <v>1999</v>
      </c>
    </row>
    <row r="7859" spans="1:5" x14ac:dyDescent="0.2">
      <c r="A7859">
        <v>7798</v>
      </c>
      <c r="B7859" s="1714">
        <f>'PCTC-OEPP 27-28'!F127</f>
        <v>184745</v>
      </c>
      <c r="D7859" s="2" t="str">
        <f t="shared" si="129"/>
        <v>Error?</v>
      </c>
      <c r="E7859" s="4" t="s">
        <v>1999</v>
      </c>
    </row>
    <row r="7860" spans="1:5" x14ac:dyDescent="0.2">
      <c r="A7860">
        <v>7799</v>
      </c>
      <c r="B7860" s="1714">
        <f>'PCTC-OEPP 27-28'!F128</f>
        <v>12692</v>
      </c>
      <c r="D7860" s="2" t="str">
        <f t="shared" si="129"/>
        <v>Error?</v>
      </c>
      <c r="E7860" s="4" t="s">
        <v>1999</v>
      </c>
    </row>
    <row r="7861" spans="1:5" x14ac:dyDescent="0.2">
      <c r="A7861">
        <v>7800</v>
      </c>
      <c r="B7861" s="1714">
        <f>'PCTC-OEPP 27-28'!F129</f>
        <v>731934</v>
      </c>
      <c r="D7861" s="2" t="str">
        <f t="shared" si="129"/>
        <v>Error?</v>
      </c>
      <c r="E7861" s="4" t="s">
        <v>1999</v>
      </c>
    </row>
    <row r="7862" spans="1:5" x14ac:dyDescent="0.2">
      <c r="A7862">
        <v>7801</v>
      </c>
      <c r="B7862" s="1714">
        <f>'PCTC-OEPP 27-28'!F130</f>
        <v>0</v>
      </c>
      <c r="D7862" s="2" t="str">
        <f t="shared" si="129"/>
        <v>Error?</v>
      </c>
      <c r="E7862" s="4" t="s">
        <v>1999</v>
      </c>
    </row>
    <row r="7863" spans="1:5" x14ac:dyDescent="0.2">
      <c r="A7863">
        <v>7802</v>
      </c>
      <c r="B7863" s="1714">
        <f>'PCTC-OEPP 27-28'!F131</f>
        <v>0</v>
      </c>
      <c r="D7863" s="2" t="str">
        <f t="shared" si="129"/>
        <v>Error?</v>
      </c>
      <c r="E7863" s="4" t="s">
        <v>1999</v>
      </c>
    </row>
    <row r="7864" spans="1:5" x14ac:dyDescent="0.2">
      <c r="A7864">
        <v>7803</v>
      </c>
      <c r="B7864" s="1714">
        <f>'PCTC-OEPP 27-28'!F132</f>
        <v>0</v>
      </c>
      <c r="D7864" s="2" t="str">
        <f t="shared" si="129"/>
        <v>Error?</v>
      </c>
      <c r="E7864" s="4" t="s">
        <v>1999</v>
      </c>
    </row>
    <row r="7865" spans="1:5" x14ac:dyDescent="0.2">
      <c r="A7865">
        <v>7804</v>
      </c>
      <c r="B7865" s="1714">
        <f>'PCTC-OEPP 27-28'!F133</f>
        <v>16685</v>
      </c>
      <c r="D7865" s="2" t="str">
        <f t="shared" si="129"/>
        <v>Error?</v>
      </c>
      <c r="E7865" s="4" t="s">
        <v>1999</v>
      </c>
    </row>
    <row r="7866" spans="1:5" x14ac:dyDescent="0.2">
      <c r="A7866">
        <v>7805</v>
      </c>
      <c r="B7866" s="1714">
        <f>'PCTC-OEPP 27-28'!F158</f>
        <v>0</v>
      </c>
      <c r="D7866" s="2" t="str">
        <f t="shared" si="129"/>
        <v>Error?</v>
      </c>
      <c r="E7866" s="4" t="s">
        <v>1999</v>
      </c>
    </row>
    <row r="7867" spans="1:5" x14ac:dyDescent="0.2">
      <c r="A7867">
        <v>7806</v>
      </c>
      <c r="B7867" s="1714">
        <f>'PCTC-OEPP 27-28'!F160</f>
        <v>0</v>
      </c>
      <c r="D7867" s="2" t="str">
        <f t="shared" si="129"/>
        <v>Error?</v>
      </c>
      <c r="E7867" s="4" t="s">
        <v>1999</v>
      </c>
    </row>
    <row r="7868" spans="1:5" x14ac:dyDescent="0.2">
      <c r="A7868">
        <v>7807</v>
      </c>
      <c r="B7868" s="1714">
        <f>'PCTC-OEPP 27-28'!F161</f>
        <v>9558</v>
      </c>
      <c r="D7868" s="2" t="str">
        <f t="shared" si="129"/>
        <v>Error?</v>
      </c>
      <c r="E7868" s="4" t="s">
        <v>1999</v>
      </c>
    </row>
    <row r="7869" spans="1:5" x14ac:dyDescent="0.2">
      <c r="A7869">
        <v>7808</v>
      </c>
      <c r="B7869" s="1714">
        <f>'PCTC-OEPP 27-28'!F162</f>
        <v>1400</v>
      </c>
      <c r="D7869" s="2" t="str">
        <f t="shared" si="129"/>
        <v>Error?</v>
      </c>
      <c r="E7869" s="4" t="s">
        <v>1999</v>
      </c>
    </row>
    <row r="7870" spans="1:5" x14ac:dyDescent="0.2">
      <c r="A7870">
        <v>7809</v>
      </c>
      <c r="B7870" s="1714">
        <f>'PCTC-OEPP 27-28'!F163</f>
        <v>0</v>
      </c>
      <c r="D7870" s="2" t="str">
        <f t="shared" si="129"/>
        <v>Error?</v>
      </c>
      <c r="E7870" s="4" t="s">
        <v>1999</v>
      </c>
    </row>
    <row r="7871" spans="1:5" x14ac:dyDescent="0.2">
      <c r="A7871">
        <v>7810</v>
      </c>
      <c r="B7871" s="1714">
        <f>'PCTC-OEPP 27-28'!F164</f>
        <v>0</v>
      </c>
      <c r="D7871" s="2" t="str">
        <f t="shared" si="129"/>
        <v>Error?</v>
      </c>
      <c r="E7871" s="4" t="s">
        <v>1999</v>
      </c>
    </row>
    <row r="7872" spans="1:5" x14ac:dyDescent="0.2">
      <c r="A7872">
        <v>7811</v>
      </c>
      <c r="B7872" s="1714">
        <f>'PCTC-OEPP 27-28'!F165</f>
        <v>75815</v>
      </c>
      <c r="D7872" s="2" t="str">
        <f t="shared" si="129"/>
        <v>Error?</v>
      </c>
      <c r="E7872" s="4" t="s">
        <v>1999</v>
      </c>
    </row>
    <row r="7873" spans="1:5" x14ac:dyDescent="0.2">
      <c r="A7873">
        <v>7812</v>
      </c>
      <c r="B7873" s="1714">
        <f>'PCTC-OEPP 27-28'!F166</f>
        <v>0</v>
      </c>
      <c r="D7873" s="2" t="str">
        <f t="shared" si="129"/>
        <v>Error?</v>
      </c>
      <c r="E7873" s="4" t="s">
        <v>1999</v>
      </c>
    </row>
    <row r="7874" spans="1:5" x14ac:dyDescent="0.2">
      <c r="A7874">
        <v>7813</v>
      </c>
      <c r="B7874" s="1714">
        <f>'PCTC-OEPP 27-28'!F169</f>
        <v>130142</v>
      </c>
      <c r="D7874" s="2" t="str">
        <f t="shared" si="129"/>
        <v>Error?</v>
      </c>
      <c r="E7874" s="4" t="s">
        <v>1999</v>
      </c>
    </row>
    <row r="7875" spans="1:5" x14ac:dyDescent="0.2">
      <c r="A7875">
        <v>7814</v>
      </c>
      <c r="B7875" s="1714">
        <f>'PCTC-OEPP 27-28'!F170</f>
        <v>149190</v>
      </c>
      <c r="D7875" s="2" t="str">
        <f t="shared" si="129"/>
        <v>Error?</v>
      </c>
      <c r="E7875" s="4" t="s">
        <v>1999</v>
      </c>
    </row>
    <row r="7876" spans="1:5" x14ac:dyDescent="0.2">
      <c r="A7876">
        <v>7815</v>
      </c>
      <c r="B7876" s="1714">
        <f>'PCTC-OEPP 27-28'!F171</f>
        <v>0</v>
      </c>
      <c r="D7876" s="2" t="str">
        <f t="shared" si="129"/>
        <v>Error?</v>
      </c>
      <c r="E7876" s="4" t="s">
        <v>1999</v>
      </c>
    </row>
    <row r="7877" spans="1:5" x14ac:dyDescent="0.2">
      <c r="A7877">
        <v>7816</v>
      </c>
      <c r="B7877" s="1714">
        <f>'PCTC-OEPP 27-28'!F175</f>
        <v>9061827</v>
      </c>
      <c r="D7877" s="2" t="str">
        <f t="shared" si="129"/>
        <v>Error?</v>
      </c>
      <c r="E7877" s="4" t="s">
        <v>1999</v>
      </c>
    </row>
    <row r="7878" spans="1:5" x14ac:dyDescent="0.2">
      <c r="A7878">
        <v>7817</v>
      </c>
      <c r="B7878" s="1714">
        <f>'PCTC-OEPP 27-28'!F176</f>
        <v>48504511</v>
      </c>
      <c r="D7878" s="2" t="str">
        <f t="shared" si="129"/>
        <v>Error?</v>
      </c>
      <c r="E7878" s="4" t="s">
        <v>1999</v>
      </c>
    </row>
    <row r="7879" spans="1:5" x14ac:dyDescent="0.2">
      <c r="A7879">
        <v>7818</v>
      </c>
      <c r="B7879" s="1714">
        <f>'PCTC-OEPP 27-28'!F178</f>
        <v>53362944.899999999</v>
      </c>
      <c r="D7879" s="2" t="str">
        <f t="shared" si="129"/>
        <v>Error?</v>
      </c>
      <c r="E7879" s="4" t="s">
        <v>1999</v>
      </c>
    </row>
    <row r="7880" spans="1:5" x14ac:dyDescent="0.2">
      <c r="A7880">
        <v>7819</v>
      </c>
      <c r="B7880" s="1714">
        <f>'PCTC-OEPP 27-28'!F180</f>
        <v>13519.53203617846</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B43" sqref="B43"/>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32" t="s">
        <v>1183</v>
      </c>
      <c r="B2" s="2532"/>
      <c r="C2" s="2532"/>
      <c r="D2" s="2532"/>
      <c r="E2" s="2532"/>
      <c r="F2" s="2532"/>
      <c r="G2" s="2532"/>
      <c r="H2" s="2532"/>
      <c r="I2" s="2532"/>
      <c r="J2" s="2532"/>
      <c r="K2" s="2532"/>
      <c r="L2" s="2532"/>
    </row>
    <row r="3" spans="1:29" ht="13.5" customHeight="1" x14ac:dyDescent="0.2">
      <c r="A3" s="2518" t="s">
        <v>1182</v>
      </c>
      <c r="B3" s="2518"/>
      <c r="C3" s="2518"/>
      <c r="D3" s="2518"/>
      <c r="E3" s="2518"/>
      <c r="F3" s="2518"/>
      <c r="G3" s="2518"/>
      <c r="H3" s="2518"/>
      <c r="I3" s="2518"/>
      <c r="J3" s="2518"/>
      <c r="K3" s="2518"/>
      <c r="L3" s="2518"/>
    </row>
    <row r="4" spans="1:29" ht="13.5" customHeight="1" x14ac:dyDescent="0.2">
      <c r="A4" s="2549" t="str">
        <f>"Year Ending June 30, "&amp;'AFR20'!E2</f>
        <v>Year Ending June 30, 2020</v>
      </c>
      <c r="B4" s="2550"/>
      <c r="C4" s="2550"/>
      <c r="D4" s="2550"/>
      <c r="E4" s="2550"/>
      <c r="F4" s="2550"/>
      <c r="G4" s="2550"/>
      <c r="H4" s="2550"/>
      <c r="I4" s="2550"/>
      <c r="J4" s="2550"/>
      <c r="K4" s="2550"/>
      <c r="L4" s="2550"/>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12" t="str">
        <f>COVER!A17</f>
        <v xml:space="preserve"> Kaneland CUSD 302</v>
      </c>
      <c r="B7" s="2513"/>
      <c r="C7" s="2513"/>
      <c r="D7" s="2551"/>
      <c r="E7" s="2552">
        <f>COVER!A13</f>
        <v>31045302026</v>
      </c>
      <c r="F7" s="2553"/>
      <c r="G7" s="2519" t="str">
        <f>COVER!T23</f>
        <v>065-037815</v>
      </c>
      <c r="H7" s="2520"/>
      <c r="I7" s="2520"/>
      <c r="J7" s="2520"/>
      <c r="K7" s="2520"/>
      <c r="L7" s="2521"/>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22"/>
      <c r="B9" s="2523"/>
      <c r="C9" s="2523"/>
      <c r="D9" s="2523"/>
      <c r="E9" s="2523"/>
      <c r="F9" s="2524"/>
      <c r="G9" s="2525" t="str">
        <f>COVER!T13</f>
        <v>Lauterbach &amp; Amen, LLP</v>
      </c>
      <c r="H9" s="2526"/>
      <c r="I9" s="2526"/>
      <c r="J9" s="2526"/>
      <c r="K9" s="2526"/>
      <c r="L9" s="2527"/>
    </row>
    <row r="10" spans="1:29" ht="13.5" customHeight="1" x14ac:dyDescent="0.2">
      <c r="A10" s="2509" t="str">
        <f>COVER!A38</f>
        <v>Dr. Todd Leden</v>
      </c>
      <c r="B10" s="2510"/>
      <c r="C10" s="2510"/>
      <c r="D10" s="2510"/>
      <c r="E10" s="2510"/>
      <c r="F10" s="2511"/>
      <c r="G10" s="2525" t="str">
        <f>COVER!T17</f>
        <v>668 N. River Road</v>
      </c>
      <c r="H10" s="2538"/>
      <c r="I10" s="2538"/>
      <c r="J10" s="2538"/>
      <c r="K10" s="2538"/>
      <c r="L10" s="2539"/>
    </row>
    <row r="11" spans="1:29" ht="13.5" customHeight="1" x14ac:dyDescent="0.2">
      <c r="A11" s="914" t="s">
        <v>1505</v>
      </c>
      <c r="B11" s="915"/>
      <c r="C11" s="916"/>
      <c r="D11" s="921"/>
      <c r="E11" s="916"/>
      <c r="F11" s="920"/>
      <c r="G11" s="2525" t="str">
        <f>COVER!T19</f>
        <v>Naperville</v>
      </c>
      <c r="H11" s="2538"/>
      <c r="I11" s="2538"/>
      <c r="J11" s="2538"/>
      <c r="K11" s="2538"/>
      <c r="L11" s="2539"/>
    </row>
    <row r="12" spans="1:29" ht="13.5" customHeight="1" x14ac:dyDescent="0.2">
      <c r="A12" s="2543" t="s">
        <v>1504</v>
      </c>
      <c r="B12" s="2544"/>
      <c r="C12" s="2544"/>
      <c r="D12" s="2544"/>
      <c r="E12" s="2544"/>
      <c r="F12" s="2545"/>
      <c r="G12" s="2540"/>
      <c r="H12" s="2541"/>
      <c r="I12" s="2541"/>
      <c r="J12" s="2541"/>
      <c r="K12" s="2541"/>
      <c r="L12" s="2542"/>
    </row>
    <row r="13" spans="1:29" ht="13.5" customHeight="1" x14ac:dyDescent="0.2">
      <c r="A13" s="2525"/>
      <c r="B13" s="2538"/>
      <c r="C13" s="2538"/>
      <c r="D13" s="2538"/>
      <c r="E13" s="2538"/>
      <c r="F13" s="2539"/>
      <c r="G13" s="2533" t="s">
        <v>1506</v>
      </c>
      <c r="H13" s="2534"/>
      <c r="I13" s="2546" t="str">
        <f>COVER!T25</f>
        <v>mberan@lauterbachamen.com</v>
      </c>
      <c r="J13" s="2547"/>
      <c r="K13" s="2547"/>
      <c r="L13" s="2548"/>
    </row>
    <row r="14" spans="1:29" ht="13.5" customHeight="1" x14ac:dyDescent="0.2">
      <c r="A14" s="2525" t="str">
        <f>COVER!A19</f>
        <v>47W326 Keslinger Road</v>
      </c>
      <c r="B14" s="2538"/>
      <c r="C14" s="2538"/>
      <c r="D14" s="2538"/>
      <c r="E14" s="2538"/>
      <c r="F14" s="2539"/>
      <c r="G14" s="925" t="s">
        <v>1177</v>
      </c>
      <c r="H14" s="923"/>
      <c r="I14" s="923"/>
      <c r="J14" s="923"/>
      <c r="K14" s="923"/>
      <c r="L14" s="924"/>
    </row>
    <row r="15" spans="1:29" ht="13.5" customHeight="1" x14ac:dyDescent="0.2">
      <c r="A15" s="2525" t="str">
        <f>COVER!A21</f>
        <v>Maple Park</v>
      </c>
      <c r="B15" s="2538"/>
      <c r="C15" s="2538"/>
      <c r="D15" s="2538"/>
      <c r="E15" s="2538"/>
      <c r="F15" s="2539"/>
      <c r="G15" s="2535" t="str">
        <f>COVER!T15</f>
        <v>Matt Beran</v>
      </c>
      <c r="H15" s="2536"/>
      <c r="I15" s="2536"/>
      <c r="J15" s="2536"/>
      <c r="K15" s="2536"/>
      <c r="L15" s="2537"/>
    </row>
    <row r="16" spans="1:29" ht="12.2" customHeight="1" x14ac:dyDescent="0.2">
      <c r="A16" s="2515">
        <f>COVER!A25</f>
        <v>60151</v>
      </c>
      <c r="B16" s="2516"/>
      <c r="C16" s="2516"/>
      <c r="D16" s="2516"/>
      <c r="E16" s="2516"/>
      <c r="F16" s="2517"/>
      <c r="G16" s="2528"/>
      <c r="H16" s="2529"/>
      <c r="I16" s="2529"/>
      <c r="J16" s="2529"/>
      <c r="K16" s="2529"/>
      <c r="L16" s="2530"/>
    </row>
    <row r="17" spans="1:13" ht="12.2" customHeight="1" x14ac:dyDescent="0.2">
      <c r="A17" s="2531"/>
      <c r="B17" s="2516"/>
      <c r="C17" s="2516"/>
      <c r="D17" s="2516"/>
      <c r="E17" s="2516"/>
      <c r="F17" s="2517"/>
      <c r="G17" s="925" t="s">
        <v>1176</v>
      </c>
      <c r="H17" s="923"/>
      <c r="I17" s="923"/>
      <c r="J17" s="923"/>
      <c r="K17" s="927" t="s">
        <v>1175</v>
      </c>
      <c r="L17" s="920"/>
      <c r="M17" s="913"/>
    </row>
    <row r="18" spans="1:13" ht="12.2" customHeight="1" x14ac:dyDescent="0.2">
      <c r="A18" s="2509"/>
      <c r="B18" s="2510"/>
      <c r="C18" s="2510"/>
      <c r="D18" s="2510"/>
      <c r="E18" s="2510"/>
      <c r="F18" s="2511"/>
      <c r="G18" s="2512">
        <f>COVER!T21</f>
        <v>6303931483</v>
      </c>
      <c r="H18" s="2513"/>
      <c r="I18" s="2513"/>
      <c r="J18" s="2513"/>
      <c r="K18" s="2512">
        <f>COVER!X21</f>
        <v>6303932516</v>
      </c>
      <c r="L18" s="2514"/>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2137</v>
      </c>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t="s">
        <v>2137</v>
      </c>
      <c r="C26" s="932" t="s">
        <v>1680</v>
      </c>
    </row>
    <row r="27" spans="1:13" s="928" customFormat="1" ht="9" customHeight="1" x14ac:dyDescent="0.2">
      <c r="B27" s="933"/>
      <c r="C27" s="932"/>
    </row>
    <row r="28" spans="1:13" s="928" customFormat="1" ht="12.2" customHeight="1" x14ac:dyDescent="0.2">
      <c r="A28" s="935"/>
      <c r="B28" s="931" t="s">
        <v>2137</v>
      </c>
      <c r="C28" s="932" t="s">
        <v>1681</v>
      </c>
    </row>
    <row r="29" spans="1:13" s="928" customFormat="1" ht="9" customHeight="1" x14ac:dyDescent="0.2">
      <c r="A29" s="935"/>
      <c r="B29" s="933"/>
      <c r="C29" s="932"/>
    </row>
    <row r="30" spans="1:13" s="928" customFormat="1" ht="12.2" customHeight="1" x14ac:dyDescent="0.2">
      <c r="B30" s="931" t="s">
        <v>2137</v>
      </c>
      <c r="C30" s="932" t="s">
        <v>1548</v>
      </c>
      <c r="D30" s="926"/>
      <c r="E30" s="926"/>
    </row>
    <row r="31" spans="1:13" s="928" customFormat="1" ht="9" customHeight="1" x14ac:dyDescent="0.2">
      <c r="B31" s="933"/>
      <c r="C31" s="932"/>
      <c r="D31" s="926"/>
      <c r="E31" s="926"/>
    </row>
    <row r="32" spans="1:13" s="928" customFormat="1" ht="12.2" customHeight="1" x14ac:dyDescent="0.2">
      <c r="B32" s="931" t="s">
        <v>2137</v>
      </c>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t="s">
        <v>2137</v>
      </c>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t="s">
        <v>2137</v>
      </c>
      <c r="C38" s="932" t="s">
        <v>1552</v>
      </c>
    </row>
    <row r="39" spans="1:8" ht="9" customHeight="1" x14ac:dyDescent="0.2">
      <c r="B39" s="933"/>
      <c r="C39" s="936"/>
    </row>
    <row r="40" spans="1:8" s="928" customFormat="1" ht="13.5" customHeight="1" x14ac:dyDescent="0.2">
      <c r="B40" s="931" t="s">
        <v>2137</v>
      </c>
      <c r="C40" s="932" t="s">
        <v>1553</v>
      </c>
    </row>
    <row r="41" spans="1:8" ht="9" customHeight="1" x14ac:dyDescent="0.2">
      <c r="A41" s="937"/>
      <c r="B41" s="933"/>
      <c r="C41" s="936"/>
    </row>
    <row r="42" spans="1:8" s="928" customFormat="1" ht="13.5" customHeight="1" x14ac:dyDescent="0.2">
      <c r="B42" s="931" t="s">
        <v>2137</v>
      </c>
      <c r="C42" s="932" t="s">
        <v>1810</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6" zoomScale="125" zoomScaleNormal="125" workbookViewId="0">
      <selection activeCell="B124" sqref="B124"/>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4" t="str">
        <f>'Single Audit Cover'!A7</f>
        <v xml:space="preserve"> Kaneland CUSD 302</v>
      </c>
      <c r="B1" s="2555"/>
      <c r="C1" s="2555"/>
      <c r="D1" s="2555"/>
    </row>
    <row r="2" spans="1:11" s="942" customFormat="1" ht="12.75" x14ac:dyDescent="0.2">
      <c r="A2" s="2556">
        <f>'Single Audit Cover'!E7</f>
        <v>31045302026</v>
      </c>
      <c r="B2" s="2557"/>
      <c r="C2" s="2557"/>
      <c r="D2" s="2557"/>
    </row>
    <row r="3" spans="1:11" s="942" customFormat="1" ht="12.75" x14ac:dyDescent="0.2">
      <c r="A3" s="2554" t="s">
        <v>1499</v>
      </c>
      <c r="B3" s="2555"/>
      <c r="C3" s="2555"/>
      <c r="D3" s="2555"/>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2137</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2137</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2137</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2137</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2137</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2137</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2137</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2137</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2137</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2137</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2137</v>
      </c>
      <c r="C42" s="959">
        <v>11</v>
      </c>
      <c r="D42" s="970" t="s">
        <v>1560</v>
      </c>
      <c r="E42" s="290"/>
    </row>
    <row r="43" spans="1:5" ht="3" customHeight="1" x14ac:dyDescent="0.2">
      <c r="A43" s="949"/>
      <c r="B43" s="966"/>
      <c r="C43" s="967"/>
      <c r="D43" s="948"/>
    </row>
    <row r="44" spans="1:5" x14ac:dyDescent="0.2">
      <c r="A44" s="949"/>
      <c r="B44" s="952" t="s">
        <v>2137</v>
      </c>
      <c r="C44" s="953">
        <f>C42+1</f>
        <v>12</v>
      </c>
      <c r="D44" s="964" t="s">
        <v>1206</v>
      </c>
    </row>
    <row r="45" spans="1:5" ht="10.5" customHeight="1" x14ac:dyDescent="0.2">
      <c r="A45" s="949"/>
      <c r="B45" s="965"/>
      <c r="C45" s="953"/>
      <c r="D45" s="964" t="s">
        <v>1970</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2137</v>
      </c>
      <c r="C48" s="953">
        <f>C44+1</f>
        <v>13</v>
      </c>
      <c r="D48" s="964" t="s">
        <v>1561</v>
      </c>
    </row>
    <row r="49" spans="1:4" ht="3" customHeight="1" x14ac:dyDescent="0.2">
      <c r="A49" s="949"/>
      <c r="B49" s="956"/>
      <c r="C49" s="953"/>
      <c r="D49" s="964"/>
    </row>
    <row r="50" spans="1:4" x14ac:dyDescent="0.2">
      <c r="A50" s="949"/>
      <c r="B50" s="952" t="s">
        <v>2137</v>
      </c>
      <c r="C50" s="953">
        <f>C48+1</f>
        <v>14</v>
      </c>
      <c r="D50" s="964" t="s">
        <v>1204</v>
      </c>
    </row>
    <row r="51" spans="1:4" ht="3" customHeight="1" x14ac:dyDescent="0.2">
      <c r="A51" s="949"/>
      <c r="B51" s="956"/>
      <c r="C51" s="953"/>
      <c r="D51" s="964"/>
    </row>
    <row r="52" spans="1:4" x14ac:dyDescent="0.2">
      <c r="A52" s="949"/>
      <c r="B52" s="952" t="s">
        <v>2137</v>
      </c>
      <c r="C52" s="953">
        <f>C50+1</f>
        <v>15</v>
      </c>
      <c r="D52" s="964" t="s">
        <v>1203</v>
      </c>
    </row>
    <row r="53" spans="1:4" ht="3" customHeight="1" x14ac:dyDescent="0.2">
      <c r="A53" s="949"/>
      <c r="B53" s="956"/>
      <c r="C53" s="953"/>
      <c r="D53" s="964"/>
    </row>
    <row r="54" spans="1:4" x14ac:dyDescent="0.2">
      <c r="A54" s="949"/>
      <c r="B54" s="952" t="s">
        <v>2137</v>
      </c>
      <c r="C54" s="953">
        <f>C52+1</f>
        <v>16</v>
      </c>
      <c r="D54" s="964" t="s">
        <v>1202</v>
      </c>
    </row>
    <row r="55" spans="1:4" ht="3" customHeight="1" x14ac:dyDescent="0.2">
      <c r="A55" s="949"/>
      <c r="B55" s="956"/>
      <c r="C55" s="953"/>
      <c r="D55" s="964"/>
    </row>
    <row r="56" spans="1:4" x14ac:dyDescent="0.2">
      <c r="A56" s="949"/>
      <c r="B56" s="952" t="s">
        <v>2137</v>
      </c>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t="s">
        <v>2137</v>
      </c>
      <c r="C72" s="953">
        <f>C56+1</f>
        <v>18</v>
      </c>
      <c r="D72" s="974" t="s">
        <v>1695</v>
      </c>
    </row>
    <row r="73" spans="1:4" ht="3" customHeight="1" x14ac:dyDescent="0.2">
      <c r="A73" s="949"/>
      <c r="B73" s="956"/>
      <c r="C73" s="953"/>
      <c r="D73" s="974"/>
    </row>
    <row r="74" spans="1:4" x14ac:dyDescent="0.2">
      <c r="A74" s="949"/>
      <c r="B74" s="952" t="s">
        <v>2137</v>
      </c>
      <c r="C74" s="953">
        <f>C72+1</f>
        <v>19</v>
      </c>
      <c r="D74" s="964" t="s">
        <v>1197</v>
      </c>
    </row>
    <row r="75" spans="1:4" ht="3" customHeight="1" x14ac:dyDescent="0.2">
      <c r="A75" s="949"/>
      <c r="B75" s="956"/>
      <c r="C75" s="953"/>
      <c r="D75" s="964"/>
    </row>
    <row r="76" spans="1:4" x14ac:dyDescent="0.2">
      <c r="A76" s="949"/>
      <c r="B76" s="952" t="s">
        <v>2137</v>
      </c>
      <c r="C76" s="953">
        <f>C74+1</f>
        <v>20</v>
      </c>
      <c r="D76" s="975" t="s">
        <v>1696</v>
      </c>
    </row>
    <row r="77" spans="1:4" ht="3" customHeight="1" x14ac:dyDescent="0.2">
      <c r="A77" s="949"/>
      <c r="B77" s="956"/>
      <c r="C77" s="953"/>
      <c r="D77" s="975"/>
    </row>
    <row r="78" spans="1:4" x14ac:dyDescent="0.2">
      <c r="A78" s="949"/>
      <c r="B78" s="952" t="s">
        <v>2137</v>
      </c>
      <c r="C78" s="953">
        <f>C76+1</f>
        <v>21</v>
      </c>
      <c r="D78" s="948" t="s">
        <v>1697</v>
      </c>
    </row>
    <row r="79" spans="1:4" ht="3" customHeight="1" x14ac:dyDescent="0.2">
      <c r="A79" s="949"/>
      <c r="B79" s="956"/>
      <c r="C79" s="953"/>
      <c r="D79" s="948"/>
    </row>
    <row r="80" spans="1:4" x14ac:dyDescent="0.2">
      <c r="A80" s="949"/>
      <c r="B80" s="952" t="s">
        <v>2137</v>
      </c>
      <c r="C80" s="953">
        <f>C78+1</f>
        <v>22</v>
      </c>
      <c r="D80" s="976" t="s">
        <v>1698</v>
      </c>
    </row>
    <row r="81" spans="1:4" ht="3" customHeight="1" x14ac:dyDescent="0.2">
      <c r="A81" s="949"/>
      <c r="B81" s="956"/>
      <c r="C81" s="953"/>
      <c r="D81" s="976"/>
    </row>
    <row r="82" spans="1:4" x14ac:dyDescent="0.2">
      <c r="A82" s="949"/>
      <c r="B82" s="952" t="s">
        <v>2137</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2137</v>
      </c>
      <c r="C85" s="953">
        <f>C82+1</f>
        <v>24</v>
      </c>
      <c r="D85" s="964" t="s">
        <v>1195</v>
      </c>
    </row>
    <row r="86" spans="1:4" ht="3" customHeight="1" x14ac:dyDescent="0.2">
      <c r="A86" s="949"/>
      <c r="B86" s="956"/>
      <c r="C86" s="953"/>
      <c r="D86" s="964"/>
    </row>
    <row r="87" spans="1:4" x14ac:dyDescent="0.2">
      <c r="A87" s="949"/>
      <c r="B87" s="952" t="s">
        <v>2137</v>
      </c>
      <c r="C87" s="953">
        <f>C85+1</f>
        <v>25</v>
      </c>
      <c r="D87" s="964" t="s">
        <v>1194</v>
      </c>
    </row>
    <row r="88" spans="1:4" ht="3" customHeight="1" x14ac:dyDescent="0.2">
      <c r="A88" s="949"/>
      <c r="B88" s="956"/>
      <c r="C88" s="953"/>
      <c r="D88" s="964"/>
    </row>
    <row r="89" spans="1:4" x14ac:dyDescent="0.2">
      <c r="A89" s="949"/>
      <c r="B89" s="952" t="s">
        <v>2137</v>
      </c>
      <c r="C89" s="953">
        <f>C87+1</f>
        <v>26</v>
      </c>
      <c r="D89" s="964" t="s">
        <v>1193</v>
      </c>
    </row>
    <row r="90" spans="1:4" ht="3" customHeight="1" x14ac:dyDescent="0.2">
      <c r="A90" s="949"/>
      <c r="B90" s="956"/>
      <c r="C90" s="953"/>
      <c r="D90" s="964"/>
    </row>
    <row r="91" spans="1:4" x14ac:dyDescent="0.2">
      <c r="A91" s="949"/>
      <c r="B91" s="952" t="s">
        <v>2041</v>
      </c>
      <c r="C91" s="953">
        <f>C89+1</f>
        <v>27</v>
      </c>
      <c r="D91" s="964" t="s">
        <v>1700</v>
      </c>
    </row>
    <row r="92" spans="1:4" x14ac:dyDescent="0.2">
      <c r="A92" s="949"/>
      <c r="B92" s="977"/>
      <c r="C92" s="971" t="s">
        <v>2041</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2137</v>
      </c>
      <c r="C96" s="953">
        <f>C91+1</f>
        <v>28</v>
      </c>
      <c r="D96" s="964" t="s">
        <v>1701</v>
      </c>
    </row>
    <row r="97" spans="1:4" ht="3" customHeight="1" x14ac:dyDescent="0.2">
      <c r="A97" s="949"/>
      <c r="B97" s="956"/>
      <c r="C97" s="953"/>
      <c r="D97" s="964"/>
    </row>
    <row r="98" spans="1:4" x14ac:dyDescent="0.2">
      <c r="A98" s="949"/>
      <c r="B98" s="952" t="s">
        <v>2137</v>
      </c>
      <c r="C98" s="953">
        <f>C96+1</f>
        <v>29</v>
      </c>
      <c r="D98" s="978" t="s">
        <v>1702</v>
      </c>
    </row>
    <row r="99" spans="1:4" ht="3" customHeight="1" x14ac:dyDescent="0.2">
      <c r="A99" s="949"/>
      <c r="B99" s="956"/>
      <c r="C99" s="953"/>
      <c r="D99" s="978"/>
    </row>
    <row r="100" spans="1:4" x14ac:dyDescent="0.2">
      <c r="A100" s="949"/>
      <c r="B100" s="952" t="s">
        <v>2137</v>
      </c>
      <c r="C100" s="953">
        <f>C98+1</f>
        <v>30</v>
      </c>
      <c r="D100" s="964" t="s">
        <v>1703</v>
      </c>
    </row>
    <row r="101" spans="1:4" ht="3" customHeight="1" x14ac:dyDescent="0.2">
      <c r="A101" s="949"/>
      <c r="B101" s="956"/>
      <c r="C101" s="953"/>
      <c r="D101" s="979"/>
    </row>
    <row r="102" spans="1:4" x14ac:dyDescent="0.2">
      <c r="A102" s="949"/>
      <c r="B102" s="952" t="s">
        <v>2137</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2041</v>
      </c>
      <c r="C106" s="953">
        <f>C102+1</f>
        <v>32</v>
      </c>
      <c r="D106" s="948" t="s">
        <v>1566</v>
      </c>
    </row>
    <row r="107" spans="1:4" ht="3" customHeight="1" x14ac:dyDescent="0.2">
      <c r="A107" s="949"/>
      <c r="B107" s="956"/>
      <c r="C107" s="953"/>
      <c r="D107" s="948"/>
    </row>
    <row r="108" spans="1:4" x14ac:dyDescent="0.2">
      <c r="A108" s="949"/>
      <c r="B108" s="952" t="s">
        <v>2041</v>
      </c>
      <c r="C108" s="953">
        <v>33</v>
      </c>
      <c r="D108" s="948" t="s">
        <v>1704</v>
      </c>
    </row>
    <row r="109" spans="1:4" ht="3" customHeight="1" x14ac:dyDescent="0.2">
      <c r="A109" s="949"/>
      <c r="B109" s="956"/>
      <c r="C109" s="953"/>
      <c r="D109" s="948"/>
    </row>
    <row r="110" spans="1:4" x14ac:dyDescent="0.2">
      <c r="A110" s="949"/>
      <c r="B110" s="952" t="s">
        <v>2041</v>
      </c>
      <c r="C110" s="953">
        <f>C108+1</f>
        <v>34</v>
      </c>
      <c r="D110" s="948" t="s">
        <v>1190</v>
      </c>
    </row>
    <row r="111" spans="1:4" ht="3" customHeight="1" x14ac:dyDescent="0.2">
      <c r="A111" s="949"/>
      <c r="B111" s="956"/>
      <c r="C111" s="953"/>
      <c r="D111" s="948"/>
    </row>
    <row r="112" spans="1:4" x14ac:dyDescent="0.2">
      <c r="A112" s="949"/>
      <c r="B112" s="952" t="s">
        <v>2041</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2041</v>
      </c>
      <c r="C115" s="953">
        <f>C112+1</f>
        <v>36</v>
      </c>
      <c r="D115" s="964" t="s">
        <v>1187</v>
      </c>
    </row>
    <row r="116" spans="1:4" ht="3" customHeight="1" x14ac:dyDescent="0.2">
      <c r="A116" s="949"/>
      <c r="B116" s="956"/>
      <c r="C116" s="953"/>
      <c r="D116" s="964"/>
    </row>
    <row r="117" spans="1:4" x14ac:dyDescent="0.2">
      <c r="A117" s="949"/>
      <c r="B117" s="952" t="s">
        <v>2041</v>
      </c>
      <c r="C117" s="953">
        <f>C115+1</f>
        <v>37</v>
      </c>
      <c r="D117" s="964" t="s">
        <v>1705</v>
      </c>
    </row>
    <row r="118" spans="1:4" ht="3" customHeight="1" x14ac:dyDescent="0.2">
      <c r="A118" s="949"/>
      <c r="B118" s="956"/>
      <c r="C118" s="953"/>
      <c r="D118" s="964"/>
    </row>
    <row r="119" spans="1:4" x14ac:dyDescent="0.2">
      <c r="A119" s="949"/>
      <c r="B119" s="952" t="s">
        <v>2041</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2041</v>
      </c>
      <c r="C123" s="953">
        <f>C119+1</f>
        <v>39</v>
      </c>
      <c r="D123" s="974" t="s">
        <v>1811</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 sqref="A2:F2"/>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9" t="str">
        <f>'Single Audit Cover'!A7</f>
        <v xml:space="preserve"> Kaneland CUSD 302</v>
      </c>
      <c r="B1" s="2559"/>
      <c r="C1" s="2559"/>
      <c r="D1" s="2559"/>
      <c r="E1" s="2559"/>
    </row>
    <row r="2" spans="1:5" x14ac:dyDescent="0.2">
      <c r="A2" s="2560">
        <f>'Single Audit Cover'!E7</f>
        <v>31045302026</v>
      </c>
      <c r="B2" s="2560"/>
      <c r="C2" s="2560"/>
      <c r="D2" s="2560"/>
      <c r="E2" s="2560"/>
    </row>
    <row r="3" spans="1:5" ht="4.5" customHeight="1" x14ac:dyDescent="0.2"/>
    <row r="4" spans="1:5" x14ac:dyDescent="0.2">
      <c r="A4" s="2559" t="s">
        <v>1236</v>
      </c>
      <c r="B4" s="2559"/>
      <c r="C4" s="2559"/>
      <c r="D4" s="2559"/>
      <c r="E4" s="2559"/>
    </row>
    <row r="5" spans="1:5" x14ac:dyDescent="0.2">
      <c r="A5" s="2562" t="str">
        <f>'Single Audit Cover'!A4</f>
        <v>Year Ending June 30, 2020</v>
      </c>
      <c r="B5" s="2562"/>
      <c r="C5" s="2562"/>
      <c r="D5" s="2562"/>
      <c r="E5" s="2562"/>
    </row>
    <row r="6" spans="1:5" x14ac:dyDescent="0.2">
      <c r="A6" s="2559" t="s">
        <v>1235</v>
      </c>
      <c r="B6" s="2559"/>
      <c r="C6" s="2559"/>
      <c r="D6" s="2559"/>
      <c r="E6" s="2559"/>
    </row>
    <row r="8" spans="1:5" x14ac:dyDescent="0.2">
      <c r="A8" s="987" t="s">
        <v>1234</v>
      </c>
    </row>
    <row r="10" spans="1:5" x14ac:dyDescent="0.2">
      <c r="A10" s="988" t="s">
        <v>1233</v>
      </c>
      <c r="B10" s="989" t="s">
        <v>1232</v>
      </c>
      <c r="C10" s="989"/>
      <c r="D10" s="990">
        <f>SUM('Acct Summary 7-8'!C7:K7)</f>
        <v>1432359</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2005</v>
      </c>
      <c r="B14" s="989"/>
      <c r="C14" s="989"/>
      <c r="D14" s="991">
        <f>'ICR Computation 30'!E11</f>
        <v>12560</v>
      </c>
    </row>
    <row r="15" spans="1:5" x14ac:dyDescent="0.2">
      <c r="A15" s="988"/>
      <c r="B15" s="989"/>
      <c r="C15" s="989"/>
    </row>
    <row r="16" spans="1:5" x14ac:dyDescent="0.2">
      <c r="A16" s="988" t="s">
        <v>1816</v>
      </c>
      <c r="B16" s="989"/>
      <c r="C16" s="989"/>
    </row>
    <row r="17" spans="1:4" x14ac:dyDescent="0.2">
      <c r="A17" s="988" t="s">
        <v>1965</v>
      </c>
      <c r="B17" s="989" t="s">
        <v>1227</v>
      </c>
      <c r="C17" s="989"/>
      <c r="D17" s="991">
        <f>-SUM('Revenues 9-14'!C264:D264,'Revenues 9-14'!F264:G264)</f>
        <v>-149190</v>
      </c>
    </row>
    <row r="19" spans="1:4" ht="13.5" thickBot="1" x14ac:dyDescent="0.25">
      <c r="A19" s="992" t="s">
        <v>1226</v>
      </c>
      <c r="D19" s="993">
        <f>SUM(D10:D17)</f>
        <v>1295729</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1"/>
      <c r="B24" s="2561"/>
      <c r="D24" s="995"/>
    </row>
    <row r="25" spans="1:4" x14ac:dyDescent="0.2">
      <c r="A25" s="2558"/>
      <c r="B25" s="2558"/>
      <c r="D25" s="995"/>
    </row>
    <row r="26" spans="1:4" x14ac:dyDescent="0.2">
      <c r="A26" s="2558"/>
      <c r="B26" s="2558"/>
      <c r="D26" s="995"/>
    </row>
    <row r="27" spans="1:4" x14ac:dyDescent="0.2">
      <c r="A27" s="2558"/>
      <c r="B27" s="2558"/>
      <c r="D27" s="995"/>
    </row>
    <row r="28" spans="1:4" x14ac:dyDescent="0.2">
      <c r="A28" s="2558"/>
      <c r="B28" s="2558"/>
      <c r="D28" s="995"/>
    </row>
    <row r="29" spans="1:4" x14ac:dyDescent="0.2">
      <c r="A29" s="2558"/>
      <c r="B29" s="2558"/>
      <c r="D29" s="995"/>
    </row>
    <row r="30" spans="1:4" x14ac:dyDescent="0.2">
      <c r="A30" s="2558"/>
      <c r="B30" s="2558"/>
      <c r="D30" s="995"/>
    </row>
    <row r="32" spans="1:4" x14ac:dyDescent="0.2">
      <c r="A32" s="987" t="s">
        <v>1224</v>
      </c>
      <c r="D32" s="990">
        <f>SUM(D19:D30)</f>
        <v>1295729</v>
      </c>
    </row>
    <row r="33" spans="1:4" x14ac:dyDescent="0.2">
      <c r="D33" s="996"/>
    </row>
    <row r="34" spans="1:4" x14ac:dyDescent="0.2">
      <c r="A34" s="295" t="s">
        <v>1223</v>
      </c>
    </row>
    <row r="35" spans="1:4" x14ac:dyDescent="0.2">
      <c r="A35" s="295" t="s">
        <v>1222</v>
      </c>
      <c r="B35" s="985" t="s">
        <v>1221</v>
      </c>
      <c r="D35" s="997">
        <f>' SEFA'!F55</f>
        <v>1295729</v>
      </c>
    </row>
    <row r="37" spans="1:4" x14ac:dyDescent="0.2">
      <c r="A37" s="987" t="s">
        <v>1220</v>
      </c>
    </row>
    <row r="39" spans="1:4" ht="13.35" customHeight="1" x14ac:dyDescent="0.2">
      <c r="A39" s="994" t="s">
        <v>1219</v>
      </c>
    </row>
    <row r="40" spans="1:4" x14ac:dyDescent="0.2">
      <c r="A40" s="2558"/>
      <c r="B40" s="2558"/>
      <c r="D40" s="995"/>
    </row>
    <row r="41" spans="1:4" x14ac:dyDescent="0.2">
      <c r="A41" s="2558"/>
      <c r="B41" s="2558"/>
      <c r="D41" s="998"/>
    </row>
    <row r="42" spans="1:4" x14ac:dyDescent="0.2">
      <c r="A42" s="2558"/>
      <c r="B42" s="2558"/>
      <c r="D42" s="998"/>
    </row>
    <row r="43" spans="1:4" x14ac:dyDescent="0.2">
      <c r="A43" s="2558"/>
      <c r="B43" s="2558"/>
      <c r="D43" s="998"/>
    </row>
    <row r="44" spans="1:4" x14ac:dyDescent="0.2">
      <c r="A44" s="2558"/>
      <c r="B44" s="2558"/>
      <c r="D44" s="998"/>
    </row>
    <row r="45" spans="1:4" x14ac:dyDescent="0.2">
      <c r="A45" s="2558"/>
      <c r="B45" s="2558"/>
      <c r="D45" s="998"/>
    </row>
    <row r="47" spans="1:4" x14ac:dyDescent="0.2">
      <c r="B47" s="999" t="s">
        <v>1218</v>
      </c>
      <c r="C47" s="999"/>
      <c r="D47" s="1000">
        <f>SUM(D35:D45)</f>
        <v>1295729</v>
      </c>
    </row>
    <row r="49" spans="2:4" x14ac:dyDescent="0.2">
      <c r="B49" s="999" t="s">
        <v>1217</v>
      </c>
      <c r="C49" s="999"/>
      <c r="D49" s="100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92A-BED4-4158-B089-4DCB52F35420}">
  <sheetPr>
    <tabColor rgb="FF92D050"/>
  </sheetPr>
  <dimension ref="B1:N180"/>
  <sheetViews>
    <sheetView showGridLines="0" zoomScale="115" zoomScaleNormal="115" workbookViewId="0">
      <selection activeCell="B30" sqref="B30"/>
    </sheetView>
  </sheetViews>
  <sheetFormatPr defaultColWidth="33.5703125" defaultRowHeight="12.75" x14ac:dyDescent="0.2"/>
  <cols>
    <col min="1" max="1" width="0.28515625" style="294" customWidth="1"/>
    <col min="2" max="2" width="32.7109375" style="294" customWidth="1"/>
    <col min="3" max="3" width="8.7109375" style="2022" customWidth="1"/>
    <col min="4" max="4" width="12.7109375" style="2023" customWidth="1"/>
    <col min="5" max="6" width="11.7109375" style="294" customWidth="1"/>
    <col min="7" max="7" width="11.7109375" style="2020" customWidth="1"/>
    <col min="8" max="8" width="13.7109375" style="2020" bestFit="1" customWidth="1"/>
    <col min="9" max="9" width="11.7109375" style="2020" customWidth="1"/>
    <col min="10" max="10" width="13.7109375" style="2020" customWidth="1"/>
    <col min="11" max="12" width="11.7109375" style="2020" customWidth="1"/>
    <col min="13" max="13" width="11.7109375" style="294" customWidth="1"/>
    <col min="14" max="14" width="2.7109375" style="294" customWidth="1"/>
    <col min="15" max="16384" width="33.5703125" style="294"/>
  </cols>
  <sheetData>
    <row r="1" spans="2:14" ht="11.85" customHeight="1" x14ac:dyDescent="0.2">
      <c r="B1" s="2563" t="str">
        <f>'Single Audit Cover'!A7</f>
        <v xml:space="preserve"> Kaneland CUSD 302</v>
      </c>
      <c r="C1" s="2563"/>
      <c r="D1" s="2563"/>
      <c r="E1" s="2563"/>
      <c r="F1" s="2563"/>
      <c r="G1" s="2563"/>
      <c r="H1" s="2563"/>
      <c r="I1" s="2563"/>
      <c r="J1" s="2563"/>
      <c r="K1" s="2563"/>
      <c r="L1" s="2563"/>
      <c r="M1" s="2563"/>
    </row>
    <row r="2" spans="2:14" ht="15" x14ac:dyDescent="0.2">
      <c r="B2" s="2564">
        <f>'Single Audit Cover'!E7</f>
        <v>31045302026</v>
      </c>
      <c r="C2" s="2564"/>
      <c r="D2" s="2564"/>
      <c r="E2" s="2564"/>
      <c r="F2" s="2564"/>
      <c r="G2" s="2564"/>
      <c r="H2" s="2564"/>
      <c r="I2" s="2564"/>
      <c r="J2" s="2564"/>
      <c r="K2" s="2564"/>
      <c r="L2" s="2564"/>
      <c r="M2" s="2564"/>
      <c r="N2" s="1953"/>
    </row>
    <row r="3" spans="2:14" ht="15" x14ac:dyDescent="0.2">
      <c r="B3" s="2565" t="s">
        <v>1210</v>
      </c>
      <c r="C3" s="2565"/>
      <c r="D3" s="2565"/>
      <c r="E3" s="2565"/>
      <c r="F3" s="2565"/>
      <c r="G3" s="2565"/>
      <c r="H3" s="2565"/>
      <c r="I3" s="2565"/>
      <c r="J3" s="2565"/>
      <c r="K3" s="2565"/>
      <c r="L3" s="2565"/>
      <c r="M3" s="2565"/>
      <c r="N3" s="1953"/>
    </row>
    <row r="4" spans="2:14" ht="15" x14ac:dyDescent="0.2">
      <c r="B4" s="2554" t="str">
        <f>'Single Audit Cover'!A4</f>
        <v>Year Ending June 30, 2020</v>
      </c>
      <c r="C4" s="2554"/>
      <c r="D4" s="2554"/>
      <c r="E4" s="2554"/>
      <c r="F4" s="2554"/>
      <c r="G4" s="2554"/>
      <c r="H4" s="2554"/>
      <c r="I4" s="2554"/>
      <c r="J4" s="2554"/>
      <c r="K4" s="2554"/>
      <c r="L4" s="2554"/>
      <c r="M4" s="2554"/>
      <c r="N4" s="1953"/>
    </row>
    <row r="6" spans="2:14" x14ac:dyDescent="0.2">
      <c r="B6" s="1954"/>
      <c r="C6" s="1955"/>
      <c r="D6" s="1956" t="s">
        <v>1256</v>
      </c>
      <c r="E6" s="1957" t="s">
        <v>524</v>
      </c>
      <c r="F6" s="1958"/>
      <c r="G6" s="1959" t="s">
        <v>1712</v>
      </c>
      <c r="H6" s="1957"/>
      <c r="I6" s="1957"/>
      <c r="J6" s="1957"/>
      <c r="K6" s="1960"/>
      <c r="L6" s="1961"/>
      <c r="M6" s="1962"/>
    </row>
    <row r="7" spans="2:14" x14ac:dyDescent="0.2">
      <c r="B7" s="1963" t="s">
        <v>1567</v>
      </c>
      <c r="C7" s="1964"/>
      <c r="D7" s="1965"/>
      <c r="E7" s="1966"/>
      <c r="F7" s="1967"/>
      <c r="G7" s="1966"/>
      <c r="H7" s="1968" t="s">
        <v>1253</v>
      </c>
      <c r="I7" s="1966"/>
      <c r="J7" s="1969" t="s">
        <v>1253</v>
      </c>
      <c r="K7" s="1970"/>
      <c r="L7" s="1971" t="s">
        <v>1251</v>
      </c>
      <c r="M7" s="1972"/>
    </row>
    <row r="8" spans="2:14" x14ac:dyDescent="0.2">
      <c r="B8" s="1973"/>
      <c r="C8" s="1964" t="s">
        <v>1255</v>
      </c>
      <c r="D8" s="1965" t="s">
        <v>1254</v>
      </c>
      <c r="E8" s="1974" t="s">
        <v>1253</v>
      </c>
      <c r="F8" s="1975" t="s">
        <v>1253</v>
      </c>
      <c r="G8" s="1976" t="s">
        <v>1253</v>
      </c>
      <c r="H8" s="1968" t="s">
        <v>2138</v>
      </c>
      <c r="I8" s="1970" t="s">
        <v>1253</v>
      </c>
      <c r="J8" s="1969" t="s">
        <v>2139</v>
      </c>
      <c r="K8" s="1970" t="s">
        <v>1252</v>
      </c>
      <c r="L8" s="1971" t="s">
        <v>1248</v>
      </c>
      <c r="M8" s="1972" t="s">
        <v>30</v>
      </c>
    </row>
    <row r="9" spans="2:14" ht="14.25" x14ac:dyDescent="0.2">
      <c r="B9" s="1977" t="s">
        <v>1250</v>
      </c>
      <c r="C9" s="1964" t="s">
        <v>1713</v>
      </c>
      <c r="D9" s="1965" t="s">
        <v>1714</v>
      </c>
      <c r="E9" s="1974" t="s">
        <v>2138</v>
      </c>
      <c r="F9" s="1975" t="s">
        <v>2139</v>
      </c>
      <c r="G9" s="1976" t="s">
        <v>2138</v>
      </c>
      <c r="H9" s="1968" t="s">
        <v>1568</v>
      </c>
      <c r="I9" s="1970" t="s">
        <v>2139</v>
      </c>
      <c r="J9" s="1969" t="s">
        <v>1568</v>
      </c>
      <c r="K9" s="1970" t="s">
        <v>1249</v>
      </c>
      <c r="L9" s="1978" t="s">
        <v>1569</v>
      </c>
      <c r="M9" s="1972"/>
    </row>
    <row r="10" spans="2:14" ht="11.85" customHeight="1" x14ac:dyDescent="0.2">
      <c r="B10" s="1977" t="s">
        <v>1247</v>
      </c>
      <c r="C10" s="1979" t="s">
        <v>1246</v>
      </c>
      <c r="D10" s="1980" t="s">
        <v>1245</v>
      </c>
      <c r="E10" s="1981" t="s">
        <v>1244</v>
      </c>
      <c r="F10" s="1982" t="s">
        <v>1243</v>
      </c>
      <c r="G10" s="1983" t="s">
        <v>1242</v>
      </c>
      <c r="H10" s="1984" t="s">
        <v>1257</v>
      </c>
      <c r="I10" s="1985" t="s">
        <v>1241</v>
      </c>
      <c r="J10" s="1986" t="s">
        <v>1257</v>
      </c>
      <c r="K10" s="1987" t="s">
        <v>1240</v>
      </c>
      <c r="L10" s="1987" t="s">
        <v>1239</v>
      </c>
      <c r="M10" s="1988" t="s">
        <v>1238</v>
      </c>
    </row>
    <row r="11" spans="2:14" ht="20.100000000000001" customHeight="1" x14ac:dyDescent="0.2">
      <c r="B11" s="1029" t="s">
        <v>2140</v>
      </c>
      <c r="C11" s="1989"/>
      <c r="D11" s="1990"/>
      <c r="E11" s="1991"/>
      <c r="F11" s="1991"/>
      <c r="G11" s="1991"/>
      <c r="H11" s="1991"/>
      <c r="I11" s="1991"/>
      <c r="J11" s="1991"/>
      <c r="K11" s="1991"/>
      <c r="L11" s="1991"/>
      <c r="M11" s="1991"/>
    </row>
    <row r="12" spans="2:14" ht="20.100000000000001" customHeight="1" x14ac:dyDescent="0.2">
      <c r="B12" s="1992" t="s">
        <v>2141</v>
      </c>
      <c r="C12" s="1989"/>
      <c r="D12" s="1990"/>
      <c r="E12" s="1991"/>
      <c r="F12" s="1991"/>
      <c r="G12" s="1991"/>
      <c r="H12" s="1991"/>
      <c r="I12" s="1991"/>
      <c r="J12" s="1991"/>
      <c r="K12" s="1991"/>
      <c r="L12" s="1991"/>
      <c r="M12" s="1991"/>
    </row>
    <row r="13" spans="2:14" ht="20.100000000000001" customHeight="1" x14ac:dyDescent="0.2">
      <c r="B13" s="1993" t="s">
        <v>2142</v>
      </c>
      <c r="C13" s="1994"/>
      <c r="D13" s="1995"/>
      <c r="E13" s="1996"/>
      <c r="F13" s="1996"/>
      <c r="G13" s="1996"/>
      <c r="H13" s="1996"/>
      <c r="I13" s="1996"/>
      <c r="J13" s="1996"/>
      <c r="K13" s="1996"/>
      <c r="L13" s="1991"/>
      <c r="M13" s="1996"/>
    </row>
    <row r="14" spans="2:14" ht="20.100000000000001" customHeight="1" x14ac:dyDescent="0.2">
      <c r="B14" s="1997" t="s">
        <v>1051</v>
      </c>
      <c r="C14" s="1994">
        <v>10.555</v>
      </c>
      <c r="D14" s="1995" t="s">
        <v>2143</v>
      </c>
      <c r="E14" s="1996">
        <v>40457</v>
      </c>
      <c r="F14" s="1996">
        <v>8945</v>
      </c>
      <c r="G14" s="1996">
        <v>40457</v>
      </c>
      <c r="H14" s="1996"/>
      <c r="I14" s="1996">
        <v>8945</v>
      </c>
      <c r="J14" s="1996"/>
      <c r="K14" s="1996"/>
      <c r="L14" s="1991">
        <f t="shared" ref="L14:L55" si="0">+G14+I14+K14</f>
        <v>49402</v>
      </c>
      <c r="M14" s="1996"/>
    </row>
    <row r="15" spans="2:14" ht="20.100000000000001" customHeight="1" x14ac:dyDescent="0.2">
      <c r="B15" s="1997" t="s">
        <v>1051</v>
      </c>
      <c r="C15" s="1994">
        <v>10.555</v>
      </c>
      <c r="D15" s="1995" t="s">
        <v>2144</v>
      </c>
      <c r="E15" s="1996"/>
      <c r="F15" s="1996">
        <f>30122+108</f>
        <v>30230</v>
      </c>
      <c r="G15" s="1996"/>
      <c r="H15" s="1996"/>
      <c r="I15" s="1996">
        <v>30122</v>
      </c>
      <c r="J15" s="1996"/>
      <c r="K15" s="1996"/>
      <c r="L15" s="1991">
        <f t="shared" si="0"/>
        <v>30122</v>
      </c>
      <c r="M15" s="1996"/>
    </row>
    <row r="16" spans="2:14" ht="20.100000000000001" customHeight="1" x14ac:dyDescent="0.2">
      <c r="B16" s="1997" t="s">
        <v>1040</v>
      </c>
      <c r="C16" s="1994">
        <v>10.555999999999999</v>
      </c>
      <c r="D16" s="1995" t="s">
        <v>2145</v>
      </c>
      <c r="E16" s="1996">
        <v>24861</v>
      </c>
      <c r="F16" s="1996">
        <v>5637</v>
      </c>
      <c r="G16" s="1996">
        <v>24861</v>
      </c>
      <c r="H16" s="1996"/>
      <c r="I16" s="1996">
        <v>5637</v>
      </c>
      <c r="J16" s="1996"/>
      <c r="K16" s="1996"/>
      <c r="L16" s="1991"/>
      <c r="M16" s="1996"/>
    </row>
    <row r="17" spans="2:13" ht="20.100000000000001" customHeight="1" x14ac:dyDescent="0.2">
      <c r="B17" s="1997" t="s">
        <v>1040</v>
      </c>
      <c r="C17" s="1994">
        <v>10.555999999999999</v>
      </c>
      <c r="D17" s="1995" t="s">
        <v>2146</v>
      </c>
      <c r="E17" s="1996"/>
      <c r="F17" s="1996">
        <v>16186</v>
      </c>
      <c r="G17" s="1996"/>
      <c r="H17" s="1996"/>
      <c r="I17" s="1996">
        <v>16186</v>
      </c>
      <c r="J17" s="1996"/>
      <c r="K17" s="1996"/>
      <c r="L17" s="1991">
        <f t="shared" si="0"/>
        <v>16186</v>
      </c>
      <c r="M17" s="1996"/>
    </row>
    <row r="18" spans="2:13" ht="20.100000000000001" customHeight="1" x14ac:dyDescent="0.2">
      <c r="B18" s="1997" t="s">
        <v>2147</v>
      </c>
      <c r="C18" s="1994">
        <v>10.555</v>
      </c>
      <c r="D18" s="1995" t="s">
        <v>2041</v>
      </c>
      <c r="E18" s="1996"/>
      <c r="F18" s="1996">
        <v>12560</v>
      </c>
      <c r="G18" s="1996"/>
      <c r="H18" s="1996"/>
      <c r="I18" s="1996">
        <v>12560</v>
      </c>
      <c r="J18" s="1996"/>
      <c r="K18" s="1996"/>
      <c r="L18" s="1991">
        <f t="shared" si="0"/>
        <v>12560</v>
      </c>
      <c r="M18" s="1996"/>
    </row>
    <row r="19" spans="2:13" ht="20.100000000000001" customHeight="1" x14ac:dyDescent="0.2">
      <c r="B19" s="1997" t="s">
        <v>1437</v>
      </c>
      <c r="C19" s="1994">
        <v>10.558999999999999</v>
      </c>
      <c r="D19" s="1995" t="s">
        <v>2148</v>
      </c>
      <c r="E19" s="1996"/>
      <c r="F19" s="1996">
        <v>44015</v>
      </c>
      <c r="G19" s="1996"/>
      <c r="H19" s="1996"/>
      <c r="I19" s="1996">
        <v>44015</v>
      </c>
      <c r="J19" s="1996"/>
      <c r="K19" s="1996"/>
      <c r="L19" s="1991">
        <f t="shared" si="0"/>
        <v>44015</v>
      </c>
      <c r="M19" s="1996"/>
    </row>
    <row r="20" spans="2:13" ht="4.9000000000000004" customHeight="1" x14ac:dyDescent="0.2">
      <c r="B20" s="1997"/>
      <c r="C20" s="1994"/>
      <c r="D20" s="1995"/>
      <c r="E20" s="1996"/>
      <c r="F20" s="1996"/>
      <c r="G20" s="1996"/>
      <c r="H20" s="1996"/>
      <c r="I20" s="1996"/>
      <c r="J20" s="1996"/>
      <c r="K20" s="1996"/>
      <c r="L20" s="1991"/>
      <c r="M20" s="1996"/>
    </row>
    <row r="21" spans="2:13" ht="20.100000000000001" customHeight="1" x14ac:dyDescent="0.2">
      <c r="B21" s="1998" t="s">
        <v>2149</v>
      </c>
      <c r="C21" s="1994"/>
      <c r="D21" s="1995"/>
      <c r="E21" s="1999">
        <f t="shared" ref="E21:K21" si="1">SUM(E14:E20)</f>
        <v>65318</v>
      </c>
      <c r="F21" s="1999">
        <f t="shared" si="1"/>
        <v>117573</v>
      </c>
      <c r="G21" s="1999">
        <f t="shared" si="1"/>
        <v>65318</v>
      </c>
      <c r="H21" s="1999">
        <f t="shared" si="1"/>
        <v>0</v>
      </c>
      <c r="I21" s="1999">
        <f t="shared" si="1"/>
        <v>117465</v>
      </c>
      <c r="J21" s="1999">
        <f t="shared" si="1"/>
        <v>0</v>
      </c>
      <c r="K21" s="1999">
        <f t="shared" si="1"/>
        <v>0</v>
      </c>
      <c r="L21" s="2000">
        <f>+G21+I21+K21</f>
        <v>182783</v>
      </c>
      <c r="M21" s="1996"/>
    </row>
    <row r="22" spans="2:13" s="2004" customFormat="1" ht="20.100000000000001" customHeight="1" x14ac:dyDescent="0.2">
      <c r="B22" s="2001" t="s">
        <v>2150</v>
      </c>
      <c r="C22" s="2002"/>
      <c r="D22" s="2003"/>
      <c r="E22" s="1999">
        <f>+E21</f>
        <v>65318</v>
      </c>
      <c r="F22" s="1999">
        <f>+F21</f>
        <v>117573</v>
      </c>
      <c r="G22" s="1999">
        <f t="shared" ref="G22:K22" si="2">+G21</f>
        <v>65318</v>
      </c>
      <c r="H22" s="1999">
        <f t="shared" si="2"/>
        <v>0</v>
      </c>
      <c r="I22" s="1999">
        <f t="shared" si="2"/>
        <v>117465</v>
      </c>
      <c r="J22" s="1999">
        <f t="shared" si="2"/>
        <v>0</v>
      </c>
      <c r="K22" s="1999">
        <f t="shared" si="2"/>
        <v>0</v>
      </c>
      <c r="L22" s="2000">
        <f t="shared" si="0"/>
        <v>182783</v>
      </c>
      <c r="M22" s="1999"/>
    </row>
    <row r="23" spans="2:13" ht="20.100000000000001" customHeight="1" x14ac:dyDescent="0.2">
      <c r="B23" s="1029"/>
      <c r="C23" s="1994"/>
      <c r="D23" s="1995"/>
      <c r="E23" s="1996"/>
      <c r="F23" s="1996"/>
      <c r="G23" s="1996"/>
      <c r="H23" s="1996"/>
      <c r="I23" s="1996"/>
      <c r="J23" s="1996"/>
      <c r="K23" s="1996"/>
      <c r="L23" s="1991"/>
      <c r="M23" s="1996"/>
    </row>
    <row r="24" spans="2:13" ht="20.100000000000001" customHeight="1" x14ac:dyDescent="0.2">
      <c r="B24" s="1029" t="s">
        <v>2151</v>
      </c>
      <c r="C24" s="1994"/>
      <c r="D24" s="1995"/>
      <c r="E24" s="1996"/>
      <c r="F24" s="1996"/>
      <c r="G24" s="1996"/>
      <c r="H24" s="1996"/>
      <c r="I24" s="1996"/>
      <c r="J24" s="1996"/>
      <c r="K24" s="1996"/>
      <c r="L24" s="1991"/>
      <c r="M24" s="1996"/>
    </row>
    <row r="25" spans="2:13" s="2008" customFormat="1" ht="20.100000000000001" customHeight="1" x14ac:dyDescent="0.2">
      <c r="B25" s="1992" t="s">
        <v>2152</v>
      </c>
      <c r="C25" s="2005"/>
      <c r="D25" s="2006"/>
      <c r="E25" s="2007"/>
      <c r="F25" s="2007"/>
      <c r="G25" s="2007"/>
      <c r="H25" s="2007"/>
      <c r="I25" s="2007"/>
      <c r="J25" s="2007"/>
      <c r="K25" s="2007"/>
      <c r="L25" s="1991"/>
      <c r="M25" s="2007"/>
    </row>
    <row r="26" spans="2:13" ht="20.100000000000001" customHeight="1" x14ac:dyDescent="0.2">
      <c r="B26" s="1993" t="s">
        <v>2142</v>
      </c>
      <c r="C26" s="1994"/>
      <c r="D26" s="1995"/>
      <c r="E26" s="1996"/>
      <c r="F26" s="1996"/>
      <c r="G26" s="1996"/>
      <c r="H26" s="1996"/>
      <c r="I26" s="1996"/>
      <c r="J26" s="1996"/>
      <c r="K26" s="1996"/>
      <c r="L26" s="1991"/>
      <c r="M26" s="1996"/>
    </row>
    <row r="27" spans="2:13" ht="20.100000000000001" customHeight="1" x14ac:dyDescent="0.2">
      <c r="B27" s="1997" t="s">
        <v>2182</v>
      </c>
      <c r="C27" s="1994">
        <v>84.027000000000001</v>
      </c>
      <c r="D27" s="1995" t="s">
        <v>2153</v>
      </c>
      <c r="E27" s="1996"/>
      <c r="F27" s="1996">
        <v>731934</v>
      </c>
      <c r="G27" s="1996"/>
      <c r="H27" s="1996"/>
      <c r="I27" s="1996">
        <v>731934</v>
      </c>
      <c r="J27" s="1996"/>
      <c r="K27" s="1996"/>
      <c r="L27" s="1991">
        <f t="shared" ref="L27:L29" si="3">+G27+I27+K27</f>
        <v>731934</v>
      </c>
      <c r="M27" s="1996"/>
    </row>
    <row r="28" spans="2:13" ht="20.100000000000001" customHeight="1" x14ac:dyDescent="0.2">
      <c r="B28" s="1997" t="s">
        <v>2183</v>
      </c>
      <c r="C28" s="1994">
        <v>84.173000000000002</v>
      </c>
      <c r="D28" s="1995" t="s">
        <v>2176</v>
      </c>
      <c r="E28" s="1996"/>
      <c r="F28" s="1996">
        <v>7449</v>
      </c>
      <c r="G28" s="1996"/>
      <c r="H28" s="1996"/>
      <c r="I28" s="1996">
        <v>0</v>
      </c>
      <c r="J28" s="1996"/>
      <c r="K28" s="1996"/>
      <c r="L28" s="1991">
        <f>+G28+I28+K28</f>
        <v>0</v>
      </c>
      <c r="M28" s="1996"/>
    </row>
    <row r="29" spans="2:13" ht="20.100000000000001" customHeight="1" x14ac:dyDescent="0.2">
      <c r="B29" s="1997" t="s">
        <v>2183</v>
      </c>
      <c r="C29" s="1994">
        <v>84.173000000000002</v>
      </c>
      <c r="D29" s="1995" t="s">
        <v>2154</v>
      </c>
      <c r="E29" s="1996"/>
      <c r="F29" s="1996">
        <v>7737</v>
      </c>
      <c r="G29" s="1996"/>
      <c r="H29" s="1996"/>
      <c r="I29" s="1996">
        <v>7737</v>
      </c>
      <c r="J29" s="1996"/>
      <c r="K29" s="1996"/>
      <c r="L29" s="1991">
        <f t="shared" si="3"/>
        <v>7737</v>
      </c>
      <c r="M29" s="1996"/>
    </row>
    <row r="30" spans="2:13" ht="4.9000000000000004" customHeight="1" x14ac:dyDescent="0.2">
      <c r="B30" s="1997"/>
      <c r="C30" s="1994"/>
      <c r="D30" s="1995"/>
      <c r="E30" s="1996"/>
      <c r="F30" s="1996"/>
      <c r="G30" s="1996"/>
      <c r="H30" s="1996"/>
      <c r="I30" s="1996"/>
      <c r="J30" s="1996"/>
      <c r="K30" s="1996"/>
      <c r="L30" s="1991"/>
      <c r="M30" s="1996"/>
    </row>
    <row r="31" spans="2:13" s="2004" customFormat="1" ht="20.100000000000001" customHeight="1" x14ac:dyDescent="0.2">
      <c r="B31" s="1998" t="s">
        <v>2155</v>
      </c>
      <c r="C31" s="2002"/>
      <c r="D31" s="2003"/>
      <c r="E31" s="1999">
        <f t="shared" ref="E31:K31" si="4">SUM(E27:E30)</f>
        <v>0</v>
      </c>
      <c r="F31" s="1999">
        <f t="shared" si="4"/>
        <v>747120</v>
      </c>
      <c r="G31" s="1999">
        <f t="shared" si="4"/>
        <v>0</v>
      </c>
      <c r="H31" s="1999">
        <f t="shared" si="4"/>
        <v>0</v>
      </c>
      <c r="I31" s="1999">
        <f t="shared" si="4"/>
        <v>739671</v>
      </c>
      <c r="J31" s="1999">
        <f t="shared" si="4"/>
        <v>0</v>
      </c>
      <c r="K31" s="1999">
        <f t="shared" si="4"/>
        <v>0</v>
      </c>
      <c r="L31" s="2000">
        <f t="shared" ref="L31:L32" si="5">+G31+I31+K31</f>
        <v>739671</v>
      </c>
      <c r="M31" s="1999"/>
    </row>
    <row r="32" spans="2:13" s="2004" customFormat="1" ht="20.100000000000001" customHeight="1" x14ac:dyDescent="0.2">
      <c r="B32" s="2001" t="s">
        <v>2156</v>
      </c>
      <c r="C32" s="2002"/>
      <c r="D32" s="2003"/>
      <c r="E32" s="1999">
        <f>+E31</f>
        <v>0</v>
      </c>
      <c r="F32" s="1999">
        <f t="shared" ref="F32:K32" si="6">+F31</f>
        <v>747120</v>
      </c>
      <c r="G32" s="1999">
        <f t="shared" si="6"/>
        <v>0</v>
      </c>
      <c r="H32" s="1999">
        <f t="shared" si="6"/>
        <v>0</v>
      </c>
      <c r="I32" s="1999">
        <f t="shared" si="6"/>
        <v>739671</v>
      </c>
      <c r="J32" s="1999">
        <f t="shared" si="6"/>
        <v>0</v>
      </c>
      <c r="K32" s="1999">
        <f t="shared" si="6"/>
        <v>0</v>
      </c>
      <c r="L32" s="1991">
        <f t="shared" si="5"/>
        <v>739671</v>
      </c>
      <c r="M32" s="1999"/>
    </row>
    <row r="33" spans="2:13" ht="20.100000000000001" customHeight="1" x14ac:dyDescent="0.2">
      <c r="B33" s="1997"/>
      <c r="C33" s="1994"/>
      <c r="D33" s="1995"/>
      <c r="E33" s="1996"/>
      <c r="F33" s="1996"/>
      <c r="G33" s="1996"/>
      <c r="H33" s="1996"/>
      <c r="I33" s="1996"/>
      <c r="J33" s="1996"/>
      <c r="K33" s="1996"/>
      <c r="L33" s="1991"/>
      <c r="M33" s="1996"/>
    </row>
    <row r="34" spans="2:13" ht="20.100000000000001" customHeight="1" x14ac:dyDescent="0.2">
      <c r="B34" s="1029" t="s">
        <v>2157</v>
      </c>
      <c r="C34" s="1994"/>
      <c r="D34" s="1995"/>
      <c r="E34" s="1996"/>
      <c r="F34" s="1996"/>
      <c r="G34" s="1996"/>
      <c r="H34" s="1996"/>
      <c r="I34" s="1996"/>
      <c r="J34" s="1996"/>
      <c r="K34" s="1996"/>
      <c r="L34" s="1991"/>
      <c r="M34" s="1996"/>
    </row>
    <row r="35" spans="2:13" ht="20.100000000000001" customHeight="1" x14ac:dyDescent="0.2">
      <c r="B35" s="1992" t="s">
        <v>2152</v>
      </c>
      <c r="C35" s="1994"/>
      <c r="D35" s="1995"/>
      <c r="E35" s="1996"/>
      <c r="F35" s="1996"/>
      <c r="G35" s="1996"/>
      <c r="H35" s="1996"/>
      <c r="I35" s="1996"/>
      <c r="J35" s="1996"/>
      <c r="K35" s="1996"/>
      <c r="L35" s="1991"/>
      <c r="M35" s="1996"/>
    </row>
    <row r="36" spans="2:13" ht="20.100000000000001" customHeight="1" x14ac:dyDescent="0.2">
      <c r="B36" s="1993" t="s">
        <v>2142</v>
      </c>
      <c r="C36" s="1994"/>
      <c r="D36" s="1995"/>
      <c r="E36" s="1996"/>
      <c r="F36" s="1996"/>
      <c r="G36" s="1996"/>
      <c r="H36" s="1996"/>
      <c r="I36" s="1996"/>
      <c r="J36" s="1996"/>
      <c r="K36" s="1996"/>
      <c r="L36" s="1991"/>
      <c r="M36" s="1996"/>
    </row>
    <row r="37" spans="2:13" ht="20.100000000000001" customHeight="1" x14ac:dyDescent="0.2">
      <c r="B37" s="1997" t="s">
        <v>912</v>
      </c>
      <c r="C37" s="1994">
        <v>84.01</v>
      </c>
      <c r="D37" s="1995" t="s">
        <v>2158</v>
      </c>
      <c r="E37" s="1996"/>
      <c r="F37" s="1996">
        <v>184744</v>
      </c>
      <c r="G37" s="1996"/>
      <c r="H37" s="1996"/>
      <c r="I37" s="1996">
        <v>184744</v>
      </c>
      <c r="J37" s="1996"/>
      <c r="K37" s="1996"/>
      <c r="L37" s="1991">
        <f t="shared" ref="L37" si="7">+G37+I37+K37</f>
        <v>184744</v>
      </c>
      <c r="M37" s="1996"/>
    </row>
    <row r="38" spans="2:13" ht="20.100000000000001" customHeight="1" x14ac:dyDescent="0.2">
      <c r="B38" s="1997" t="s">
        <v>753</v>
      </c>
      <c r="C38" s="1994">
        <v>84.367000000000004</v>
      </c>
      <c r="D38" s="1995" t="s">
        <v>2159</v>
      </c>
      <c r="E38" s="1996"/>
      <c r="F38" s="1996">
        <v>75815</v>
      </c>
      <c r="G38" s="1996"/>
      <c r="H38" s="1996"/>
      <c r="I38" s="1996">
        <v>75815</v>
      </c>
      <c r="J38" s="1996"/>
      <c r="K38" s="1996"/>
      <c r="L38" s="1991">
        <f t="shared" si="0"/>
        <v>75815</v>
      </c>
      <c r="M38" s="1996"/>
    </row>
    <row r="39" spans="2:13" ht="20.100000000000001" customHeight="1" x14ac:dyDescent="0.2">
      <c r="B39" s="1997" t="s">
        <v>2160</v>
      </c>
      <c r="C39" s="1994">
        <v>84.364999999999995</v>
      </c>
      <c r="D39" s="1995" t="s">
        <v>2161</v>
      </c>
      <c r="E39" s="1996"/>
      <c r="F39" s="1996">
        <v>1400</v>
      </c>
      <c r="G39" s="1996"/>
      <c r="H39" s="1996"/>
      <c r="I39" s="1996">
        <v>1400</v>
      </c>
      <c r="J39" s="1996"/>
      <c r="K39" s="1996"/>
      <c r="L39" s="1991">
        <f t="shared" si="0"/>
        <v>1400</v>
      </c>
      <c r="M39" s="1996"/>
    </row>
    <row r="40" spans="2:13" ht="20.100000000000001" customHeight="1" x14ac:dyDescent="0.2">
      <c r="B40" s="1997" t="s">
        <v>1442</v>
      </c>
      <c r="C40" s="1994">
        <v>84.364999999999995</v>
      </c>
      <c r="D40" s="1995" t="s">
        <v>2162</v>
      </c>
      <c r="E40" s="1996">
        <v>11784</v>
      </c>
      <c r="F40" s="1996">
        <v>749</v>
      </c>
      <c r="G40" s="1996">
        <v>11784</v>
      </c>
      <c r="H40" s="1996"/>
      <c r="I40" s="1996">
        <v>749</v>
      </c>
      <c r="J40" s="1996"/>
      <c r="K40" s="1996"/>
      <c r="L40" s="1991">
        <f t="shared" si="0"/>
        <v>12533</v>
      </c>
      <c r="M40" s="1996"/>
    </row>
    <row r="41" spans="2:13" ht="20.100000000000001" customHeight="1" x14ac:dyDescent="0.2">
      <c r="B41" s="1997" t="s">
        <v>1442</v>
      </c>
      <c r="C41" s="1994">
        <v>84.364999999999995</v>
      </c>
      <c r="D41" s="1995" t="s">
        <v>2163</v>
      </c>
      <c r="E41" s="1996"/>
      <c r="F41" s="1996">
        <v>8809</v>
      </c>
      <c r="G41" s="1996"/>
      <c r="H41" s="1996"/>
      <c r="I41" s="1996">
        <v>8809</v>
      </c>
      <c r="J41" s="1996"/>
      <c r="K41" s="1996"/>
      <c r="L41" s="1991">
        <f t="shared" si="0"/>
        <v>8809</v>
      </c>
      <c r="M41" s="1996"/>
    </row>
    <row r="42" spans="2:13" ht="21" customHeight="1" x14ac:dyDescent="0.2">
      <c r="B42" s="1997" t="s">
        <v>2164</v>
      </c>
      <c r="C42" s="1994">
        <v>84.364999999999995</v>
      </c>
      <c r="D42" s="1995" t="s">
        <v>2165</v>
      </c>
      <c r="E42" s="1996"/>
      <c r="F42" s="1996">
        <v>12692</v>
      </c>
      <c r="G42" s="1996"/>
      <c r="H42" s="1996"/>
      <c r="I42" s="1996">
        <v>12692</v>
      </c>
      <c r="J42" s="1996"/>
      <c r="K42" s="1996"/>
      <c r="L42" s="1991">
        <f t="shared" si="0"/>
        <v>12692</v>
      </c>
      <c r="M42" s="1996"/>
    </row>
    <row r="43" spans="2:13" ht="21" customHeight="1" x14ac:dyDescent="0.2">
      <c r="B43" s="1993" t="s">
        <v>2166</v>
      </c>
      <c r="C43" s="1994"/>
      <c r="D43" s="1995"/>
      <c r="E43" s="1996"/>
      <c r="F43" s="1996"/>
      <c r="G43" s="1996"/>
      <c r="H43" s="1996"/>
      <c r="I43" s="1996"/>
      <c r="J43" s="1996"/>
      <c r="K43" s="1996"/>
      <c r="L43" s="1991"/>
      <c r="M43" s="1996"/>
    </row>
    <row r="44" spans="2:13" ht="21" customHeight="1" x14ac:dyDescent="0.2">
      <c r="B44" s="1997" t="s">
        <v>2167</v>
      </c>
      <c r="C44" s="1994" t="s">
        <v>2168</v>
      </c>
      <c r="D44" s="1995" t="s">
        <v>2169</v>
      </c>
      <c r="E44" s="1996"/>
      <c r="F44" s="1996">
        <v>16685</v>
      </c>
      <c r="G44" s="1996"/>
      <c r="H44" s="1996"/>
      <c r="I44" s="1996">
        <v>16685</v>
      </c>
      <c r="J44" s="1996"/>
      <c r="K44" s="1996"/>
      <c r="L44" s="1991"/>
      <c r="M44" s="1996"/>
    </row>
    <row r="45" spans="2:13" ht="4.9000000000000004" customHeight="1" x14ac:dyDescent="0.2">
      <c r="B45" s="1997"/>
      <c r="C45" s="1994"/>
      <c r="D45" s="1995"/>
      <c r="E45" s="1996"/>
      <c r="F45" s="1996"/>
      <c r="G45" s="1996"/>
      <c r="H45" s="1996"/>
      <c r="I45" s="1996"/>
      <c r="J45" s="1996"/>
      <c r="K45" s="1996"/>
      <c r="L45" s="1991"/>
      <c r="M45" s="1996"/>
    </row>
    <row r="46" spans="2:13" s="2004" customFormat="1" ht="20.100000000000001" customHeight="1" x14ac:dyDescent="0.2">
      <c r="B46" s="1998" t="s">
        <v>2155</v>
      </c>
      <c r="C46" s="2002"/>
      <c r="D46" s="2003"/>
      <c r="E46" s="1999">
        <f t="shared" ref="E46:K46" si="8">SUM(E37:E45)</f>
        <v>11784</v>
      </c>
      <c r="F46" s="1999">
        <f t="shared" si="8"/>
        <v>300894</v>
      </c>
      <c r="G46" s="1999">
        <f t="shared" si="8"/>
        <v>11784</v>
      </c>
      <c r="H46" s="1999">
        <f t="shared" si="8"/>
        <v>0</v>
      </c>
      <c r="I46" s="1999">
        <f t="shared" si="8"/>
        <v>300894</v>
      </c>
      <c r="J46" s="1999">
        <f t="shared" si="8"/>
        <v>0</v>
      </c>
      <c r="K46" s="1999">
        <f t="shared" si="8"/>
        <v>0</v>
      </c>
      <c r="L46" s="2000">
        <f t="shared" si="0"/>
        <v>312678</v>
      </c>
      <c r="M46" s="1999"/>
    </row>
    <row r="47" spans="2:13" ht="20.100000000000001" customHeight="1" x14ac:dyDescent="0.2">
      <c r="B47" s="1029"/>
      <c r="C47" s="1994"/>
      <c r="D47" s="1995"/>
      <c r="E47" s="1996"/>
      <c r="F47" s="1996"/>
      <c r="G47" s="1996"/>
      <c r="H47" s="1996"/>
      <c r="I47" s="1996"/>
      <c r="J47" s="1996"/>
      <c r="K47" s="1996"/>
      <c r="L47" s="1991"/>
      <c r="M47" s="1996"/>
    </row>
    <row r="48" spans="2:13" ht="20.100000000000001" customHeight="1" x14ac:dyDescent="0.2">
      <c r="B48" s="1992" t="s">
        <v>2170</v>
      </c>
      <c r="C48" s="1994"/>
      <c r="D48" s="1995"/>
      <c r="E48" s="1996"/>
      <c r="F48" s="1996"/>
      <c r="G48" s="1996"/>
      <c r="H48" s="1996"/>
      <c r="I48" s="1996"/>
      <c r="J48" s="1996"/>
      <c r="K48" s="1996"/>
      <c r="L48" s="1991"/>
      <c r="M48" s="1996"/>
    </row>
    <row r="49" spans="2:14" ht="20.100000000000001" customHeight="1" x14ac:dyDescent="0.2">
      <c r="B49" s="1993" t="s">
        <v>2171</v>
      </c>
      <c r="C49" s="1994"/>
      <c r="D49" s="1995"/>
      <c r="E49" s="1996"/>
      <c r="F49" s="1996"/>
      <c r="G49" s="1996"/>
      <c r="H49" s="1996"/>
      <c r="I49" s="1996"/>
      <c r="J49" s="1996"/>
      <c r="K49" s="1996"/>
      <c r="L49" s="1991"/>
      <c r="M49" s="1996"/>
    </row>
    <row r="50" spans="2:14" ht="20.100000000000001" customHeight="1" x14ac:dyDescent="0.2">
      <c r="B50" s="1997" t="s">
        <v>2172</v>
      </c>
      <c r="C50" s="1994">
        <v>93.778000000000006</v>
      </c>
      <c r="D50" s="1995" t="s">
        <v>2041</v>
      </c>
      <c r="E50" s="1996"/>
      <c r="F50" s="1996">
        <v>130142</v>
      </c>
      <c r="G50" s="1996"/>
      <c r="H50" s="1996"/>
      <c r="I50" s="1996">
        <v>130142</v>
      </c>
      <c r="J50" s="1996"/>
      <c r="K50" s="1996"/>
      <c r="L50" s="1991">
        <f t="shared" si="0"/>
        <v>130142</v>
      </c>
      <c r="M50" s="1996"/>
    </row>
    <row r="51" spans="2:14" ht="4.9000000000000004" customHeight="1" x14ac:dyDescent="0.2">
      <c r="B51" s="1997"/>
      <c r="C51" s="1994"/>
      <c r="D51" s="1995"/>
      <c r="E51" s="1996"/>
      <c r="F51" s="1996"/>
      <c r="G51" s="1996"/>
      <c r="H51" s="1996"/>
      <c r="I51" s="1996"/>
      <c r="J51" s="1996"/>
      <c r="K51" s="1996"/>
      <c r="L51" s="1991"/>
      <c r="M51" s="1996"/>
    </row>
    <row r="52" spans="2:14" s="2004" customFormat="1" ht="20.100000000000001" customHeight="1" x14ac:dyDescent="0.2">
      <c r="B52" s="1998" t="s">
        <v>2173</v>
      </c>
      <c r="C52" s="2002"/>
      <c r="D52" s="2003"/>
      <c r="E52" s="1999">
        <f>SUM(E50:E51)</f>
        <v>0</v>
      </c>
      <c r="F52" s="1999">
        <f t="shared" ref="F52:K52" si="9">SUM(F50:F51)</f>
        <v>130142</v>
      </c>
      <c r="G52" s="1999">
        <f t="shared" si="9"/>
        <v>0</v>
      </c>
      <c r="H52" s="1999">
        <f t="shared" si="9"/>
        <v>0</v>
      </c>
      <c r="I52" s="1999">
        <f t="shared" si="9"/>
        <v>130142</v>
      </c>
      <c r="J52" s="1999">
        <f t="shared" si="9"/>
        <v>0</v>
      </c>
      <c r="K52" s="1999">
        <f t="shared" si="9"/>
        <v>0</v>
      </c>
      <c r="L52" s="1991">
        <f t="shared" si="0"/>
        <v>130142</v>
      </c>
      <c r="M52" s="1999"/>
    </row>
    <row r="53" spans="2:14" s="2004" customFormat="1" ht="20.100000000000001" customHeight="1" x14ac:dyDescent="0.2">
      <c r="B53" s="2001" t="s">
        <v>2174</v>
      </c>
      <c r="C53" s="2002"/>
      <c r="D53" s="2003"/>
      <c r="E53" s="1999">
        <f>+E46+E52</f>
        <v>11784</v>
      </c>
      <c r="F53" s="1999">
        <f t="shared" ref="F53:K53" si="10">+F46+F52</f>
        <v>431036</v>
      </c>
      <c r="G53" s="1999">
        <f t="shared" si="10"/>
        <v>11784</v>
      </c>
      <c r="H53" s="1999">
        <f t="shared" si="10"/>
        <v>0</v>
      </c>
      <c r="I53" s="1999">
        <f t="shared" si="10"/>
        <v>431036</v>
      </c>
      <c r="J53" s="1999">
        <f t="shared" si="10"/>
        <v>0</v>
      </c>
      <c r="K53" s="1999">
        <f t="shared" si="10"/>
        <v>0</v>
      </c>
      <c r="L53" s="1991">
        <f t="shared" si="0"/>
        <v>442820</v>
      </c>
      <c r="M53" s="1999"/>
    </row>
    <row r="54" spans="2:14" ht="20.100000000000001" customHeight="1" x14ac:dyDescent="0.2">
      <c r="B54" s="1029"/>
      <c r="C54" s="1994"/>
      <c r="D54" s="1995"/>
      <c r="E54" s="1996"/>
      <c r="F54" s="1996"/>
      <c r="G54" s="1996"/>
      <c r="H54" s="1996"/>
      <c r="I54" s="1996"/>
      <c r="J54" s="1996"/>
      <c r="K54" s="1996"/>
      <c r="L54" s="1991"/>
      <c r="M54" s="1996"/>
    </row>
    <row r="55" spans="2:14" s="2004" customFormat="1" ht="20.100000000000001" customHeight="1" x14ac:dyDescent="0.2">
      <c r="B55" s="2001" t="s">
        <v>2175</v>
      </c>
      <c r="C55" s="2002"/>
      <c r="D55" s="2003"/>
      <c r="E55" s="1999">
        <f t="shared" ref="E55:K55" si="11">+E53+E32+E22</f>
        <v>77102</v>
      </c>
      <c r="F55" s="1999">
        <f t="shared" si="11"/>
        <v>1295729</v>
      </c>
      <c r="G55" s="1999">
        <f t="shared" si="11"/>
        <v>77102</v>
      </c>
      <c r="H55" s="1999">
        <f t="shared" si="11"/>
        <v>0</v>
      </c>
      <c r="I55" s="1999">
        <f t="shared" si="11"/>
        <v>1288172</v>
      </c>
      <c r="J55" s="1999">
        <f t="shared" si="11"/>
        <v>0</v>
      </c>
      <c r="K55" s="1999">
        <f t="shared" si="11"/>
        <v>0</v>
      </c>
      <c r="L55" s="2000">
        <f t="shared" si="0"/>
        <v>1365274</v>
      </c>
      <c r="M55" s="1999"/>
    </row>
    <row r="56" spans="2:14" ht="12.75" customHeight="1" x14ac:dyDescent="0.2">
      <c r="B56" s="2009"/>
      <c r="C56" s="2010"/>
      <c r="D56" s="2011"/>
      <c r="E56" s="2012"/>
      <c r="F56" s="2012"/>
      <c r="G56" s="2012"/>
      <c r="H56" s="2012"/>
      <c r="I56" s="2012"/>
      <c r="J56" s="2012"/>
      <c r="K56" s="2012"/>
      <c r="L56" s="2012"/>
      <c r="M56" s="2012"/>
      <c r="N56" s="2013"/>
    </row>
    <row r="57" spans="2:14" x14ac:dyDescent="0.2">
      <c r="B57" s="949"/>
      <c r="C57" s="2014"/>
      <c r="D57" s="2015"/>
      <c r="E57" s="949"/>
      <c r="F57" s="949"/>
      <c r="G57" s="958"/>
      <c r="H57" s="958"/>
      <c r="I57" s="958"/>
      <c r="J57" s="958"/>
      <c r="K57" s="958"/>
      <c r="L57" s="958"/>
      <c r="M57" s="949"/>
      <c r="N57" s="2013"/>
    </row>
    <row r="58" spans="2:14" ht="13.5" customHeight="1" x14ac:dyDescent="0.2">
      <c r="B58" s="942" t="s">
        <v>1715</v>
      </c>
      <c r="C58" s="2014"/>
      <c r="D58" s="2015"/>
      <c r="E58" s="949"/>
      <c r="F58" s="949"/>
      <c r="G58" s="958"/>
      <c r="H58" s="958"/>
      <c r="I58" s="958"/>
      <c r="J58" s="958"/>
      <c r="K58" s="958"/>
      <c r="L58" s="958"/>
      <c r="M58" s="949"/>
      <c r="N58" s="2013"/>
    </row>
    <row r="59" spans="2:14" ht="8.25" customHeight="1" x14ac:dyDescent="0.2">
      <c r="B59" s="942"/>
      <c r="C59" s="2014"/>
      <c r="D59" s="2015"/>
      <c r="E59" s="949"/>
      <c r="F59" s="949"/>
      <c r="G59" s="958"/>
      <c r="H59" s="958"/>
      <c r="I59" s="958"/>
      <c r="J59" s="958"/>
      <c r="K59" s="958"/>
      <c r="L59" s="958"/>
      <c r="M59" s="949"/>
      <c r="N59" s="2013"/>
    </row>
    <row r="60" spans="2:14" x14ac:dyDescent="0.2">
      <c r="B60" s="2016" t="s">
        <v>1813</v>
      </c>
      <c r="C60" s="2017"/>
      <c r="D60" s="2018"/>
      <c r="E60" s="2019"/>
      <c r="F60" s="2019"/>
      <c r="G60" s="2019"/>
      <c r="H60" s="2019"/>
      <c r="I60" s="294"/>
      <c r="J60" s="294"/>
    </row>
    <row r="61" spans="2:14" x14ac:dyDescent="0.2">
      <c r="B61" s="2021"/>
      <c r="G61" s="294"/>
      <c r="H61" s="294"/>
      <c r="I61" s="294"/>
      <c r="J61" s="294"/>
    </row>
    <row r="62" spans="2:14" ht="13.5" customHeight="1" x14ac:dyDescent="0.2">
      <c r="B62" s="2021" t="s">
        <v>1237</v>
      </c>
      <c r="G62" s="294"/>
      <c r="H62" s="294"/>
      <c r="I62" s="294"/>
      <c r="J62" s="294"/>
    </row>
    <row r="63" spans="2:14" ht="13.5" customHeight="1" x14ac:dyDescent="0.2">
      <c r="B63" s="2024"/>
      <c r="C63" s="2025"/>
      <c r="D63" s="2026"/>
      <c r="E63" s="2027"/>
      <c r="F63" s="2027"/>
      <c r="G63" s="2027"/>
      <c r="H63" s="2027"/>
      <c r="I63" s="2027"/>
      <c r="J63" s="2027"/>
      <c r="K63" s="2028"/>
      <c r="L63" s="2028"/>
      <c r="M63" s="2027"/>
    </row>
    <row r="64" spans="2:14" ht="9.6" customHeight="1" x14ac:dyDescent="0.2">
      <c r="B64" s="2029"/>
      <c r="G64" s="294"/>
      <c r="H64" s="294"/>
      <c r="I64" s="294"/>
      <c r="J64" s="294"/>
    </row>
    <row r="65" spans="2:13" ht="11.25" customHeight="1" x14ac:dyDescent="0.2">
      <c r="B65" s="2030" t="s">
        <v>1716</v>
      </c>
      <c r="C65" s="2031"/>
      <c r="D65" s="2031"/>
      <c r="E65" s="2031"/>
      <c r="F65" s="2031"/>
      <c r="G65" s="2031"/>
      <c r="H65" s="2031"/>
      <c r="I65" s="2032"/>
      <c r="J65" s="2032"/>
      <c r="K65" s="2032"/>
      <c r="L65" s="2032"/>
      <c r="M65" s="2032"/>
    </row>
    <row r="66" spans="2:13" ht="11.25" customHeight="1" x14ac:dyDescent="0.2">
      <c r="B66" s="2033" t="s">
        <v>1570</v>
      </c>
      <c r="C66" s="2032"/>
      <c r="D66" s="2032"/>
      <c r="E66" s="2032"/>
      <c r="F66" s="2032"/>
      <c r="G66" s="2032"/>
      <c r="H66" s="2032"/>
      <c r="I66" s="2032"/>
      <c r="J66" s="2032"/>
      <c r="K66" s="2032"/>
      <c r="L66" s="2032"/>
      <c r="M66" s="2032"/>
    </row>
    <row r="67" spans="2:13" ht="4.1500000000000004" customHeight="1" x14ac:dyDescent="0.2">
      <c r="B67" s="2033"/>
      <c r="C67" s="2032"/>
      <c r="D67" s="2032"/>
      <c r="E67" s="2032"/>
      <c r="F67" s="2032"/>
      <c r="G67" s="2032"/>
      <c r="H67" s="2032"/>
      <c r="I67" s="2032"/>
      <c r="J67" s="2032"/>
      <c r="K67" s="2032"/>
      <c r="L67" s="2032"/>
      <c r="M67" s="2032"/>
    </row>
    <row r="68" spans="2:13" ht="11.25" customHeight="1" x14ac:dyDescent="0.2">
      <c r="B68" s="2030" t="s">
        <v>1717</v>
      </c>
      <c r="C68" s="2032"/>
      <c r="D68" s="2032"/>
      <c r="E68" s="2032"/>
      <c r="F68" s="2032"/>
      <c r="G68" s="2032"/>
      <c r="H68" s="2032"/>
      <c r="I68" s="2032"/>
      <c r="J68" s="2032"/>
      <c r="K68" s="2032"/>
      <c r="L68" s="2032"/>
      <c r="M68" s="2032"/>
    </row>
    <row r="69" spans="2:13" ht="11.25" customHeight="1" x14ac:dyDescent="0.2">
      <c r="B69" s="949" t="s">
        <v>1571</v>
      </c>
      <c r="C69" s="2014"/>
      <c r="D69" s="2015"/>
      <c r="E69" s="949"/>
      <c r="F69" s="949"/>
      <c r="G69" s="949"/>
      <c r="H69" s="949"/>
      <c r="I69" s="949"/>
      <c r="J69" s="949"/>
      <c r="K69" s="958"/>
      <c r="L69" s="958"/>
      <c r="M69" s="949"/>
    </row>
    <row r="70" spans="2:13" ht="4.1500000000000004" customHeight="1" x14ac:dyDescent="0.2">
      <c r="B70" s="949"/>
      <c r="C70" s="2014"/>
      <c r="D70" s="2015"/>
      <c r="E70" s="949"/>
      <c r="F70" s="949"/>
      <c r="G70" s="949"/>
      <c r="H70" s="949"/>
      <c r="I70" s="949"/>
      <c r="J70" s="949"/>
      <c r="K70" s="958"/>
      <c r="L70" s="958"/>
      <c r="M70" s="949"/>
    </row>
    <row r="71" spans="2:13" ht="11.25" customHeight="1" x14ac:dyDescent="0.2">
      <c r="B71" s="2034" t="s">
        <v>1718</v>
      </c>
      <c r="C71" s="2014"/>
      <c r="D71" s="2015"/>
      <c r="E71" s="949"/>
      <c r="F71" s="949"/>
      <c r="G71" s="949"/>
      <c r="H71" s="949"/>
      <c r="I71" s="949"/>
      <c r="J71" s="949"/>
      <c r="K71" s="958"/>
      <c r="L71" s="958"/>
      <c r="M71" s="949"/>
    </row>
    <row r="72" spans="2:13" ht="4.1500000000000004" customHeight="1" x14ac:dyDescent="0.2">
      <c r="B72" s="2034"/>
      <c r="C72" s="2014"/>
      <c r="D72" s="2015"/>
      <c r="E72" s="949"/>
      <c r="F72" s="949"/>
      <c r="G72" s="949"/>
      <c r="H72" s="949"/>
      <c r="I72" s="949"/>
      <c r="J72" s="949"/>
      <c r="K72" s="958"/>
      <c r="L72" s="958"/>
      <c r="M72" s="949"/>
    </row>
    <row r="73" spans="2:13" ht="11.25" customHeight="1" x14ac:dyDescent="0.2">
      <c r="B73" s="2035" t="s">
        <v>1719</v>
      </c>
      <c r="C73" s="2014"/>
      <c r="D73" s="2015"/>
      <c r="E73" s="949"/>
      <c r="F73" s="949"/>
      <c r="G73" s="949"/>
      <c r="H73" s="949"/>
      <c r="I73" s="949"/>
      <c r="J73" s="949"/>
      <c r="K73" s="958"/>
      <c r="L73" s="958"/>
      <c r="M73" s="949"/>
    </row>
    <row r="74" spans="2:13" ht="11.25" customHeight="1" x14ac:dyDescent="0.2">
      <c r="B74" s="949" t="s">
        <v>1572</v>
      </c>
      <c r="G74" s="294"/>
      <c r="H74" s="294"/>
      <c r="I74" s="294"/>
      <c r="J74" s="294"/>
    </row>
    <row r="75" spans="2:13" ht="11.1" customHeight="1" x14ac:dyDescent="0.2">
      <c r="B75" s="949"/>
      <c r="G75" s="294"/>
      <c r="H75" s="294"/>
      <c r="I75" s="294"/>
      <c r="J75" s="294"/>
    </row>
    <row r="76" spans="2:13" ht="11.1" customHeight="1" x14ac:dyDescent="0.2">
      <c r="B76" s="949"/>
      <c r="G76" s="294"/>
      <c r="H76" s="294"/>
      <c r="I76" s="294"/>
      <c r="J76" s="294"/>
    </row>
    <row r="77" spans="2:13" ht="13.5" customHeight="1" x14ac:dyDescent="0.2">
      <c r="M77" s="1868"/>
    </row>
    <row r="78" spans="2:13" ht="13.5" customHeight="1" x14ac:dyDescent="0.2">
      <c r="M78" s="1868"/>
    </row>
    <row r="79" spans="2:13" ht="13.5" customHeight="1" x14ac:dyDescent="0.2">
      <c r="M79" s="1868"/>
    </row>
    <row r="80" spans="2:13" ht="13.5" customHeight="1" x14ac:dyDescent="0.2">
      <c r="G80" s="294"/>
      <c r="H80" s="294"/>
      <c r="I80" s="294"/>
      <c r="J80" s="294"/>
    </row>
    <row r="81" spans="2:14" ht="13.5" customHeight="1" x14ac:dyDescent="0.2">
      <c r="G81" s="294"/>
      <c r="H81" s="294"/>
      <c r="I81" s="294"/>
      <c r="J81" s="294"/>
    </row>
    <row r="82" spans="2:14" s="2020" customFormat="1" ht="13.5" customHeight="1" x14ac:dyDescent="0.2">
      <c r="B82" s="294"/>
      <c r="C82" s="2022"/>
      <c r="D82" s="2023"/>
      <c r="E82" s="294"/>
      <c r="F82" s="294"/>
      <c r="G82" s="294"/>
      <c r="H82" s="294"/>
      <c r="I82" s="294"/>
      <c r="J82" s="294"/>
      <c r="M82" s="294"/>
      <c r="N82" s="294"/>
    </row>
    <row r="83" spans="2:14" s="2020" customFormat="1" ht="13.5" customHeight="1" x14ac:dyDescent="0.2">
      <c r="B83" s="294"/>
      <c r="C83" s="2022"/>
      <c r="D83" s="2023"/>
      <c r="E83" s="294"/>
      <c r="F83" s="294"/>
      <c r="G83" s="294"/>
      <c r="H83" s="294"/>
      <c r="I83" s="294"/>
      <c r="J83" s="294"/>
      <c r="M83" s="294"/>
      <c r="N83" s="294"/>
    </row>
    <row r="84" spans="2:14" s="2020" customFormat="1" ht="13.5" customHeight="1" x14ac:dyDescent="0.2">
      <c r="B84" s="294"/>
      <c r="C84" s="2022"/>
      <c r="D84" s="2023"/>
      <c r="E84" s="294"/>
      <c r="F84" s="294"/>
      <c r="G84" s="294"/>
      <c r="H84" s="294"/>
      <c r="I84" s="294"/>
      <c r="J84" s="294"/>
      <c r="M84" s="294"/>
      <c r="N84" s="294"/>
    </row>
    <row r="85" spans="2:14" s="2020" customFormat="1" ht="13.5" customHeight="1" x14ac:dyDescent="0.2">
      <c r="B85" s="294"/>
      <c r="C85" s="2022"/>
      <c r="D85" s="2023"/>
      <c r="E85" s="294"/>
      <c r="F85" s="294"/>
      <c r="G85" s="294"/>
      <c r="H85" s="294"/>
      <c r="I85" s="294"/>
      <c r="J85" s="294"/>
      <c r="M85" s="294"/>
      <c r="N85" s="294"/>
    </row>
    <row r="86" spans="2:14" s="2020" customFormat="1" ht="13.5" customHeight="1" x14ac:dyDescent="0.2">
      <c r="B86" s="294"/>
      <c r="C86" s="2022"/>
      <c r="D86" s="2023"/>
      <c r="E86" s="294"/>
      <c r="F86" s="294"/>
      <c r="G86" s="294"/>
      <c r="H86" s="294"/>
      <c r="I86" s="294"/>
      <c r="J86" s="294"/>
      <c r="M86" s="294"/>
      <c r="N86" s="294"/>
    </row>
    <row r="87" spans="2:14" s="2020" customFormat="1" ht="13.5" customHeight="1" x14ac:dyDescent="0.2">
      <c r="B87" s="294"/>
      <c r="C87" s="2022"/>
      <c r="D87" s="2023"/>
      <c r="E87" s="294"/>
      <c r="F87" s="294"/>
      <c r="M87" s="294"/>
      <c r="N87" s="294"/>
    </row>
    <row r="88" spans="2:14" s="2020" customFormat="1" ht="13.5" customHeight="1" x14ac:dyDescent="0.2">
      <c r="B88" s="294"/>
      <c r="C88" s="2022"/>
      <c r="D88" s="2023"/>
      <c r="E88" s="294"/>
      <c r="F88" s="294"/>
      <c r="M88" s="294"/>
      <c r="N88" s="294"/>
    </row>
    <row r="89" spans="2:14" s="2020" customFormat="1" ht="13.5" customHeight="1" x14ac:dyDescent="0.2">
      <c r="B89" s="294"/>
      <c r="C89" s="2022"/>
      <c r="D89" s="2023"/>
      <c r="E89" s="294"/>
      <c r="F89" s="294"/>
      <c r="M89" s="294"/>
      <c r="N89" s="294"/>
    </row>
    <row r="90" spans="2:14" s="2020" customFormat="1" ht="25.5" customHeight="1" x14ac:dyDescent="0.2">
      <c r="B90" s="294"/>
      <c r="C90" s="2022"/>
      <c r="D90" s="2023"/>
      <c r="E90" s="294"/>
      <c r="F90" s="294"/>
      <c r="M90" s="294"/>
      <c r="N90" s="294"/>
    </row>
    <row r="91" spans="2:14" s="2020" customFormat="1" ht="25.5" customHeight="1" x14ac:dyDescent="0.2">
      <c r="B91" s="294"/>
      <c r="C91" s="2022"/>
      <c r="D91" s="2023"/>
      <c r="E91" s="294"/>
      <c r="F91" s="294"/>
      <c r="M91" s="294"/>
      <c r="N91" s="294"/>
    </row>
    <row r="92" spans="2:14" s="2020" customFormat="1" ht="25.5" customHeight="1" x14ac:dyDescent="0.2">
      <c r="B92" s="294"/>
      <c r="C92" s="2022"/>
      <c r="D92" s="2023"/>
      <c r="E92" s="294"/>
      <c r="F92" s="294"/>
      <c r="M92" s="294"/>
      <c r="N92" s="294"/>
    </row>
    <row r="93" spans="2:14" s="2020" customFormat="1" ht="25.5" customHeight="1" x14ac:dyDescent="0.2">
      <c r="B93" s="294"/>
      <c r="C93" s="2022"/>
      <c r="D93" s="2023"/>
      <c r="E93" s="294"/>
      <c r="F93" s="294"/>
      <c r="M93" s="294"/>
      <c r="N93" s="294"/>
    </row>
    <row r="94" spans="2:14" s="2020" customFormat="1" ht="25.5" customHeight="1" x14ac:dyDescent="0.2">
      <c r="B94" s="294"/>
      <c r="C94" s="2022"/>
      <c r="D94" s="2023"/>
      <c r="E94" s="294"/>
      <c r="F94" s="294"/>
      <c r="M94" s="294"/>
      <c r="N94" s="294"/>
    </row>
    <row r="95" spans="2:14" s="2020" customFormat="1" ht="25.5" customHeight="1" x14ac:dyDescent="0.2">
      <c r="B95" s="294"/>
      <c r="C95" s="2022"/>
      <c r="D95" s="2023"/>
      <c r="E95" s="294"/>
      <c r="F95" s="294"/>
      <c r="M95" s="294"/>
      <c r="N95" s="294"/>
    </row>
    <row r="96" spans="2:14" s="2020" customFormat="1" ht="25.5" customHeight="1" x14ac:dyDescent="0.2">
      <c r="B96" s="294"/>
      <c r="C96" s="2022"/>
      <c r="D96" s="2023"/>
      <c r="E96" s="294"/>
      <c r="F96" s="294"/>
      <c r="M96" s="294"/>
      <c r="N96" s="294"/>
    </row>
    <row r="97" spans="2:14" s="2020" customFormat="1" ht="25.5" customHeight="1" x14ac:dyDescent="0.2">
      <c r="B97" s="294"/>
      <c r="C97" s="2022"/>
      <c r="D97" s="2023"/>
      <c r="E97" s="294"/>
      <c r="F97" s="294"/>
      <c r="M97" s="294"/>
      <c r="N97" s="294"/>
    </row>
    <row r="98" spans="2:14" ht="25.5" customHeight="1" x14ac:dyDescent="0.2"/>
    <row r="99" spans="2:14" ht="25.5" customHeight="1" x14ac:dyDescent="0.2"/>
    <row r="100" spans="2:14" ht="25.5" customHeight="1" x14ac:dyDescent="0.2"/>
    <row r="101" spans="2:14" ht="25.5" customHeight="1" x14ac:dyDescent="0.2"/>
    <row r="102" spans="2:14" ht="13.5" customHeight="1" x14ac:dyDescent="0.2"/>
    <row r="103" spans="2:14" ht="13.5" customHeight="1" x14ac:dyDescent="0.2"/>
    <row r="104" spans="2:14" ht="13.5" customHeight="1" x14ac:dyDescent="0.2"/>
    <row r="105" spans="2:14" ht="13.5" customHeight="1" x14ac:dyDescent="0.2"/>
    <row r="106" spans="2:14" ht="13.5" customHeight="1" x14ac:dyDescent="0.2"/>
    <row r="107" spans="2:14" ht="13.5" customHeight="1" x14ac:dyDescent="0.2"/>
    <row r="108" spans="2:14" ht="13.5" customHeight="1" x14ac:dyDescent="0.2"/>
    <row r="109" spans="2:14" ht="13.5" customHeight="1" x14ac:dyDescent="0.2"/>
    <row r="110" spans="2:14" ht="13.5" customHeight="1" x14ac:dyDescent="0.2"/>
    <row r="111" spans="2:14" ht="13.5" customHeight="1" x14ac:dyDescent="0.2"/>
    <row r="112" spans="2: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9000000000000004" customHeight="1" x14ac:dyDescent="0.2"/>
    <row r="140" ht="12.4"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9000000000000004" customHeight="1" x14ac:dyDescent="0.2"/>
    <row r="180"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6"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7" t="str">
        <f>'Single Audit Cover'!A7</f>
        <v xml:space="preserve"> Kaneland CUSD 302</v>
      </c>
      <c r="B1" s="2567"/>
      <c r="C1" s="2567"/>
      <c r="D1" s="2567"/>
      <c r="E1" s="2567"/>
      <c r="F1" s="2567"/>
    </row>
    <row r="2" spans="1:7" ht="13.5" customHeight="1" x14ac:dyDescent="0.2">
      <c r="A2" s="2568">
        <f>'Single Audit Cover'!E7</f>
        <v>31045302026</v>
      </c>
      <c r="B2" s="2568"/>
      <c r="C2" s="2568"/>
      <c r="D2" s="2568"/>
      <c r="E2" s="2568"/>
      <c r="F2" s="2568"/>
      <c r="G2" s="1002"/>
    </row>
    <row r="3" spans="1:7" ht="15.75" customHeight="1" x14ac:dyDescent="0.2">
      <c r="A3" s="2569" t="s">
        <v>1262</v>
      </c>
      <c r="B3" s="2569"/>
      <c r="C3" s="2569"/>
      <c r="D3" s="2569"/>
      <c r="E3" s="2569"/>
      <c r="F3" s="2569"/>
    </row>
    <row r="4" spans="1:7" ht="13.5" customHeight="1" x14ac:dyDescent="0.2">
      <c r="A4" s="2570" t="str">
        <f>'Single Audit Cover'!A4</f>
        <v>Year Ending June 30, 2020</v>
      </c>
      <c r="B4" s="2570"/>
      <c r="C4" s="2570"/>
      <c r="D4" s="2570"/>
      <c r="E4" s="2570"/>
      <c r="F4" s="2570"/>
    </row>
    <row r="5" spans="1:7" ht="8.25" customHeight="1" x14ac:dyDescent="0.2">
      <c r="C5" s="295"/>
      <c r="D5" s="295"/>
    </row>
    <row r="6" spans="1:7" ht="13.5" customHeight="1" x14ac:dyDescent="0.2">
      <c r="A6" s="1003" t="s">
        <v>1708</v>
      </c>
      <c r="C6" s="295"/>
      <c r="D6" s="295"/>
    </row>
    <row r="7" spans="1:7" ht="60.95" customHeight="1" x14ac:dyDescent="0.2">
      <c r="A7" s="2566" t="s">
        <v>2177</v>
      </c>
      <c r="B7" s="2566"/>
      <c r="C7" s="2566"/>
      <c r="D7" s="2566"/>
      <c r="E7" s="2566"/>
      <c r="F7" s="2566"/>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2137</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66" t="s">
        <v>2178</v>
      </c>
      <c r="B13" s="2566"/>
      <c r="C13" s="2566"/>
      <c r="D13" s="2566"/>
      <c r="E13" s="2566"/>
      <c r="F13" s="2566"/>
    </row>
    <row r="14" spans="1:7" ht="9.75" customHeight="1" x14ac:dyDescent="0.2">
      <c r="C14" s="987"/>
      <c r="D14" s="987"/>
    </row>
    <row r="15" spans="1:7" ht="13.5" customHeight="1" x14ac:dyDescent="0.2">
      <c r="C15" s="1366" t="s">
        <v>1261</v>
      </c>
      <c r="D15" s="2572" t="s">
        <v>1260</v>
      </c>
      <c r="E15" s="2572"/>
      <c r="F15" s="2572"/>
    </row>
    <row r="16" spans="1:7" ht="13.5" customHeight="1" x14ac:dyDescent="0.2">
      <c r="A16" s="1009"/>
      <c r="B16" s="1003" t="s">
        <v>1259</v>
      </c>
      <c r="C16" s="1366" t="s">
        <v>1258</v>
      </c>
      <c r="D16" s="2573" t="s">
        <v>1574</v>
      </c>
      <c r="E16" s="2573"/>
      <c r="F16" s="2573"/>
    </row>
    <row r="17" spans="1:6" ht="20.45" customHeight="1" x14ac:dyDescent="0.2">
      <c r="A17" s="1010"/>
      <c r="B17" s="1011" t="s">
        <v>2179</v>
      </c>
      <c r="C17" s="1012"/>
      <c r="D17" s="2571"/>
      <c r="E17" s="2571"/>
      <c r="F17" s="2571"/>
    </row>
    <row r="18" spans="1:6" ht="20.65" customHeight="1" x14ac:dyDescent="0.2">
      <c r="A18" s="1010"/>
      <c r="B18" s="1011"/>
      <c r="C18" s="1012"/>
      <c r="D18" s="2571"/>
      <c r="E18" s="2571"/>
      <c r="F18" s="2571"/>
    </row>
    <row r="19" spans="1:6" ht="20.65" customHeight="1" x14ac:dyDescent="0.2">
      <c r="A19" s="1010"/>
      <c r="B19" s="1011"/>
      <c r="C19" s="1012"/>
      <c r="D19" s="2571"/>
      <c r="E19" s="2571"/>
      <c r="F19" s="2571"/>
    </row>
    <row r="20" spans="1:6" ht="20.65" customHeight="1" x14ac:dyDescent="0.2">
      <c r="A20" s="1010"/>
      <c r="B20" s="1011"/>
      <c r="C20" s="1012"/>
      <c r="D20" s="2571"/>
      <c r="E20" s="2571"/>
      <c r="F20" s="2571"/>
    </row>
    <row r="21" spans="1:6" ht="20.65" customHeight="1" x14ac:dyDescent="0.2">
      <c r="A21" s="1010"/>
      <c r="B21" s="1011"/>
      <c r="C21" s="1012"/>
      <c r="D21" s="2571"/>
      <c r="E21" s="2571"/>
      <c r="F21" s="2571"/>
    </row>
    <row r="22" spans="1:6" ht="20.65" customHeight="1" x14ac:dyDescent="0.2">
      <c r="A22" s="1010"/>
      <c r="B22" s="1011"/>
      <c r="C22" s="1012"/>
      <c r="D22" s="2571"/>
      <c r="E22" s="2571"/>
      <c r="F22" s="2571"/>
    </row>
    <row r="23" spans="1:6" ht="20.65" customHeight="1" x14ac:dyDescent="0.2">
      <c r="A23" s="1010"/>
      <c r="B23" s="1011"/>
      <c r="C23" s="1012"/>
      <c r="D23" s="2571"/>
      <c r="E23" s="2571"/>
      <c r="F23" s="2571"/>
    </row>
    <row r="24" spans="1:6" ht="20.65" customHeight="1" x14ac:dyDescent="0.2">
      <c r="A24" s="1010"/>
      <c r="B24" s="1011"/>
      <c r="C24" s="1012"/>
      <c r="D24" s="2571"/>
      <c r="E24" s="2571"/>
      <c r="F24" s="2571"/>
    </row>
    <row r="25" spans="1:6" ht="20.65" customHeight="1" x14ac:dyDescent="0.2">
      <c r="A25" s="1010"/>
      <c r="B25" s="1011"/>
      <c r="C25" s="1012"/>
      <c r="D25" s="2571"/>
      <c r="E25" s="2571"/>
      <c r="F25" s="2571"/>
    </row>
    <row r="26" spans="1:6" ht="20.65" customHeight="1" x14ac:dyDescent="0.2">
      <c r="A26" s="1010"/>
      <c r="B26" s="1011"/>
      <c r="C26" s="1012"/>
      <c r="D26" s="2571"/>
      <c r="E26" s="2571"/>
      <c r="F26" s="2571"/>
    </row>
    <row r="27" spans="1:6" ht="20.65" customHeight="1" x14ac:dyDescent="0.2">
      <c r="A27" s="1010"/>
      <c r="B27" s="1011"/>
      <c r="C27" s="1012"/>
      <c r="D27" s="2571"/>
      <c r="E27" s="2571"/>
      <c r="F27" s="2571"/>
    </row>
    <row r="28" spans="1:6" ht="20.65" customHeight="1" x14ac:dyDescent="0.2">
      <c r="A28" s="1010"/>
      <c r="B28" s="1011"/>
      <c r="C28" s="1012"/>
      <c r="D28" s="2571"/>
      <c r="E28" s="2571"/>
      <c r="F28" s="2571"/>
    </row>
    <row r="29" spans="1:6" ht="20.65" customHeight="1" x14ac:dyDescent="0.2">
      <c r="A29" s="1010"/>
      <c r="B29" s="1011"/>
      <c r="C29" s="1012"/>
      <c r="D29" s="2571"/>
      <c r="E29" s="2571"/>
      <c r="F29" s="2571"/>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75" t="s">
        <v>1710</v>
      </c>
      <c r="B32" s="2575"/>
      <c r="C32" s="2575"/>
      <c r="D32" s="2575"/>
      <c r="E32" s="2575"/>
      <c r="F32" s="2575"/>
    </row>
    <row r="33" spans="1:6" ht="13.5" customHeight="1" x14ac:dyDescent="0.2">
      <c r="A33" s="306" t="s">
        <v>1420</v>
      </c>
      <c r="B33" s="306"/>
      <c r="C33" s="1015">
        <f>' SEFA'!F18</f>
        <v>12560</v>
      </c>
      <c r="D33" s="1416"/>
      <c r="E33" s="1013"/>
    </row>
    <row r="34" spans="1:6" ht="13.5" customHeight="1" x14ac:dyDescent="0.2">
      <c r="A34" s="306" t="s">
        <v>1812</v>
      </c>
      <c r="B34" s="306"/>
      <c r="C34" s="1016">
        <v>0</v>
      </c>
      <c r="D34" s="1416" t="s">
        <v>1575</v>
      </c>
      <c r="E34" s="2576">
        <f>+C33+C34</f>
        <v>12560</v>
      </c>
      <c r="F34" s="2577"/>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1711</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78" t="s">
        <v>1576</v>
      </c>
      <c r="C49" s="2578"/>
      <c r="D49" s="2578"/>
      <c r="E49" s="1059"/>
    </row>
    <row r="50" spans="1:5" s="1027" customFormat="1" ht="3.75" customHeight="1" x14ac:dyDescent="0.2">
      <c r="A50" s="1026"/>
      <c r="B50" s="1365"/>
      <c r="C50" s="1365"/>
      <c r="D50" s="1365"/>
      <c r="E50" s="1059"/>
    </row>
    <row r="51" spans="1:5" s="1027" customFormat="1" ht="20.25" customHeight="1" x14ac:dyDescent="0.2">
      <c r="A51" s="1028">
        <v>6</v>
      </c>
      <c r="B51" s="2574" t="s">
        <v>1537</v>
      </c>
      <c r="C51" s="2574"/>
      <c r="D51" s="2574"/>
    </row>
    <row r="52" spans="1:5" ht="14.25" customHeight="1" x14ac:dyDescent="0.2">
      <c r="A52" s="1028"/>
      <c r="B52" s="2574"/>
      <c r="C52" s="2574"/>
      <c r="D52" s="257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25" zoomScale="110" zoomScaleNormal="110" workbookViewId="0">
      <selection activeCell="B7" sqref="B7:I7"/>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3" t="str">
        <f>'Single Audit Cover'!A7</f>
        <v xml:space="preserve"> Kaneland CUSD 302</v>
      </c>
      <c r="C1" s="2584"/>
      <c r="D1" s="2584"/>
      <c r="E1" s="2584"/>
      <c r="F1" s="2584"/>
      <c r="G1" s="2584"/>
      <c r="H1" s="2584"/>
      <c r="I1" s="2584"/>
      <c r="J1" s="1069"/>
    </row>
    <row r="2" spans="2:10" s="295" customFormat="1" ht="12.75" customHeight="1" x14ac:dyDescent="0.2">
      <c r="B2" s="2585">
        <f>'Single Audit Cover'!E7</f>
        <v>31045302026</v>
      </c>
      <c r="C2" s="2586"/>
      <c r="D2" s="2586"/>
      <c r="E2" s="2586"/>
      <c r="F2" s="2586"/>
      <c r="G2" s="2586"/>
      <c r="H2" s="2586"/>
      <c r="I2" s="2586"/>
      <c r="J2" s="1069"/>
    </row>
    <row r="3" spans="2:10" s="295" customFormat="1" ht="12.75" customHeight="1" x14ac:dyDescent="0.2">
      <c r="B3" s="2587" t="s">
        <v>1276</v>
      </c>
      <c r="C3" s="2588"/>
      <c r="D3" s="2588"/>
      <c r="E3" s="2588"/>
      <c r="F3" s="2588"/>
      <c r="G3" s="2588"/>
      <c r="H3" s="2588"/>
      <c r="I3" s="2588"/>
      <c r="J3" s="1070"/>
    </row>
    <row r="4" spans="2:10" s="295" customFormat="1" ht="12.75" customHeight="1" x14ac:dyDescent="0.2">
      <c r="B4" s="2587" t="str">
        <f>'Single Audit Cover'!A4</f>
        <v>Year Ending June 30, 2020</v>
      </c>
      <c r="C4" s="2588"/>
      <c r="D4" s="2588"/>
      <c r="E4" s="2588"/>
      <c r="F4" s="2588"/>
      <c r="G4" s="2588"/>
      <c r="H4" s="2588"/>
      <c r="I4" s="2588"/>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87" t="s">
        <v>1275</v>
      </c>
      <c r="C7" s="2588"/>
      <c r="D7" s="2588"/>
      <c r="E7" s="2588"/>
      <c r="F7" s="2588"/>
      <c r="G7" s="2588"/>
      <c r="H7" s="2588"/>
      <c r="I7" s="2588"/>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89" t="s">
        <v>2180</v>
      </c>
      <c r="D11" s="2589"/>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2019</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2019</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2019</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2019</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2019</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590" t="s">
        <v>2180</v>
      </c>
      <c r="E29" s="2590"/>
      <c r="F29" s="2590"/>
      <c r="G29" s="2590"/>
      <c r="H29" s="2590"/>
      <c r="I29" s="2590"/>
    </row>
    <row r="30" spans="2:9" s="295" customFormat="1" x14ac:dyDescent="0.2">
      <c r="B30" s="1033"/>
      <c r="C30" s="300"/>
      <c r="D30" s="1080" t="s">
        <v>1726</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2019</v>
      </c>
      <c r="H33" s="1027" t="s">
        <v>99</v>
      </c>
    </row>
    <row r="35" spans="2:9" x14ac:dyDescent="0.2">
      <c r="B35" s="1088" t="s">
        <v>1727</v>
      </c>
      <c r="C35" s="1089"/>
      <c r="D35" s="994"/>
    </row>
    <row r="36" spans="2:9" ht="6" customHeight="1" x14ac:dyDescent="0.2">
      <c r="B36" s="1088"/>
      <c r="C36" s="1089"/>
      <c r="D36" s="994"/>
    </row>
    <row r="37" spans="2:9" ht="17.25" customHeight="1" x14ac:dyDescent="0.2">
      <c r="B37" s="1090" t="s">
        <v>1728</v>
      </c>
      <c r="C37" s="2591" t="s">
        <v>1729</v>
      </c>
      <c r="D37" s="2592"/>
      <c r="E37" s="2592"/>
      <c r="F37" s="2593"/>
      <c r="G37" s="2591" t="s">
        <v>1578</v>
      </c>
      <c r="H37" s="2592"/>
      <c r="I37" s="2593"/>
    </row>
    <row r="38" spans="2:9" ht="16.5" customHeight="1" x14ac:dyDescent="0.2">
      <c r="B38" s="1091" t="s">
        <v>2181</v>
      </c>
      <c r="C38" s="2579" t="s">
        <v>2151</v>
      </c>
      <c r="D38" s="2580"/>
      <c r="E38" s="2580"/>
      <c r="F38" s="2581"/>
      <c r="G38" s="2594">
        <v>739671</v>
      </c>
      <c r="H38" s="2595"/>
      <c r="I38" s="2596"/>
    </row>
    <row r="39" spans="2:9" ht="16.5" customHeight="1" x14ac:dyDescent="0.2">
      <c r="B39" s="1091"/>
      <c r="C39" s="2579"/>
      <c r="D39" s="2580"/>
      <c r="E39" s="2580"/>
      <c r="F39" s="2581"/>
      <c r="G39" s="2582"/>
      <c r="H39" s="2582"/>
      <c r="I39" s="2582"/>
    </row>
    <row r="40" spans="2:9" ht="16.5" customHeight="1" x14ac:dyDescent="0.2">
      <c r="B40" s="1091"/>
      <c r="C40" s="2579"/>
      <c r="D40" s="2580"/>
      <c r="E40" s="2580"/>
      <c r="F40" s="2581"/>
      <c r="G40" s="2582"/>
      <c r="H40" s="2582"/>
      <c r="I40" s="2582"/>
    </row>
    <row r="41" spans="2:9" ht="16.5" customHeight="1" x14ac:dyDescent="0.2">
      <c r="B41" s="1091"/>
      <c r="C41" s="2579"/>
      <c r="D41" s="2580"/>
      <c r="E41" s="2580"/>
      <c r="F41" s="2581"/>
      <c r="G41" s="2582"/>
      <c r="H41" s="2582"/>
      <c r="I41" s="2582"/>
    </row>
    <row r="42" spans="2:9" ht="16.5" customHeight="1" x14ac:dyDescent="0.2">
      <c r="B42" s="1091"/>
      <c r="C42" s="2579"/>
      <c r="D42" s="2580"/>
      <c r="E42" s="2580"/>
      <c r="F42" s="2581"/>
      <c r="G42" s="2582"/>
      <c r="H42" s="2582"/>
      <c r="I42" s="2582"/>
    </row>
    <row r="43" spans="2:9" ht="16.5" customHeight="1" x14ac:dyDescent="0.2">
      <c r="B43" s="1091"/>
      <c r="C43" s="2597" t="s">
        <v>1579</v>
      </c>
      <c r="D43" s="2598"/>
      <c r="E43" s="2598"/>
      <c r="F43" s="2599"/>
      <c r="G43" s="2600">
        <f>SUM(G38:I42)</f>
        <v>739671</v>
      </c>
      <c r="H43" s="2600"/>
      <c r="I43" s="2600"/>
    </row>
    <row r="44" spans="2:9" ht="12.75" customHeight="1" x14ac:dyDescent="0.2"/>
    <row r="45" spans="2:9" ht="12.75" customHeight="1" x14ac:dyDescent="0.2">
      <c r="B45" s="1791" t="str">
        <f>"Total Federal Expenditures for 7/1/"&amp;MID('AFR20'!E2,3,2)-1&amp;"-6/30/"&amp;MID('AFR20'!E2,3,2)</f>
        <v>Total Federal Expenditures for 7/1/19-6/30/20</v>
      </c>
      <c r="C45" s="1792"/>
      <c r="D45" s="2601">
        <f>' SEFA'!I55</f>
        <v>1288172</v>
      </c>
      <c r="E45" s="2602"/>
    </row>
    <row r="46" spans="2:9" ht="5.25" customHeight="1" x14ac:dyDescent="0.2">
      <c r="B46" s="1092"/>
      <c r="D46" s="1093"/>
      <c r="E46" s="1094"/>
    </row>
    <row r="47" spans="2:9" ht="12.75" customHeight="1" x14ac:dyDescent="0.2">
      <c r="B47" s="1027" t="s">
        <v>1580</v>
      </c>
      <c r="C47" s="1027"/>
      <c r="D47" s="1095">
        <f>+G43/D45</f>
        <v>0.57420204755265603</v>
      </c>
      <c r="E47" s="1096"/>
      <c r="F47" s="1097"/>
      <c r="I47" s="1098"/>
    </row>
    <row r="48" spans="2:9" ht="9.9499999999999993" customHeight="1" x14ac:dyDescent="0.2"/>
    <row r="49" spans="1:9" x14ac:dyDescent="0.2">
      <c r="B49" s="1033" t="s">
        <v>1264</v>
      </c>
      <c r="C49" s="1009"/>
      <c r="D49" s="1009"/>
      <c r="E49" s="2603">
        <v>750000</v>
      </c>
      <c r="F49" s="2603"/>
      <c r="G49" s="2603"/>
      <c r="H49" s="300"/>
    </row>
    <row r="51" spans="1:9" ht="13.5" customHeight="1" x14ac:dyDescent="0.2">
      <c r="B51" s="1033" t="s">
        <v>1263</v>
      </c>
      <c r="C51" s="1009"/>
      <c r="E51" s="1085" t="s">
        <v>2019</v>
      </c>
      <c r="F51" s="1027" t="s">
        <v>879</v>
      </c>
      <c r="G51" s="1085"/>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1730</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1731</v>
      </c>
      <c r="C58" s="1111"/>
      <c r="D58" s="1111"/>
    </row>
    <row r="59" spans="1:9" s="1108" customFormat="1" ht="3.95" customHeight="1" x14ac:dyDescent="0.2">
      <c r="A59" s="1105"/>
      <c r="B59" s="1110"/>
      <c r="C59" s="1111"/>
      <c r="D59" s="1111"/>
    </row>
    <row r="60" spans="1:9" s="1108" customFormat="1" ht="13.5" customHeight="1" x14ac:dyDescent="0.2">
      <c r="A60" s="1105"/>
      <c r="B60" s="1110" t="s">
        <v>1732</v>
      </c>
      <c r="C60" s="1111"/>
      <c r="D60" s="1111"/>
    </row>
    <row r="61" spans="1:9" s="1108" customFormat="1" ht="3.95" customHeight="1" x14ac:dyDescent="0.2">
      <c r="A61" s="1105"/>
      <c r="B61" s="1110"/>
      <c r="C61" s="1111"/>
      <c r="D61" s="1111"/>
    </row>
    <row r="62" spans="1:9" s="1108" customFormat="1" ht="12.75" customHeight="1" x14ac:dyDescent="0.2">
      <c r="A62" s="1105"/>
      <c r="B62" s="1110" t="s">
        <v>1733</v>
      </c>
      <c r="C62" s="1111"/>
      <c r="D62" s="1111"/>
    </row>
    <row r="63" spans="1:9" s="1108" customFormat="1" ht="13.5" customHeight="1" x14ac:dyDescent="0.2">
      <c r="A63" s="1105"/>
      <c r="B63" s="1109" t="s">
        <v>1583</v>
      </c>
      <c r="C63" s="1105"/>
      <c r="D63" s="11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3" t="str">
        <f>'Single Audit Cover'!A7</f>
        <v xml:space="preserve"> Kaneland CUSD 302</v>
      </c>
      <c r="C1" s="2583"/>
      <c r="D1" s="2583"/>
      <c r="E1" s="2583"/>
      <c r="F1" s="2583"/>
      <c r="G1" s="2583"/>
      <c r="H1" s="2583"/>
      <c r="I1" s="2583"/>
      <c r="J1" s="2583"/>
      <c r="K1" s="2583"/>
      <c r="L1" s="1035"/>
      <c r="M1" s="1035"/>
    </row>
    <row r="2" spans="1:13" ht="12" customHeight="1" x14ac:dyDescent="0.2">
      <c r="B2" s="2585">
        <f>'Single Audit Cover'!E7</f>
        <v>31045302026</v>
      </c>
      <c r="C2" s="2585"/>
      <c r="D2" s="2585"/>
      <c r="E2" s="2585"/>
      <c r="F2" s="2585"/>
      <c r="G2" s="2585"/>
      <c r="H2" s="2585"/>
      <c r="I2" s="2585"/>
      <c r="J2" s="2585"/>
      <c r="K2" s="2585"/>
      <c r="L2" s="1036"/>
      <c r="M2" s="1037"/>
    </row>
    <row r="3" spans="1:13" ht="10.35" customHeight="1" x14ac:dyDescent="0.2">
      <c r="B3" s="2606" t="s">
        <v>1276</v>
      </c>
      <c r="C3" s="2606"/>
      <c r="D3" s="2606"/>
      <c r="E3" s="2606"/>
      <c r="F3" s="2606"/>
      <c r="G3" s="2606"/>
      <c r="H3" s="2606"/>
      <c r="I3" s="2606"/>
      <c r="J3" s="2606"/>
      <c r="K3" s="2606"/>
      <c r="L3" s="1038"/>
      <c r="M3" s="1038"/>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07" t="s">
        <v>1287</v>
      </c>
      <c r="C7" s="2607"/>
      <c r="D7" s="2608"/>
      <c r="E7" s="2608"/>
      <c r="F7" s="2608"/>
      <c r="G7" s="2608"/>
      <c r="H7" s="2608"/>
      <c r="I7" s="2608"/>
      <c r="J7" s="2608"/>
      <c r="K7" s="2608"/>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1720</v>
      </c>
      <c r="C10" s="1793" t="str">
        <f>'AFR20'!$E$2&amp;"-"</f>
        <v>2020-</v>
      </c>
      <c r="D10" s="1046" t="s">
        <v>2041</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5"/>
      <c r="C14" s="2605"/>
      <c r="D14" s="2605"/>
      <c r="E14" s="2605"/>
      <c r="F14" s="2605"/>
      <c r="G14" s="2605"/>
      <c r="H14" s="2605"/>
      <c r="I14" s="2605"/>
      <c r="J14" s="2605"/>
      <c r="K14" s="2605"/>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5"/>
      <c r="C17" s="2605"/>
      <c r="D17" s="2605"/>
      <c r="E17" s="2605"/>
      <c r="F17" s="2605"/>
      <c r="G17" s="2605"/>
      <c r="H17" s="2605"/>
      <c r="I17" s="2605"/>
      <c r="J17" s="2605"/>
      <c r="K17" s="2605"/>
      <c r="L17" s="1042"/>
    </row>
    <row r="18" spans="2:12" ht="4.5" customHeight="1" x14ac:dyDescent="0.2">
      <c r="B18" s="1058"/>
      <c r="C18" s="1058"/>
      <c r="L18" s="1042"/>
    </row>
    <row r="19" spans="2:12" s="1009" customFormat="1" ht="13.5" customHeight="1" x14ac:dyDescent="0.2">
      <c r="B19" s="1053" t="s">
        <v>1721</v>
      </c>
      <c r="C19" s="1053"/>
      <c r="D19" s="1054"/>
      <c r="E19" s="1054"/>
      <c r="F19" s="1054"/>
      <c r="G19" s="1055"/>
      <c r="H19" s="1054"/>
      <c r="I19" s="1055"/>
      <c r="J19" s="1054"/>
      <c r="K19" s="1054"/>
      <c r="L19" s="1056"/>
    </row>
    <row r="20" spans="2:12" ht="45.75" customHeight="1" x14ac:dyDescent="0.2">
      <c r="B20" s="2609"/>
      <c r="C20" s="2609"/>
      <c r="D20" s="2605"/>
      <c r="E20" s="2605"/>
      <c r="F20" s="2605"/>
      <c r="G20" s="2605"/>
      <c r="H20" s="2605"/>
      <c r="I20" s="2605"/>
      <c r="J20" s="2605"/>
      <c r="K20" s="2605"/>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5"/>
      <c r="C23" s="2605"/>
      <c r="D23" s="2605"/>
      <c r="E23" s="2605"/>
      <c r="F23" s="2605"/>
      <c r="G23" s="2605"/>
      <c r="H23" s="2605"/>
      <c r="I23" s="2605"/>
      <c r="J23" s="2605"/>
      <c r="K23" s="2605"/>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5"/>
      <c r="C26" s="2605"/>
      <c r="D26" s="2605"/>
      <c r="E26" s="2605"/>
      <c r="F26" s="2605"/>
      <c r="G26" s="2605"/>
      <c r="H26" s="2605"/>
      <c r="I26" s="2605"/>
      <c r="J26" s="2605"/>
      <c r="K26" s="2605"/>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4"/>
      <c r="C29" s="2604"/>
      <c r="D29" s="2605"/>
      <c r="E29" s="2605"/>
      <c r="F29" s="2605"/>
      <c r="G29" s="2605"/>
      <c r="H29" s="2605"/>
      <c r="I29" s="2605"/>
      <c r="J29" s="2605"/>
      <c r="K29" s="2605"/>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1722</v>
      </c>
      <c r="C31" s="1063"/>
      <c r="D31" s="1039"/>
      <c r="E31" s="1040"/>
      <c r="F31" s="1040"/>
      <c r="G31" s="1041"/>
      <c r="H31" s="1040"/>
      <c r="I31" s="1041"/>
      <c r="J31" s="1040"/>
      <c r="K31" s="1040"/>
      <c r="L31" s="1042"/>
    </row>
    <row r="32" spans="2:12" s="300" customFormat="1" ht="44.25" customHeight="1" x14ac:dyDescent="0.2">
      <c r="B32" s="2604"/>
      <c r="C32" s="2604"/>
      <c r="D32" s="2605"/>
      <c r="E32" s="2605"/>
      <c r="F32" s="2605"/>
      <c r="G32" s="2605"/>
      <c r="H32" s="2605"/>
      <c r="I32" s="2605"/>
      <c r="J32" s="2605"/>
      <c r="K32" s="2605"/>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1723</v>
      </c>
      <c r="C35" s="1066"/>
      <c r="D35" s="300"/>
      <c r="E35" s="300"/>
      <c r="F35" s="300"/>
      <c r="L35" s="1042"/>
    </row>
    <row r="36" spans="1:13" ht="9.6" customHeight="1" x14ac:dyDescent="0.2">
      <c r="B36" s="1027" t="s">
        <v>1814</v>
      </c>
      <c r="C36" s="1027"/>
      <c r="L36" s="1042"/>
    </row>
    <row r="37" spans="1:13" ht="9.6" customHeight="1" x14ac:dyDescent="0.2">
      <c r="B37" s="1027" t="s">
        <v>1815</v>
      </c>
      <c r="C37" s="1027"/>
    </row>
    <row r="38" spans="1:13" ht="11.85" customHeight="1" x14ac:dyDescent="0.2">
      <c r="B38" s="1067" t="s">
        <v>1724</v>
      </c>
      <c r="C38" s="1067"/>
    </row>
    <row r="39" spans="1:13" ht="9.6" customHeight="1" x14ac:dyDescent="0.2">
      <c r="B39" s="1027" t="s">
        <v>1277</v>
      </c>
      <c r="C39" s="1027"/>
      <c r="M39" s="1068"/>
    </row>
    <row r="40" spans="1:13" ht="12.6" customHeight="1" x14ac:dyDescent="0.2">
      <c r="B40" s="1067" t="s">
        <v>1725</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0" t="str">
        <f>'Single Audit Cover'!A7</f>
        <v xml:space="preserve"> Kaneland CUSD 302</v>
      </c>
      <c r="C1" s="2610"/>
      <c r="D1" s="2610"/>
      <c r="E1" s="2610"/>
      <c r="F1" s="2610"/>
      <c r="G1" s="2610"/>
      <c r="H1" s="2610"/>
      <c r="I1" s="2610"/>
      <c r="J1" s="2610"/>
      <c r="K1" s="2610"/>
      <c r="L1" s="1112"/>
    </row>
    <row r="2" spans="1:12" ht="12.75" customHeight="1" x14ac:dyDescent="0.2">
      <c r="B2" s="2611">
        <f>'Single Audit Cover'!E7</f>
        <v>31045302026</v>
      </c>
      <c r="C2" s="2611"/>
      <c r="D2" s="2611"/>
      <c r="E2" s="2611"/>
      <c r="F2" s="2611"/>
      <c r="G2" s="2611"/>
      <c r="H2" s="2611"/>
      <c r="I2" s="2611"/>
      <c r="J2" s="2611"/>
      <c r="K2" s="2611"/>
      <c r="L2" s="1113"/>
    </row>
    <row r="3" spans="1:12" ht="12.75" customHeight="1" x14ac:dyDescent="0.2">
      <c r="B3" s="2606" t="s">
        <v>1276</v>
      </c>
      <c r="C3" s="2606"/>
      <c r="D3" s="2606"/>
      <c r="E3" s="2606"/>
      <c r="F3" s="2606"/>
      <c r="G3" s="2606"/>
      <c r="H3" s="2606"/>
      <c r="I3" s="2606"/>
      <c r="J3" s="2606"/>
      <c r="K3" s="2606"/>
      <c r="L3" s="1038"/>
    </row>
    <row r="4" spans="1:12" ht="12.75" customHeight="1" x14ac:dyDescent="0.2">
      <c r="B4" s="2606" t="str">
        <f>'Single Audit Cover'!A4</f>
        <v>Year Ending June 30, 2020</v>
      </c>
      <c r="C4" s="2606"/>
      <c r="D4" s="2606"/>
      <c r="E4" s="2606"/>
      <c r="F4" s="2606"/>
      <c r="G4" s="2606"/>
      <c r="H4" s="2606"/>
      <c r="I4" s="2606"/>
      <c r="J4" s="2606"/>
      <c r="K4" s="2606"/>
      <c r="L4" s="1038"/>
    </row>
    <row r="5" spans="1:12" ht="5.25" customHeight="1" x14ac:dyDescent="0.2">
      <c r="B5" s="987" t="s">
        <v>1161</v>
      </c>
      <c r="C5" s="987"/>
      <c r="L5" s="300"/>
    </row>
    <row r="6" spans="1:12" ht="30.75" customHeight="1" x14ac:dyDescent="0.2">
      <c r="A6" s="300"/>
      <c r="B6" s="2612" t="s">
        <v>1299</v>
      </c>
      <c r="C6" s="2612"/>
      <c r="D6" s="2612"/>
      <c r="E6" s="2612"/>
      <c r="F6" s="2612"/>
      <c r="G6" s="2612"/>
      <c r="H6" s="2612"/>
      <c r="I6" s="2612"/>
      <c r="J6" s="2612"/>
      <c r="K6" s="2612"/>
      <c r="L6" s="300"/>
    </row>
    <row r="7" spans="1:12" ht="4.5" customHeight="1" x14ac:dyDescent="0.2">
      <c r="B7" s="1040"/>
      <c r="C7" s="1040"/>
      <c r="D7" s="1040"/>
      <c r="E7" s="1040"/>
      <c r="F7" s="1040"/>
      <c r="G7" s="1041"/>
      <c r="H7" s="1040"/>
      <c r="I7" s="1041"/>
      <c r="J7" s="1040"/>
      <c r="K7" s="1040"/>
      <c r="L7" s="300"/>
    </row>
    <row r="8" spans="1:12" ht="13.5" customHeight="1" x14ac:dyDescent="0.2">
      <c r="B8" s="1047" t="s">
        <v>1734</v>
      </c>
      <c r="C8" s="1793" t="str">
        <f>'AFR20'!$E$2&amp;"-"</f>
        <v>2020-</v>
      </c>
      <c r="D8" s="1114" t="s">
        <v>2041</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590"/>
      <c r="G12" s="2590"/>
      <c r="H12" s="2590"/>
      <c r="I12" s="2590"/>
      <c r="J12" s="2590"/>
      <c r="K12" s="2590"/>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3"/>
      <c r="E14" s="2613"/>
      <c r="F14" s="2613"/>
      <c r="H14" s="1121" t="s">
        <v>1294</v>
      </c>
      <c r="I14" s="2614"/>
      <c r="J14" s="2614"/>
      <c r="K14" s="2614"/>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1293</v>
      </c>
      <c r="C16" s="1047"/>
      <c r="D16" s="2614"/>
      <c r="E16" s="2614"/>
      <c r="F16" s="2614"/>
      <c r="G16" s="2614"/>
      <c r="H16" s="2614"/>
      <c r="I16" s="2614"/>
      <c r="J16" s="2614"/>
      <c r="K16" s="2614"/>
      <c r="L16" s="300"/>
    </row>
    <row r="17" spans="2:12" ht="13.5" customHeight="1" x14ac:dyDescent="0.2">
      <c r="B17" s="1047" t="s">
        <v>1292</v>
      </c>
      <c r="C17" s="1047"/>
      <c r="D17" s="2615"/>
      <c r="E17" s="2615"/>
      <c r="F17" s="2615"/>
      <c r="G17" s="2615"/>
      <c r="H17" s="2615"/>
      <c r="I17" s="2615"/>
      <c r="J17" s="2615"/>
      <c r="K17" s="2615"/>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5"/>
      <c r="C20" s="2605"/>
      <c r="D20" s="2605"/>
      <c r="E20" s="2605"/>
      <c r="F20" s="2605"/>
      <c r="G20" s="2605"/>
      <c r="H20" s="2605"/>
      <c r="I20" s="2605"/>
      <c r="J20" s="2605"/>
      <c r="K20" s="2605"/>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1735</v>
      </c>
      <c r="C22" s="1123"/>
      <c r="D22" s="300"/>
      <c r="E22" s="300"/>
      <c r="F22" s="300"/>
      <c r="G22" s="1044"/>
      <c r="H22" s="300"/>
      <c r="I22" s="1044"/>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1736</v>
      </c>
      <c r="C25" s="1123"/>
      <c r="D25" s="300"/>
      <c r="E25" s="300"/>
      <c r="F25" s="300"/>
      <c r="G25" s="1044"/>
      <c r="H25" s="300"/>
      <c r="I25" s="1044"/>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1737</v>
      </c>
      <c r="C28" s="1123"/>
      <c r="D28" s="300"/>
      <c r="E28" s="300"/>
      <c r="F28" s="300"/>
      <c r="G28" s="1044"/>
      <c r="H28" s="300"/>
      <c r="I28" s="1044"/>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1738</v>
      </c>
      <c r="C40" s="1063"/>
      <c r="D40" s="1039"/>
      <c r="E40" s="1040"/>
      <c r="F40" s="1040"/>
      <c r="G40" s="1041"/>
      <c r="H40" s="1040"/>
      <c r="I40" s="1041"/>
      <c r="J40" s="1040"/>
      <c r="K40" s="1040"/>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1739</v>
      </c>
      <c r="C44" s="1066"/>
      <c r="D44" s="300"/>
      <c r="E44" s="300"/>
      <c r="F44" s="300"/>
    </row>
    <row r="45" spans="2:12" ht="10.5" customHeight="1" x14ac:dyDescent="0.2">
      <c r="B45" s="1067" t="s">
        <v>1740</v>
      </c>
      <c r="C45" s="1067"/>
      <c r="G45" s="295"/>
      <c r="I45" s="295"/>
    </row>
    <row r="46" spans="2:12" ht="11.1" customHeight="1" x14ac:dyDescent="0.2">
      <c r="B46" s="1067" t="s">
        <v>1741</v>
      </c>
      <c r="C46" s="1067"/>
      <c r="G46" s="295"/>
      <c r="I46" s="295"/>
    </row>
    <row r="47" spans="2:12" ht="11.1" customHeight="1" x14ac:dyDescent="0.2">
      <c r="B47" s="1067" t="s">
        <v>1742</v>
      </c>
      <c r="C47" s="1067"/>
      <c r="G47" s="295"/>
      <c r="I47" s="295"/>
    </row>
    <row r="48" spans="2:12" ht="11.1" customHeight="1" x14ac:dyDescent="0.2">
      <c r="B48" s="1067" t="s">
        <v>1743</v>
      </c>
      <c r="C48" s="106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3" t="str">
        <f>'Single Audit Cover'!A7</f>
        <v xml:space="preserve"> Kaneland CUSD 302</v>
      </c>
      <c r="C1" s="2583"/>
      <c r="D1" s="2583"/>
      <c r="E1" s="1131"/>
    </row>
    <row r="2" spans="2:5" s="1009" customFormat="1" ht="12.75" customHeight="1" x14ac:dyDescent="0.2">
      <c r="B2" s="2585">
        <f>'Single Audit Cover'!E7</f>
        <v>31045302026</v>
      </c>
      <c r="C2" s="2585"/>
      <c r="D2" s="2585"/>
      <c r="E2" s="1132"/>
    </row>
    <row r="3" spans="2:5" ht="12.75" customHeight="1" x14ac:dyDescent="0.2">
      <c r="B3" s="2606" t="s">
        <v>1744</v>
      </c>
      <c r="C3" s="2606"/>
      <c r="D3" s="2606"/>
      <c r="E3" s="1001"/>
    </row>
    <row r="4" spans="2:5" s="1009" customFormat="1" ht="12.75" customHeight="1" x14ac:dyDescent="0.2">
      <c r="B4" s="2616" t="str">
        <f>'Single Audit Cover'!A4</f>
        <v>Year Ending June 30, 2020</v>
      </c>
      <c r="C4" s="2616"/>
      <c r="D4" s="2616"/>
      <c r="E4" s="1133"/>
    </row>
    <row r="5" spans="2:5" s="1009" customFormat="1" ht="40.15" customHeight="1" x14ac:dyDescent="0.2">
      <c r="B5" s="1134" t="s">
        <v>1745</v>
      </c>
      <c r="C5" s="306"/>
      <c r="D5" s="306"/>
      <c r="E5" s="306"/>
    </row>
    <row r="6" spans="2:5" s="1009" customFormat="1" ht="13.5" customHeight="1" x14ac:dyDescent="0.2">
      <c r="B6" s="1135" t="s">
        <v>1306</v>
      </c>
      <c r="C6" s="1135" t="s">
        <v>1305</v>
      </c>
      <c r="D6" s="1135" t="s">
        <v>1746</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1747</v>
      </c>
    </row>
    <row r="46" spans="2:5" ht="12.2" customHeight="1" x14ac:dyDescent="0.2">
      <c r="B46" s="1145" t="s">
        <v>1748</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6ce3111e-7420-4802-b50a-75d4e9a0b980"/>
    <ds:schemaRef ds:uri="http://purl.org/dc/terms/"/>
    <ds:schemaRef ds:uri="4d435f69-8686-490b-bd6d-b153bf22ab50"/>
    <ds:schemaRef ds:uri="d21dc803-237d-4c68-8692-8d731fd29118"/>
    <ds:schemaRef ds:uri="http://purl.org/dc/elements/1.1/"/>
    <ds:schemaRef ds:uri="http://schemas.microsoft.com/sharepoint/v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2020-11-19T16:47:46Z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