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7808EAA-069E-4D6E-BEF3-C4F220DC7C69}" xr6:coauthVersionLast="45" xr6:coauthVersionMax="45" xr10:uidLastSave="{00000000-0000-0000-0000-000000000000}"/>
  <bookViews>
    <workbookView xWindow="-120" yWindow="-120" windowWidth="29040" windowHeight="15840" tabRatio="91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7"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 AFR" sheetId="189" r:id="rId28"/>
    <sheet name="SEFA old" sheetId="179" state="hidden"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3" hidden="1">'AFR20'!$A$1:$F$7884</definedName>
    <definedName name="_xlnm._FilterDatabase" localSheetId="27" hidden="1">'SEFA - AFR'!$A$13:$O$167</definedName>
    <definedName name="_xlnm.Print_Area" localSheetId="29">'SEFA NOTES'!$A$1:$F$52</definedName>
    <definedName name="_xlnm.Print_Area" localSheetId="28">'SEFA old'!$B$1:$M$46</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 AFR'!$1:$14</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7">#REF!</definedName>
    <definedName name="SCHADDRS" localSheetId="29">#REF!</definedName>
    <definedName name="SCHADDRS" localSheetId="28">#REF!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14">#REF!</definedName>
    <definedName name="SCHCTY" localSheetId="21">#REF!</definedName>
    <definedName name="SCHCTY" localSheetId="4">#REF!</definedName>
    <definedName name="SCHCTY" localSheetId="27">#REF!</definedName>
    <definedName name="SCHCTY" localSheetId="29">#REF!</definedName>
    <definedName name="SCHCTY" localSheetId="28">#REF!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14">#REF!</definedName>
    <definedName name="SCHNMBR" localSheetId="21">#REF!</definedName>
    <definedName name="SCHNMBR" localSheetId="4">#REF!</definedName>
    <definedName name="SCHNMBR" localSheetId="27">#REF!</definedName>
    <definedName name="SCHNMBR" localSheetId="29">#REF!</definedName>
    <definedName name="SCHNMBR" localSheetId="28">#REF!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14">#REF!</definedName>
    <definedName name="SCHNME" localSheetId="21">#REF!</definedName>
    <definedName name="SCHNME" localSheetId="4">#REF!</definedName>
    <definedName name="SCHNME" localSheetId="27">#REF!</definedName>
    <definedName name="SCHNME" localSheetId="29">#REF!</definedName>
    <definedName name="SCHNME" localSheetId="28">#REF!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14">#REF!</definedName>
    <definedName name="SUPT" localSheetId="21">#REF!</definedName>
    <definedName name="SUPT" localSheetId="4">#REF!</definedName>
    <definedName name="SUPT" localSheetId="27">#REF!</definedName>
    <definedName name="SUPT" localSheetId="29">#REF!</definedName>
    <definedName name="SUPT" localSheetId="28">#REF!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174" l="1"/>
  <c r="L164" i="189"/>
  <c r="J164" i="189"/>
  <c r="H164" i="189"/>
  <c r="F164" i="189"/>
  <c r="E164" i="189"/>
  <c r="M149" i="189"/>
  <c r="L145" i="189"/>
  <c r="J145" i="189"/>
  <c r="G40" i="174" s="1"/>
  <c r="H145" i="189"/>
  <c r="F145" i="189"/>
  <c r="E145" i="189"/>
  <c r="M144" i="189"/>
  <c r="M145" i="189" s="1"/>
  <c r="M143" i="189"/>
  <c r="M137" i="189"/>
  <c r="L135" i="189"/>
  <c r="J135" i="189"/>
  <c r="H135" i="189"/>
  <c r="F135" i="189"/>
  <c r="E135" i="189"/>
  <c r="M133" i="189"/>
  <c r="M132" i="189"/>
  <c r="M135" i="189" s="1"/>
  <c r="M130" i="189"/>
  <c r="L128" i="189"/>
  <c r="J128" i="189"/>
  <c r="J140" i="189" s="1"/>
  <c r="J152" i="189" s="1"/>
  <c r="H128" i="189"/>
  <c r="F128" i="189"/>
  <c r="F140" i="189" s="1"/>
  <c r="F152" i="189" s="1"/>
  <c r="E128" i="189"/>
  <c r="M126" i="189"/>
  <c r="M128" i="189" s="1"/>
  <c r="M125" i="189"/>
  <c r="M123" i="189"/>
  <c r="M121" i="189"/>
  <c r="O108" i="189"/>
  <c r="L108" i="189"/>
  <c r="J108" i="189"/>
  <c r="H108" i="189"/>
  <c r="F108" i="189"/>
  <c r="E108" i="189"/>
  <c r="M106" i="189"/>
  <c r="J105" i="189"/>
  <c r="M105" i="189" s="1"/>
  <c r="L98" i="189"/>
  <c r="J98" i="189"/>
  <c r="H98" i="189"/>
  <c r="F98" i="189"/>
  <c r="E98" i="189"/>
  <c r="M97" i="189"/>
  <c r="M98" i="189" s="1"/>
  <c r="M96" i="189"/>
  <c r="M91" i="189"/>
  <c r="O86" i="189"/>
  <c r="L86" i="189"/>
  <c r="J86" i="189"/>
  <c r="H86" i="189"/>
  <c r="F86" i="189"/>
  <c r="E86" i="189"/>
  <c r="M83" i="189"/>
  <c r="M86" i="189" s="1"/>
  <c r="O79" i="189"/>
  <c r="L79" i="189"/>
  <c r="J79" i="189"/>
  <c r="H79" i="189"/>
  <c r="F79" i="189"/>
  <c r="E79" i="189"/>
  <c r="M76" i="189"/>
  <c r="M79" i="189" s="1"/>
  <c r="O71" i="189"/>
  <c r="L71" i="189"/>
  <c r="J71" i="189"/>
  <c r="H71" i="189"/>
  <c r="F71" i="189"/>
  <c r="E71" i="189"/>
  <c r="M69" i="189"/>
  <c r="M68" i="189"/>
  <c r="M71" i="189" s="1"/>
  <c r="L61" i="189"/>
  <c r="L63" i="189" s="1"/>
  <c r="H61" i="189"/>
  <c r="H63" i="189" s="1"/>
  <c r="F61" i="189"/>
  <c r="E61" i="189"/>
  <c r="E63" i="189" s="1"/>
  <c r="M60" i="189"/>
  <c r="J59" i="189"/>
  <c r="M59" i="189" s="1"/>
  <c r="M57" i="189"/>
  <c r="M56" i="189"/>
  <c r="O53" i="189"/>
  <c r="L53" i="189"/>
  <c r="H53" i="189"/>
  <c r="E53" i="189"/>
  <c r="M52" i="189"/>
  <c r="M50" i="189"/>
  <c r="M49" i="189"/>
  <c r="M53" i="189" s="1"/>
  <c r="J49" i="189"/>
  <c r="J53" i="189" s="1"/>
  <c r="F49" i="189"/>
  <c r="F53" i="189" s="1"/>
  <c r="O46" i="189"/>
  <c r="O63" i="189" s="1"/>
  <c r="L46" i="189"/>
  <c r="J46" i="189"/>
  <c r="H46" i="189"/>
  <c r="F46" i="189"/>
  <c r="E46" i="189"/>
  <c r="M45" i="189"/>
  <c r="M46" i="189" s="1"/>
  <c r="M44" i="189"/>
  <c r="O38" i="189"/>
  <c r="L38" i="189"/>
  <c r="J38" i="189"/>
  <c r="H38" i="189"/>
  <c r="F38" i="189"/>
  <c r="E38" i="189"/>
  <c r="M36" i="189"/>
  <c r="M35" i="189"/>
  <c r="O27" i="189"/>
  <c r="L27" i="189"/>
  <c r="L30" i="189" s="1"/>
  <c r="J27" i="189"/>
  <c r="H27" i="189"/>
  <c r="F27" i="189"/>
  <c r="E27" i="189"/>
  <c r="M25" i="189"/>
  <c r="M27" i="189" s="1"/>
  <c r="O23" i="189"/>
  <c r="O30" i="189" s="1"/>
  <c r="O112" i="189" s="1"/>
  <c r="O167" i="189" s="1"/>
  <c r="L23" i="189"/>
  <c r="J23" i="189"/>
  <c r="J30" i="189" s="1"/>
  <c r="H23" i="189"/>
  <c r="E23" i="189"/>
  <c r="E30" i="189" s="1"/>
  <c r="M21" i="189"/>
  <c r="M20" i="189"/>
  <c r="M23" i="189" s="1"/>
  <c r="F20" i="189"/>
  <c r="F23" i="189" s="1"/>
  <c r="F30" i="189" s="1"/>
  <c r="M140" i="189" l="1"/>
  <c r="M152" i="189" s="1"/>
  <c r="M61" i="189"/>
  <c r="H30" i="189"/>
  <c r="H112" i="189" s="1"/>
  <c r="M38" i="189"/>
  <c r="F63" i="189"/>
  <c r="E112" i="189"/>
  <c r="E167" i="189" s="1"/>
  <c r="L112" i="189"/>
  <c r="M108" i="189"/>
  <c r="E140" i="189"/>
  <c r="E152" i="189" s="1"/>
  <c r="H140" i="189"/>
  <c r="H152" i="189" s="1"/>
  <c r="L140" i="189"/>
  <c r="L152" i="189" s="1"/>
  <c r="F112" i="189"/>
  <c r="F167" i="189" s="1"/>
  <c r="D35" i="171" s="1"/>
  <c r="H167" i="189"/>
  <c r="M30" i="189"/>
  <c r="M63" i="189"/>
  <c r="L167" i="189"/>
  <c r="J61" i="189"/>
  <c r="J63" i="189" s="1"/>
  <c r="J112" i="189" l="1"/>
  <c r="J167" i="189" s="1"/>
  <c r="D45" i="174" s="1"/>
  <c r="G38" i="174"/>
  <c r="M112" i="189"/>
  <c r="M167" i="189" s="1"/>
  <c r="A15" i="187" l="1"/>
  <c r="E17" i="187"/>
  <c r="F17" i="187" s="1"/>
  <c r="E18" i="187"/>
  <c r="F18" i="187" s="1"/>
  <c r="E19" i="187"/>
  <c r="F19" i="187" s="1"/>
  <c r="E20" i="187"/>
  <c r="F20" i="187" s="1"/>
  <c r="E21" i="187"/>
  <c r="F21" i="187" s="1"/>
  <c r="E22" i="187"/>
  <c r="F22" i="187" s="1"/>
  <c r="E23" i="187"/>
  <c r="F23" i="187" s="1"/>
  <c r="E24" i="187"/>
  <c r="F24" i="187" s="1"/>
  <c r="E25" i="187"/>
  <c r="F25" i="187" s="1"/>
  <c r="E26" i="187"/>
  <c r="F26" i="187" s="1"/>
  <c r="E27" i="187"/>
  <c r="F27" i="187" s="1"/>
  <c r="E28" i="187"/>
  <c r="F28" i="187" s="1"/>
  <c r="E29" i="187"/>
  <c r="F29" i="187" s="1"/>
  <c r="E30" i="187"/>
  <c r="F30" i="187" s="1"/>
  <c r="E31" i="187"/>
  <c r="F31" i="187" s="1"/>
  <c r="E32" i="187"/>
  <c r="F32" i="187" s="1"/>
  <c r="E33" i="187"/>
  <c r="F33" i="187" s="1"/>
  <c r="E34" i="187"/>
  <c r="F34" i="187" s="1"/>
  <c r="E35" i="187"/>
  <c r="F35" i="187" s="1"/>
  <c r="E36" i="187"/>
  <c r="F36" i="187" s="1"/>
  <c r="E37" i="187"/>
  <c r="F37" i="187" s="1"/>
  <c r="E38" i="187"/>
  <c r="F38" i="187" s="1"/>
  <c r="E39" i="187"/>
  <c r="F39" i="187" s="1"/>
  <c r="E40" i="187"/>
  <c r="F40" i="187" s="1"/>
  <c r="E41" i="187"/>
  <c r="F41" i="187" s="1"/>
  <c r="E42" i="187"/>
  <c r="F42" i="187" s="1"/>
  <c r="E43" i="187"/>
  <c r="F43" i="187" s="1"/>
  <c r="E44" i="187"/>
  <c r="F44" i="187" s="1"/>
  <c r="E45" i="187"/>
  <c r="F45" i="187" s="1"/>
  <c r="E46" i="187"/>
  <c r="F46" i="187" s="1"/>
  <c r="E47" i="187"/>
  <c r="F47" i="187" s="1"/>
  <c r="E48" i="187"/>
  <c r="F48" i="187" s="1"/>
  <c r="E49" i="187"/>
  <c r="F49" i="187" s="1"/>
  <c r="E50" i="187"/>
  <c r="F50" i="187" s="1"/>
  <c r="E51" i="187"/>
  <c r="F51" i="187" s="1"/>
  <c r="E52" i="187"/>
  <c r="F52" i="187" s="1"/>
  <c r="E53" i="187"/>
  <c r="F53" i="187" s="1"/>
  <c r="E54" i="187"/>
  <c r="F54" i="187" s="1"/>
  <c r="E55" i="187"/>
  <c r="F55" i="187" s="1"/>
  <c r="E56" i="187"/>
  <c r="F56" i="187" s="1"/>
  <c r="E57" i="187"/>
  <c r="F57" i="187" s="1"/>
  <c r="E58" i="187"/>
  <c r="F58" i="187" s="1"/>
  <c r="E59" i="187"/>
  <c r="F59" i="187" s="1"/>
  <c r="E60" i="187"/>
  <c r="F60" i="187" s="1"/>
  <c r="E61" i="187"/>
  <c r="F61" i="187" s="1"/>
  <c r="E62" i="187"/>
  <c r="F62" i="187" s="1"/>
  <c r="E63" i="187"/>
  <c r="F63" i="187" s="1"/>
  <c r="E64" i="187"/>
  <c r="F64" i="187" s="1"/>
  <c r="E65" i="187"/>
  <c r="F65" i="187" s="1"/>
  <c r="E66" i="187"/>
  <c r="F66" i="187" s="1"/>
  <c r="E67" i="187"/>
  <c r="F67" i="187" s="1"/>
  <c r="E68" i="187"/>
  <c r="F68" i="187" s="1"/>
  <c r="E69" i="187"/>
  <c r="F69" i="187" s="1"/>
  <c r="E70" i="187"/>
  <c r="F70" i="187" s="1"/>
  <c r="E71" i="187"/>
  <c r="F71" i="187" s="1"/>
  <c r="E72" i="187"/>
  <c r="F72" i="187" s="1"/>
  <c r="E73" i="187"/>
  <c r="F73" i="187" s="1"/>
  <c r="E74" i="187"/>
  <c r="F74" i="187" s="1"/>
  <c r="E75" i="187"/>
  <c r="F75" i="187" s="1"/>
  <c r="E76" i="187"/>
  <c r="F76" i="187" s="1"/>
  <c r="E77" i="187"/>
  <c r="F77" i="187" s="1"/>
  <c r="E78" i="187"/>
  <c r="F78" i="187" s="1"/>
  <c r="E79" i="187"/>
  <c r="F79" i="187" s="1"/>
  <c r="E80" i="187"/>
  <c r="F80" i="187" s="1"/>
  <c r="E81" i="187"/>
  <c r="F81" i="187" s="1"/>
  <c r="E82" i="187"/>
  <c r="F82" i="187" s="1"/>
  <c r="E83" i="187"/>
  <c r="F83" i="187" s="1"/>
  <c r="E84" i="187"/>
  <c r="F84" i="187" s="1"/>
  <c r="E85" i="187"/>
  <c r="F85" i="187" s="1"/>
  <c r="E86" i="187"/>
  <c r="F86" i="187" s="1"/>
  <c r="E87" i="187"/>
  <c r="F87" i="187" s="1"/>
  <c r="E88" i="187"/>
  <c r="F88" i="187" s="1"/>
  <c r="E89" i="187"/>
  <c r="F89" i="187" s="1"/>
  <c r="E90" i="187"/>
  <c r="F90" i="187" s="1"/>
  <c r="E91" i="187"/>
  <c r="F91" i="187" s="1"/>
  <c r="E92" i="187"/>
  <c r="F92" i="187" s="1"/>
  <c r="E93" i="187"/>
  <c r="F93" i="187" s="1"/>
  <c r="E94" i="187"/>
  <c r="F94" i="187" s="1"/>
  <c r="E95" i="187"/>
  <c r="F95" i="187" s="1"/>
  <c r="E96" i="187"/>
  <c r="F96" i="187" s="1"/>
  <c r="E97" i="187"/>
  <c r="F97" i="187" s="1"/>
  <c r="E98" i="187"/>
  <c r="F98" i="187" s="1"/>
  <c r="E99" i="187"/>
  <c r="F99" i="187" s="1"/>
  <c r="E100" i="187"/>
  <c r="F100" i="187" s="1"/>
  <c r="E101" i="187"/>
  <c r="F101" i="187" s="1"/>
  <c r="E102" i="187"/>
  <c r="F102" i="187" s="1"/>
  <c r="E103" i="187"/>
  <c r="F103" i="187" s="1"/>
  <c r="E104" i="187"/>
  <c r="F104" i="187" s="1"/>
  <c r="E105" i="187"/>
  <c r="F105" i="187" s="1"/>
  <c r="E106" i="187"/>
  <c r="F106" i="187" s="1"/>
  <c r="E107" i="187"/>
  <c r="F107" i="187" s="1"/>
  <c r="E108" i="187"/>
  <c r="F108" i="187" s="1"/>
  <c r="E109" i="187"/>
  <c r="F109" i="187" s="1"/>
  <c r="E110" i="187"/>
  <c r="F110" i="187" s="1"/>
  <c r="E111" i="187"/>
  <c r="F111" i="187" s="1"/>
  <c r="E112" i="187"/>
  <c r="F112" i="187" s="1"/>
  <c r="E113" i="187"/>
  <c r="F113" i="187" s="1"/>
  <c r="E114" i="187"/>
  <c r="F114" i="187" s="1"/>
  <c r="E115" i="187"/>
  <c r="F115" i="187" s="1"/>
  <c r="E116" i="187"/>
  <c r="F116" i="187" s="1"/>
  <c r="E117" i="187"/>
  <c r="F117" i="187" s="1"/>
  <c r="E118" i="187"/>
  <c r="F118" i="187" s="1"/>
  <c r="E119" i="187"/>
  <c r="F119" i="187" s="1"/>
  <c r="E120" i="187"/>
  <c r="F120" i="187" s="1"/>
  <c r="E121" i="187"/>
  <c r="F121" i="187" s="1"/>
  <c r="E122" i="187"/>
  <c r="F122" i="187" s="1"/>
  <c r="E123" i="187"/>
  <c r="F123" i="187" s="1"/>
  <c r="E124" i="187"/>
  <c r="F124" i="187" s="1"/>
  <c r="E125" i="187"/>
  <c r="F125" i="187" s="1"/>
  <c r="E126" i="187"/>
  <c r="F126" i="187" s="1"/>
  <c r="E127" i="187"/>
  <c r="F127" i="187" s="1"/>
  <c r="E128" i="187"/>
  <c r="F128" i="187" s="1"/>
  <c r="E129" i="187"/>
  <c r="F129" i="187" s="1"/>
  <c r="E130" i="187"/>
  <c r="F130" i="187" s="1"/>
  <c r="E131" i="187"/>
  <c r="F131" i="187" s="1"/>
  <c r="E132" i="187"/>
  <c r="F132" i="187" s="1"/>
  <c r="E133" i="187"/>
  <c r="F133" i="187" s="1"/>
  <c r="E134" i="187"/>
  <c r="F134" i="187" s="1"/>
  <c r="E135" i="187"/>
  <c r="F135" i="187" s="1"/>
  <c r="E136" i="187"/>
  <c r="F136" i="187" s="1"/>
  <c r="E137" i="187"/>
  <c r="F137" i="187" s="1"/>
  <c r="E138" i="187"/>
  <c r="F138" i="187" s="1"/>
  <c r="E139" i="187"/>
  <c r="F139" i="187" s="1"/>
  <c r="E140" i="187"/>
  <c r="F140" i="187" s="1"/>
  <c r="E141" i="187"/>
  <c r="F141" i="187" s="1"/>
  <c r="E142" i="187"/>
  <c r="F142" i="187" s="1"/>
  <c r="E143" i="187"/>
  <c r="F143" i="187" s="1"/>
  <c r="E144" i="187"/>
  <c r="F144" i="187" s="1"/>
  <c r="E145" i="187"/>
  <c r="F145" i="187" s="1"/>
  <c r="E146" i="187"/>
  <c r="F146" i="187" s="1"/>
  <c r="E147" i="187"/>
  <c r="F147" i="187" s="1"/>
  <c r="E148" i="187"/>
  <c r="F148" i="187" s="1"/>
  <c r="E149" i="187"/>
  <c r="F149" i="187" s="1"/>
  <c r="E150" i="187"/>
  <c r="F150" i="187" s="1"/>
  <c r="E151" i="187"/>
  <c r="F151" i="187" s="1"/>
  <c r="E152" i="187"/>
  <c r="F152" i="187" s="1"/>
  <c r="E153" i="187"/>
  <c r="F153" i="187" s="1"/>
  <c r="E154" i="187"/>
  <c r="F154" i="187" s="1"/>
  <c r="E155" i="187"/>
  <c r="F155" i="187" s="1"/>
  <c r="E156" i="187"/>
  <c r="F156" i="187" s="1"/>
  <c r="E157" i="187"/>
  <c r="F157" i="187" s="1"/>
  <c r="E158" i="187"/>
  <c r="F158" i="187" s="1"/>
  <c r="E159" i="187"/>
  <c r="F159" i="187" s="1"/>
  <c r="E160" i="187"/>
  <c r="F160" i="187" s="1"/>
  <c r="E161" i="187"/>
  <c r="F161" i="187" s="1"/>
  <c r="E162" i="187"/>
  <c r="F162" i="187" s="1"/>
  <c r="E163" i="187"/>
  <c r="F163" i="187" s="1"/>
  <c r="E164" i="187"/>
  <c r="F164" i="187" s="1"/>
  <c r="E165" i="187"/>
  <c r="F165" i="187" s="1"/>
  <c r="E166" i="187"/>
  <c r="F166" i="187" s="1"/>
  <c r="E167" i="187"/>
  <c r="F167" i="187" s="1"/>
  <c r="E168" i="187"/>
  <c r="F168" i="187" s="1"/>
  <c r="E169" i="187"/>
  <c r="F169" i="187" s="1"/>
  <c r="E170" i="187"/>
  <c r="F170" i="187" s="1"/>
  <c r="E171" i="187"/>
  <c r="F171" i="187" s="1"/>
  <c r="E172" i="187"/>
  <c r="F172" i="187" s="1"/>
  <c r="E173" i="187"/>
  <c r="F173" i="187" s="1"/>
  <c r="E174" i="187"/>
  <c r="F174" i="187" s="1"/>
  <c r="E175" i="187"/>
  <c r="F175" i="187" s="1"/>
  <c r="E176" i="187"/>
  <c r="F176" i="187" s="1"/>
  <c r="E177" i="187"/>
  <c r="F177" i="187" s="1"/>
  <c r="E178" i="187"/>
  <c r="F178" i="187" s="1"/>
  <c r="E179" i="187"/>
  <c r="F179" i="187" s="1"/>
  <c r="E180" i="187"/>
  <c r="F180" i="187" s="1"/>
  <c r="E181" i="187"/>
  <c r="F181" i="187" s="1"/>
  <c r="E182" i="187"/>
  <c r="F182" i="187" s="1"/>
  <c r="E183" i="187"/>
  <c r="F183" i="187" s="1"/>
  <c r="E184" i="187"/>
  <c r="F184" i="187"/>
  <c r="E185" i="187"/>
  <c r="F185" i="187" s="1"/>
  <c r="E186" i="187"/>
  <c r="F186" i="187" s="1"/>
  <c r="E187" i="187"/>
  <c r="F187" i="187" s="1"/>
  <c r="E188" i="187"/>
  <c r="F188" i="187" s="1"/>
  <c r="E189" i="187"/>
  <c r="F189" i="187" s="1"/>
  <c r="E190" i="187"/>
  <c r="F190" i="187" s="1"/>
  <c r="E191" i="187"/>
  <c r="F191" i="187" s="1"/>
  <c r="E192" i="187"/>
  <c r="F192" i="187" s="1"/>
  <c r="E193" i="187"/>
  <c r="F193" i="187" s="1"/>
  <c r="E194" i="187"/>
  <c r="F194" i="187" s="1"/>
  <c r="E195" i="187"/>
  <c r="F195" i="187" s="1"/>
  <c r="E196" i="187"/>
  <c r="F196" i="187" s="1"/>
  <c r="E197" i="187"/>
  <c r="F197" i="187" s="1"/>
  <c r="E198" i="187"/>
  <c r="F198" i="187" s="1"/>
  <c r="E199" i="187"/>
  <c r="F199" i="187" s="1"/>
  <c r="E200" i="187"/>
  <c r="F200" i="187" s="1"/>
  <c r="E201" i="187"/>
  <c r="F201" i="187" s="1"/>
  <c r="E202" i="187"/>
  <c r="F202" i="187" s="1"/>
  <c r="E203" i="187"/>
  <c r="F203" i="187" s="1"/>
  <c r="E204" i="187"/>
  <c r="F204" i="187" s="1"/>
  <c r="E205" i="187"/>
  <c r="F205" i="187" s="1"/>
  <c r="E206" i="187"/>
  <c r="F206" i="187" s="1"/>
  <c r="E207" i="187"/>
  <c r="F207" i="187" s="1"/>
  <c r="E208" i="187"/>
  <c r="F208" i="187" s="1"/>
  <c r="E209" i="187"/>
  <c r="F209" i="187" s="1"/>
  <c r="E210" i="187"/>
  <c r="F210" i="187" s="1"/>
  <c r="E211" i="187"/>
  <c r="F211" i="187" s="1"/>
  <c r="E212" i="187"/>
  <c r="F212" i="187" s="1"/>
  <c r="E213" i="187"/>
  <c r="F213" i="187" s="1"/>
  <c r="E214" i="187"/>
  <c r="F214" i="187" s="1"/>
  <c r="E215" i="187"/>
  <c r="F215" i="187" s="1"/>
  <c r="E216" i="187"/>
  <c r="F216" i="187" s="1"/>
  <c r="E217" i="187"/>
  <c r="F217" i="187" s="1"/>
  <c r="E218" i="187"/>
  <c r="F218" i="187" s="1"/>
  <c r="E219" i="187"/>
  <c r="F219" i="187" s="1"/>
  <c r="E220" i="187"/>
  <c r="F220" i="187" s="1"/>
  <c r="E221" i="187"/>
  <c r="F221" i="187" s="1"/>
  <c r="E222" i="187"/>
  <c r="F222" i="187" s="1"/>
  <c r="E223" i="187"/>
  <c r="F223" i="187" s="1"/>
  <c r="E224" i="187"/>
  <c r="F224" i="187" s="1"/>
  <c r="E225" i="187"/>
  <c r="F225" i="187" s="1"/>
  <c r="E226" i="187"/>
  <c r="F226" i="187" s="1"/>
  <c r="E227" i="187"/>
  <c r="F227" i="187" s="1"/>
  <c r="E228" i="187"/>
  <c r="F228" i="187" s="1"/>
  <c r="E229" i="187"/>
  <c r="F229" i="187" s="1"/>
  <c r="E230" i="187"/>
  <c r="F230" i="187" s="1"/>
  <c r="E231" i="187"/>
  <c r="F231" i="187" s="1"/>
  <c r="E232" i="187"/>
  <c r="F232" i="187" s="1"/>
  <c r="E233" i="187"/>
  <c r="F233" i="187" s="1"/>
  <c r="E234" i="187"/>
  <c r="F234" i="187" s="1"/>
  <c r="E235" i="187"/>
  <c r="F235" i="187" s="1"/>
  <c r="E236" i="187"/>
  <c r="F236" i="187" s="1"/>
  <c r="E237" i="187"/>
  <c r="F237" i="187" s="1"/>
  <c r="E238" i="187"/>
  <c r="F238" i="187" s="1"/>
  <c r="E239" i="187"/>
  <c r="F239" i="187" s="1"/>
  <c r="E240" i="187"/>
  <c r="F240" i="187" s="1"/>
  <c r="E241" i="187"/>
  <c r="F241" i="187" s="1"/>
  <c r="E242" i="187"/>
  <c r="F242" i="187" s="1"/>
  <c r="E243" i="187"/>
  <c r="F243" i="187" s="1"/>
  <c r="E244" i="187"/>
  <c r="F244" i="187" s="1"/>
  <c r="E245" i="187"/>
  <c r="F245" i="187" s="1"/>
  <c r="E246" i="187"/>
  <c r="F246" i="187" s="1"/>
  <c r="E247" i="187"/>
  <c r="F247" i="187" s="1"/>
  <c r="E248" i="187"/>
  <c r="F248" i="187" s="1"/>
  <c r="E249" i="187"/>
  <c r="F249" i="187" s="1"/>
  <c r="E250" i="187"/>
  <c r="F250" i="187" s="1"/>
  <c r="E251" i="187"/>
  <c r="F251" i="187" s="1"/>
  <c r="E252" i="187"/>
  <c r="F252" i="187" s="1"/>
  <c r="E253" i="187"/>
  <c r="F253" i="187" s="1"/>
  <c r="E254" i="187"/>
  <c r="F254" i="187" s="1"/>
  <c r="E255" i="187"/>
  <c r="F255" i="187" s="1"/>
  <c r="E256" i="187"/>
  <c r="F256" i="187" s="1"/>
  <c r="E257" i="187"/>
  <c r="F257" i="187" s="1"/>
  <c r="E258" i="187"/>
  <c r="F258" i="187" s="1"/>
  <c r="E259" i="187"/>
  <c r="F259" i="187" s="1"/>
  <c r="E260" i="187"/>
  <c r="F260" i="187" s="1"/>
  <c r="E261" i="187"/>
  <c r="F261" i="187" s="1"/>
  <c r="E262" i="187"/>
  <c r="F262" i="187" s="1"/>
  <c r="E263" i="187"/>
  <c r="F263" i="187" s="1"/>
  <c r="E264" i="187"/>
  <c r="F264" i="187" s="1"/>
  <c r="E265" i="187"/>
  <c r="F265" i="187" s="1"/>
  <c r="E266" i="187"/>
  <c r="F266" i="187" s="1"/>
  <c r="E267" i="187"/>
  <c r="F267" i="187" s="1"/>
  <c r="E268" i="187"/>
  <c r="F268" i="187" s="1"/>
  <c r="E269" i="187"/>
  <c r="F269" i="187" s="1"/>
  <c r="E270" i="187"/>
  <c r="F270" i="187" s="1"/>
  <c r="E271" i="187"/>
  <c r="F271" i="187" s="1"/>
  <c r="E272" i="187"/>
  <c r="F272" i="187" s="1"/>
  <c r="E273" i="187"/>
  <c r="F273" i="187" s="1"/>
  <c r="E274" i="187"/>
  <c r="F274" i="187" s="1"/>
  <c r="E275" i="187"/>
  <c r="F275" i="187" s="1"/>
  <c r="E276" i="187"/>
  <c r="F276" i="187" s="1"/>
  <c r="E277" i="187"/>
  <c r="F277" i="187" s="1"/>
  <c r="E278" i="187"/>
  <c r="F278" i="187" s="1"/>
  <c r="E279" i="187"/>
  <c r="F279" i="187" s="1"/>
  <c r="E280" i="187"/>
  <c r="F280" i="187" s="1"/>
  <c r="E281" i="187"/>
  <c r="F281" i="187" s="1"/>
  <c r="E282" i="187"/>
  <c r="F282" i="187" s="1"/>
  <c r="E283" i="187"/>
  <c r="F283" i="187" s="1"/>
  <c r="E284" i="187"/>
  <c r="F284" i="187" s="1"/>
  <c r="E285" i="187"/>
  <c r="F285" i="187" s="1"/>
  <c r="E286" i="187"/>
  <c r="F286" i="187" s="1"/>
  <c r="E287" i="187"/>
  <c r="F287" i="187" s="1"/>
  <c r="E288" i="187"/>
  <c r="F288" i="187" s="1"/>
  <c r="E289" i="187"/>
  <c r="F289" i="187" s="1"/>
  <c r="E290" i="187"/>
  <c r="F290" i="187" s="1"/>
  <c r="E291" i="187"/>
  <c r="F291" i="187" s="1"/>
  <c r="E292" i="187"/>
  <c r="F292" i="187" s="1"/>
  <c r="E293" i="187"/>
  <c r="F293" i="187" s="1"/>
  <c r="E294" i="187"/>
  <c r="F294" i="187" s="1"/>
  <c r="E295" i="187"/>
  <c r="F295" i="187" s="1"/>
  <c r="E296" i="187"/>
  <c r="F296" i="187" s="1"/>
  <c r="E297" i="187"/>
  <c r="F297" i="187" s="1"/>
  <c r="E298" i="187"/>
  <c r="F298" i="187" s="1"/>
  <c r="E299" i="187"/>
  <c r="F299" i="187" s="1"/>
  <c r="E300" i="187"/>
  <c r="F300" i="187" s="1"/>
  <c r="E301" i="187"/>
  <c r="F301" i="187" s="1"/>
  <c r="E302" i="187"/>
  <c r="F302" i="187" s="1"/>
  <c r="E303" i="187"/>
  <c r="F303" i="187" s="1"/>
  <c r="E304" i="187"/>
  <c r="F304" i="187" s="1"/>
  <c r="E305" i="187"/>
  <c r="F305" i="187" s="1"/>
  <c r="E306" i="187"/>
  <c r="F306" i="187" s="1"/>
  <c r="E307" i="187"/>
  <c r="F307" i="187" s="1"/>
  <c r="E308" i="187"/>
  <c r="F308" i="187" s="1"/>
  <c r="E309" i="187"/>
  <c r="F309" i="187" s="1"/>
  <c r="E310" i="187"/>
  <c r="F310" i="187" s="1"/>
  <c r="E311" i="187"/>
  <c r="F311" i="187" s="1"/>
  <c r="E312" i="187"/>
  <c r="F312" i="187" s="1"/>
  <c r="E313" i="187"/>
  <c r="F313" i="187" s="1"/>
  <c r="E314" i="187"/>
  <c r="F314" i="187" s="1"/>
  <c r="E315" i="187"/>
  <c r="F315" i="187" s="1"/>
  <c r="E316" i="187"/>
  <c r="F316" i="187" s="1"/>
  <c r="E317" i="187"/>
  <c r="F317" i="187" s="1"/>
  <c r="E318" i="187"/>
  <c r="F318" i="187" s="1"/>
  <c r="E319" i="187"/>
  <c r="F319" i="187" s="1"/>
  <c r="E320" i="187"/>
  <c r="F320" i="187" s="1"/>
  <c r="E321" i="187"/>
  <c r="F321" i="187" s="1"/>
  <c r="E322" i="187"/>
  <c r="F322" i="187" s="1"/>
  <c r="E323" i="187"/>
  <c r="F323" i="187" s="1"/>
  <c r="E324" i="187"/>
  <c r="F324" i="187" s="1"/>
  <c r="E325" i="187"/>
  <c r="F325" i="187" s="1"/>
  <c r="E326" i="187"/>
  <c r="F326" i="187" s="1"/>
  <c r="E327" i="187"/>
  <c r="F327" i="187" s="1"/>
  <c r="E328" i="187"/>
  <c r="F328" i="187" s="1"/>
  <c r="E329" i="187"/>
  <c r="F329" i="187" s="1"/>
  <c r="E330" i="187"/>
  <c r="F330" i="187" s="1"/>
  <c r="E331" i="187"/>
  <c r="F331" i="187" s="1"/>
  <c r="E332" i="187"/>
  <c r="F332" i="187" s="1"/>
  <c r="E333" i="187"/>
  <c r="F333" i="187" s="1"/>
  <c r="E334" i="187"/>
  <c r="F334" i="187" s="1"/>
  <c r="E335" i="187"/>
  <c r="F335" i="187" s="1"/>
  <c r="E336" i="187"/>
  <c r="F336" i="187" s="1"/>
  <c r="E337" i="187"/>
  <c r="F337" i="187" s="1"/>
  <c r="D338" i="187"/>
  <c r="F338" i="187" l="1"/>
  <c r="E338" i="187" s="1"/>
  <c r="H206" i="29" l="1"/>
  <c r="H205" i="29"/>
  <c r="K7" i="12"/>
  <c r="B4" i="7"/>
  <c r="K9" i="12" l="1"/>
  <c r="H5" i="12"/>
  <c r="E16" i="7"/>
  <c r="C16" i="7"/>
  <c r="F46" i="29" l="1"/>
  <c r="F49" i="29"/>
  <c r="F36" i="29"/>
  <c r="F9" i="29"/>
  <c r="D8" i="29"/>
  <c r="C8" i="29" l="1"/>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B7885" i="106" l="1"/>
  <c r="D7885" i="106" s="1"/>
  <c r="B7884" i="106"/>
  <c r="B7883" i="106"/>
  <c r="D7883" i="106" s="1"/>
  <c r="B7882" i="106"/>
  <c r="D7884" i="106"/>
  <c r="D7882" i="106"/>
  <c r="B11" i="7" l="1"/>
  <c r="D7836" i="106" l="1"/>
  <c r="J88" i="28" l="1"/>
  <c r="J85" i="28"/>
  <c r="J90" i="28" l="1"/>
  <c r="B7819" i="106"/>
  <c r="D7819" i="106" s="1"/>
  <c r="B7818" i="106"/>
  <c r="D7818" i="106" s="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24" i="171" s="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14" i="12" s="1"/>
  <c r="K23" i="12" s="1"/>
  <c r="B7800" i="106" s="1"/>
  <c r="D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3" i="127"/>
  <c r="B64" i="127"/>
  <c r="G26" i="108"/>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1744" i="106"/>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G33" i="108" l="1"/>
  <c r="E17" i="184"/>
  <c r="H17" i="184" s="1"/>
  <c r="B7705" i="106"/>
  <c r="D7705" i="106" s="1"/>
  <c r="E67" i="184"/>
  <c r="N67" i="184" s="1"/>
  <c r="F36" i="34"/>
  <c r="B7828" i="106" s="1"/>
  <c r="D7828" i="106" s="1"/>
  <c r="H342" i="29"/>
  <c r="B7189" i="106"/>
  <c r="D7189" i="106" s="1"/>
  <c r="E64" i="184"/>
  <c r="N64" i="184" s="1"/>
  <c r="H33" i="118"/>
  <c r="B7162" i="106"/>
  <c r="D7162" i="106" s="1"/>
  <c r="E61" i="184"/>
  <c r="N61" i="184" s="1"/>
  <c r="F52" i="34"/>
  <c r="B7831" i="106" s="1"/>
  <c r="D7831" i="106" s="1"/>
  <c r="B6995" i="106"/>
  <c r="D6995" i="106" s="1"/>
  <c r="G30" i="108"/>
  <c r="D36" i="108"/>
  <c r="F36" i="108"/>
  <c r="G35" i="108"/>
  <c r="D31" i="108"/>
  <c r="E16" i="184"/>
  <c r="H16" i="184" s="1"/>
  <c r="B2724" i="106"/>
  <c r="D2724" i="106" s="1"/>
  <c r="H12" i="184"/>
  <c r="B7696" i="106"/>
  <c r="D7696" i="106" s="1"/>
  <c r="E66" i="184"/>
  <c r="B7198" i="106"/>
  <c r="D7198" i="106" s="1"/>
  <c r="E65" i="184"/>
  <c r="C342" i="29"/>
  <c r="B7216" i="106" s="1"/>
  <c r="D7216" i="106" s="1"/>
  <c r="B7180" i="106"/>
  <c r="D7180" i="106" s="1"/>
  <c r="E63" i="184"/>
  <c r="B7171" i="106"/>
  <c r="D7171" i="106" s="1"/>
  <c r="E62" i="184"/>
  <c r="B7153" i="106"/>
  <c r="D7153" i="106" s="1"/>
  <c r="E60" i="184"/>
  <c r="B7135" i="106"/>
  <c r="D7135" i="106" s="1"/>
  <c r="E58" i="184"/>
  <c r="B7126" i="106"/>
  <c r="D7126" i="106" s="1"/>
  <c r="E57" i="184"/>
  <c r="B7076" i="106"/>
  <c r="D7076" i="106" s="1"/>
  <c r="C129" i="29"/>
  <c r="C352" i="29"/>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40"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2057" i="106" l="1"/>
  <c r="D2057" i="106" s="1"/>
  <c r="M17" i="3"/>
  <c r="B274" i="106" s="1"/>
  <c r="D274" i="106" s="1"/>
  <c r="B7222" i="106"/>
  <c r="D7222" i="106" s="1"/>
  <c r="F76" i="34"/>
  <c r="B7887" i="106" s="1"/>
  <c r="D7887" i="106" s="1"/>
  <c r="B2056" i="106"/>
  <c r="D2056" i="106" s="1"/>
  <c r="M16" i="3"/>
  <c r="M65" i="184"/>
  <c r="N65" i="184" s="1"/>
  <c r="M66" i="184"/>
  <c r="N66" i="184" s="1"/>
  <c r="J33" i="8"/>
  <c r="J37" i="8"/>
  <c r="J43" i="8"/>
  <c r="J34" i="8"/>
  <c r="J38" i="8"/>
  <c r="B2059" i="106"/>
  <c r="D2059" i="106" s="1"/>
  <c r="M19" i="3"/>
  <c r="B276" i="106" s="1"/>
  <c r="D276" i="106" s="1"/>
  <c r="B7220" i="106"/>
  <c r="D7220" i="106" s="1"/>
  <c r="F75" i="34"/>
  <c r="B7886" i="106" s="1"/>
  <c r="D7886" i="106" s="1"/>
  <c r="B3459" i="106"/>
  <c r="D3459" i="106" s="1"/>
  <c r="M20" i="3"/>
  <c r="B2864" i="106" s="1"/>
  <c r="D2864" i="106" s="1"/>
  <c r="N58" i="184"/>
  <c r="M58" i="184"/>
  <c r="N60" i="184"/>
  <c r="M60" i="184"/>
  <c r="N62" i="184"/>
  <c r="M62" i="184"/>
  <c r="N63" i="184"/>
  <c r="M63" i="184"/>
  <c r="J31" i="8"/>
  <c r="J35" i="8"/>
  <c r="J41" i="8"/>
  <c r="J32" i="8"/>
  <c r="J36" i="8"/>
  <c r="L114" i="29"/>
  <c r="L16" i="11"/>
  <c r="B2061" i="106" s="1"/>
  <c r="D2061" i="106" s="1"/>
  <c r="H19" i="184"/>
  <c r="L20" i="184" s="1"/>
  <c r="E19" i="184"/>
  <c r="K342" i="29"/>
  <c r="F13" i="34" s="1"/>
  <c r="N57" i="184"/>
  <c r="E68" i="184"/>
  <c r="F41" i="108"/>
  <c r="G43" i="108" s="1"/>
  <c r="B1381" i="106"/>
  <c r="D1381" i="106" s="1"/>
  <c r="B5527" i="106"/>
  <c r="D5527"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N68" i="184" l="1"/>
  <c r="J49" i="8"/>
  <c r="B273" i="106"/>
  <c r="D273" i="106" s="1"/>
  <c r="M23" i="3"/>
  <c r="M68" i="184"/>
  <c r="B1145" i="106"/>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B279" i="106"/>
  <c r="D279" i="106" s="1"/>
  <c r="D54" i="36"/>
  <c r="B4172" i="106"/>
  <c r="D4172" i="106" s="1"/>
  <c r="N22" i="3"/>
  <c r="B283" i="106" s="1"/>
  <c r="D283" i="106" s="1"/>
  <c r="J20" i="4"/>
  <c r="J78" i="4" s="1"/>
  <c r="D8" i="146"/>
  <c r="K17" i="4"/>
  <c r="B3575" i="106" s="1"/>
  <c r="D357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6230" i="106"/>
  <c r="D6230" i="106" s="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J39" i="3" s="1"/>
  <c r="B6215" i="106" s="1"/>
  <c r="D6215" i="106" s="1"/>
  <c r="B6263" i="106"/>
  <c r="D6263" i="106" s="1"/>
  <c r="D78" i="4"/>
  <c r="B6214" i="106" l="1"/>
  <c r="D6214" i="106" s="1"/>
  <c r="J41" i="3"/>
  <c r="F78" i="34"/>
  <c r="F80" i="34" s="1"/>
  <c r="B7837" i="106" s="1"/>
  <c r="D7837" i="106" s="1"/>
  <c r="B7822" i="106"/>
  <c r="B3588" i="106"/>
  <c r="D3588" i="106" s="1"/>
  <c r="K81" i="4"/>
  <c r="K38" i="3" s="1"/>
  <c r="F78" i="4"/>
  <c r="B2601" i="106"/>
  <c r="D2601" i="106" s="1"/>
  <c r="B3320" i="106"/>
  <c r="D3320" i="106" s="1"/>
  <c r="I81" i="4"/>
  <c r="I39" i="3" s="1"/>
  <c r="B2912" i="106" s="1"/>
  <c r="D2912" i="106" s="1"/>
  <c r="K17" i="118"/>
  <c r="B3300" i="106"/>
  <c r="D3300" i="106" s="1"/>
  <c r="H81" i="4"/>
  <c r="H38"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6" i="106" l="1"/>
  <c r="D3566" i="106" s="1"/>
  <c r="K41" i="3"/>
  <c r="B2911" i="106"/>
  <c r="D2911" i="106" s="1"/>
  <c r="I41" i="3"/>
  <c r="B2535" i="106"/>
  <c r="D2535" i="106" s="1"/>
  <c r="H41" i="3"/>
  <c r="D51" i="36"/>
  <c r="B6216" i="106"/>
  <c r="D6216" i="106" s="1"/>
  <c r="B123" i="106"/>
  <c r="D123" i="106" s="1"/>
  <c r="B2437" i="106"/>
  <c r="D2437" i="106" s="1"/>
  <c r="D41" i="3"/>
  <c r="F176" i="34"/>
  <c r="B7878" i="106" s="1"/>
  <c r="D7878" i="106" s="1"/>
  <c r="B7835" i="106"/>
  <c r="D7835" i="106" s="1"/>
  <c r="B3278" i="106"/>
  <c r="D3278" i="106" s="1"/>
  <c r="E81" i="4"/>
  <c r="E38" i="3" s="1"/>
  <c r="B3233" i="106"/>
  <c r="D3233" i="106" s="1"/>
  <c r="C81" i="4"/>
  <c r="A7263" i="106"/>
  <c r="D7262" i="106"/>
  <c r="B1700" i="106"/>
  <c r="D1700" i="106" s="1"/>
  <c r="H82" i="4"/>
  <c r="D62" i="36"/>
  <c r="O16" i="118"/>
  <c r="F81" i="4"/>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70" i="106" l="1"/>
  <c r="D170" i="106" s="1"/>
  <c r="F38" i="3"/>
  <c r="F41" i="3" s="1"/>
  <c r="C39" i="3"/>
  <c r="B92" i="106" s="1"/>
  <c r="D92" i="106" s="1"/>
  <c r="B3568" i="106"/>
  <c r="D3568" i="106" s="1"/>
  <c r="D52" i="36"/>
  <c r="B2913" i="106"/>
  <c r="D2913" i="106" s="1"/>
  <c r="D50" i="36"/>
  <c r="D49" i="36"/>
  <c r="B213" i="106"/>
  <c r="D213" i="106" s="1"/>
  <c r="B2435" i="106"/>
  <c r="D2435" i="106" s="1"/>
  <c r="B2504" i="106"/>
  <c r="D2504" i="106" s="1"/>
  <c r="E41" i="3"/>
  <c r="N21" i="3" s="1"/>
  <c r="B2477" i="106"/>
  <c r="D2477" i="106" s="1"/>
  <c r="G41" i="3"/>
  <c r="B124" i="106"/>
  <c r="D124" i="106" s="1"/>
  <c r="D45"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475" i="106" l="1"/>
  <c r="D2475" i="106" s="1"/>
  <c r="D75" i="36"/>
  <c r="C41" i="3"/>
  <c r="D76" i="36"/>
  <c r="B282" i="106"/>
  <c r="D282" i="106" s="1"/>
  <c r="N23" i="3"/>
  <c r="B93" i="106"/>
  <c r="D93" i="106" s="1"/>
  <c r="D44" i="36"/>
  <c r="D46" i="36"/>
  <c r="B141" i="106"/>
  <c r="D141" i="106" s="1"/>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<sst xmlns="http://schemas.openxmlformats.org/spreadsheetml/2006/main" count="6354" uniqueCount="2613">
  <si>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</si>
  <si>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</si>
  <si>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</si>
  <si>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</si>
  <si>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</si>
  <si>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</si>
  <si>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</si>
  <si>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</si>
  <si>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</si>
  <si>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</si>
  <si>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</si>
  <si>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</si>
  <si>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</si>
  <si>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</si>
  <si>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</si>
  <si>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</si>
  <si>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</si>
  <si>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</si>
  <si>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</si>
  <si>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</si>
  <si>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</si>
  <si>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</si>
  <si>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</si>
  <si>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</si>
  <si>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</si>
  <si>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</si>
  <si>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</si>
  <si>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</si>
  <si>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</si>
  <si>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</si>
  <si>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</si>
  <si>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</si>
  <si>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</si>
  <si>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</si>
  <si>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</si>
  <si>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</si>
  <si>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</si>
  <si>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</si>
  <si>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</si>
  <si>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</si>
  <si>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</si>
  <si>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</si>
  <si>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</si>
  <si>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</si>
  <si>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</si>
  <si>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</si>
  <si>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</si>
  <si>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</si>
  <si>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</si>
  <si>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</si>
  <si>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</si>
  <si>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</si>
  <si>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</si>
  <si>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</si>
  <si>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</si>
  <si>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</si>
  <si>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</si>
  <si>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</si>
  <si>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</si>
  <si>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</si>
  <si>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</si>
  <si>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</si>
  <si>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</si>
  <si>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</si>
  <si>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</si>
  <si>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</si>
  <si>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</si>
  <si>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</si>
  <si>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</si>
  <si>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</si>
  <si>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</si>
  <si>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</si>
  <si>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</si>
  <si>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</si>
  <si>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</si>
  <si>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</si>
  <si>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</si>
  <si>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</si>
  <si>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</si>
  <si>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</si>
  <si>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</si>
  <si>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</si>
  <si>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</si>
  <si>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</si>
  <si>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</si>
  <si>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</si>
  <si>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</si>
  <si>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</si>
  <si>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</si>
  <si>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</si>
  <si>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</si>
  <si>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</si>
  <si>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</si>
  <si>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</si>
  <si>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</si>
  <si>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</si>
  <si>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</si>
  <si>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</si>
  <si>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</si>
  <si>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</si>
  <si>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</si>
  <si>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</si>
  <si>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</si>
  <si>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</si>
  <si>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</si>
  <si>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</si>
  <si>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</si>
  <si>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</si>
  <si>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</si>
  <si>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</si>
  <si>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</si>
  <si>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</si>
  <si>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</si>
  <si>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</si>
  <si>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</si>
  <si>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</si>
  <si>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</si>
  <si>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</si>
  <si>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</si>
  <si>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</si>
  <si>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</si>
  <si>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</si>
  <si>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</si>
  <si>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</si>
  <si>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</si>
  <si>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</si>
  <si>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</si>
  <si>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</si>
  <si>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</si>
  <si>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</si>
  <si>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</si>
  <si>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</si>
  <si>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</si>
  <si>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</si>
  <si>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</si>
  <si>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</si>
  <si>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</si>
  <si>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</si>
  <si>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</si>
  <si>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</si>
  <si>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</si>
  <si>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</si>
  <si>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</si>
  <si>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</si>
  <si>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</si>
  <si>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</si>
  <si>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</si>
  <si>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</si>
  <si>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</si>
  <si>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</si>
  <si>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</si>
  <si>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</si>
  <si>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</si>
  <si>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</si>
  <si>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</si>
  <si>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</si>
  <si>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</si>
  <si>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</si>
  <si>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</si>
  <si>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</si>
  <si>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</si>
  <si>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</si>
  <si>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</si>
  <si>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</si>
  <si>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</si>
  <si>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</si>
  <si>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</si>
  <si>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</si>
  <si>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</si>
  <si>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</si>
  <si>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</si>
  <si>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</si>
  <si>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</si>
  <si>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</si>
  <si>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</si>
  <si>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</si>
  <si>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</si>
  <si>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</si>
  <si>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</si>
  <si>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</si>
  <si>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</si>
  <si>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</si>
  <si>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</si>
  <si>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</si>
  <si>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</si>
  <si>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</si>
  <si>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</si>
  <si>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</si>
  <si>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</si>
  <si>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</si>
  <si>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</si>
  <si>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</si>
  <si>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</si>
  <si>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</si>
  <si>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</si>
  <si>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</si>
  <si>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</si>
  <si>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</si>
  <si>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</si>
  <si>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</si>
  <si>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</si>
  <si>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</si>
  <si>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</si>
  <si>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</si>
  <si>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</si>
  <si>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</si>
  <si>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</si>
  <si>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</si>
  <si>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</si>
  <si>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</si>
  <si>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</si>
  <si>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</si>
  <si>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</si>
  <si>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</si>
  <si>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</si>
  <si>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</si>
  <si>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</si>
  <si>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</si>
  <si>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</si>
  <si>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</si>
  <si>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</si>
  <si>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</si>
  <si>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</si>
  <si>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</si>
  <si>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</si>
  <si>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</si>
  <si>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</si>
  <si>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</si>
  <si>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</si>
  <si>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</si>
  <si>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</si>
  <si>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</si>
  <si>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</si>
  <si>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</si>
  <si>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</si>
  <si>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</si>
  <si>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</si>
  <si>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</si>
  <si>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</si>
  <si>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</si>
  <si>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</si>
  <si>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</si>
  <si>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</si>
  <si>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</si>
  <si>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</si>
  <si>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</si>
  <si>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</si>
  <si>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</si>
  <si>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</si>
  <si>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</si>
  <si>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</si>
  <si>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</si>
  <si>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</si>
  <si>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</si>
  <si>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</si>
  <si>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</si>
  <si>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</si>
  <si>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</si>
  <si>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</si>
  <si>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</si>
  <si>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</si>
  <si>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</si>
  <si>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</si>
  <si>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</si>
  <si>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</si>
  <si>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</si>
  <si>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</si>
  <si>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</si>
  <si>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</si>
  <si>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</si>
  <si>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</si>
  <si>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</si>
  <si>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</si>
  <si>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</si>
  <si>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</si>
  <si>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</si>
  <si>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</si>
  <si>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</si>
  <si>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</si>
  <si>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</si>
  <si>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</si>
  <si>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</si>
  <si>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</si>
  <si>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</si>
  <si>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</si>
  <si>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</si>
  <si>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</si>
  <si>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</si>
  <si>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</si>
  <si>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</si>
  <si>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</si>
  <si>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</si>
  <si>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</si>
  <si>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</si>
  <si>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</si>
  <si>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</si>
  <si>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</si>
  <si>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</si>
  <si>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</si>
  <si>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</si>
  <si>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</si>
  <si>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</si>
  <si>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</si>
  <si>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</si>
  <si>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</si>
  <si>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</si>
  <si>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</si>
  <si>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</si>
  <si>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</si>
  <si>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</si>
  <si>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</si>
  <si>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</si>
  <si>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</si>
  <si>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</si>
  <si>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</si>
  <si>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</si>
  <si>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</si>
  <si>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</si>
  <si>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</si>
  <si>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</si>
  <si>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</si>
  <si>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</si>
  <si>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</si>
  <si>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</si>
  <si>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</si>
  <si>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</si>
  <si>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</si>
  <si>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</si>
  <si>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</si>
  <si>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</si>
  <si>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</si>
  <si>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</si>
  <si>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</si>
  <si>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</si>
  <si>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</si>
  <si>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</si>
  <si>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</si>
  <si>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</si>
  <si>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</si>
  <si>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</si>
  <si>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</si>
  <si>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</si>
  <si>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</si>
  <si>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</si>
  <si>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</si>
  <si>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</si>
  <si>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</si>
  <si>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</si>
  <si>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</si>
  <si>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</si>
  <si>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</si>
  <si>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</si>
  <si>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</si>
  <si>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</si>
  <si>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</si>
  <si>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</si>
  <si>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</si>
  <si>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</si>
  <si>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</si>
  <si>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</si>
  <si>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</si>
  <si>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</si>
  <si>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</si>
  <si>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</si>
  <si>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</si>
  <si>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</si>
  <si>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</si>
  <si>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</si>
  <si>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</si>
  <si>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</si>
  <si>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</si>
  <si>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</si>
  <si>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</si>
  <si>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</si>
  <si>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</si>
  <si>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</si>
  <si>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</si>
  <si>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</si>
  <si>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</si>
  <si>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</si>
  <si>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</si>
  <si>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</si>
  <si>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</si>
  <si>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</si>
  <si>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</si>
  <si>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</si>
  <si>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</si>
  <si>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</si>
  <si>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</si>
  <si>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</si>
  <si>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</si>
  <si>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</si>
  <si>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</si>
  <si>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</si>
  <si>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</si>
  <si>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</si>
  <si>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</si>
  <si>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</si>
  <si>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</si>
  <si>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</si>
  <si>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</si>
  <si>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</si>
  <si>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</si>
  <si>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</si>
  <si>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</si>
  <si>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</si>
  <si>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</si>
  <si>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</si>
  <si>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</si>
  <si>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</si>
  <si>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</si>
  <si>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</si>
  <si>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</si>
  <si>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</si>
  <si>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</si>
  <si>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</si>
  <si>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</si>
  <si>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</si>
  <si>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</si>
  <si>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</si>
  <si>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</si>
  <si>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</si>
  <si>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</si>
  <si>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</si>
  <si>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</si>
  <si>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</si>
  <si>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</si>
  <si>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</si>
  <si>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</si>
  <si>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</si>
  <si>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</si>
  <si>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</si>
  <si>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</si>
  <si>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</si>
  <si>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</si>
  <si>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</si>
  <si>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</si>
  <si>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</si>
  <si>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</si>
  <si>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</si>
  <si>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</si>
  <si>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</si>
  <si>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</si>
  <si>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</si>
  <si>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</si>
  <si>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</si>
  <si>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</si>
  <si>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</si>
  <si>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</si>
  <si>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</si>
  <si>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</si>
  <si>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</si>
  <si>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</si>
  <si>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</si>
  <si>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</si>
  <si>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</si>
  <si>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</si>
  <si>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</si>
  <si>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</si>
  <si>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</si>
  <si>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</si>
  <si>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</si>
  <si>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</si>
  <si>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</si>
  <si>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</si>
  <si>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</si>
  <si>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</si>
  <si>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</si>
  <si>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</si>
  <si>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</si>
  <si>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</si>
  <si>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</si>
  <si>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</si>
  <si>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</si>
  <si>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</si>
  <si>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</si>
  <si>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</si>
  <si>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</si>
  <si>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</si>
  <si>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</si>
  <si>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</si>
  <si>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</si>
  <si>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</si>
  <si>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</si>
  <si>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</si>
  <si>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</si>
  <si>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</si>
  <si>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</si>
  <si>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</si>
  <si>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</si>
  <si>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</si>
  <si>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</si>
  <si>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</si>
  <si>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</si>
  <si>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</si>
  <si>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</si>
  <si>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</si>
  <si>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</si>
  <si>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</si>
  <si>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</si>
  <si>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</si>
  <si>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</si>
  <si>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</si>
  <si>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</si>
  <si>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</si>
  <si>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</si>
  <si>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</si>
  <si>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</si>
  <si>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</si>
  <si>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</si>
  <si>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</si>
  <si>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</si>
  <si>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</si>
  <si>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</si>
  <si>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</si>
  <si>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</si>
  <si>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</si>
  <si>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</si>
  <si>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</si>
  <si>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</si>
  <si>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</si>
  <si>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</si>
  <si>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</si>
  <si>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</si>
  <si>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</si>
  <si>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</si>
  <si>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</si>
  <si>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</si>
  <si>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</si>
  <si>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</si>
  <si>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</si>
  <si>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</si>
  <si>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</si>
  <si>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</si>
  <si>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</si>
  <si>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</si>
  <si>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</si>
  <si>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</si>
  <si>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</si>
  <si>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</si>
  <si>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</si>
  <si>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</si>
  <si>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</si>
  <si>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</si>
  <si>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</si>
  <si>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</si>
  <si>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</si>
  <si>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</si>
  <si>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</si>
  <si>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</si>
  <si>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</si>
  <si>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</si>
  <si>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</si>
  <si>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</si>
  <si>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</si>
  <si>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</si>
  <si>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</si>
  <si>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</si>
  <si>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</si>
  <si>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</si>
  <si>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</si>
  <si>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</si>
  <si>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</si>
  <si>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</si>
  <si>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</si>
  <si>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</si>
  <si>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</si>
  <si>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</si>
  <si>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</si>
  <si>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</si>
  <si>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</si>
  <si>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</si>
  <si>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</si>
  <si>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</si>
  <si>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</si>
  <si>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</si>
  <si>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</si>
  <si>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</si>
  <si>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</si>
  <si>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</si>
  <si>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</si>
  <si>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</si>
  <si>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</si>
  <si>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</si>
  <si>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</si>
  <si>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</si>
  <si>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</si>
  <si>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</si>
  <si>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</si>
  <si>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</si>
  <si>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</si>
  <si>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</si>
  <si>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</si>
  <si>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</si>
  <si>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</si>
  <si>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</si>
  <si>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</si>
  <si>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</si>
  <si>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</si>
  <si>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</si>
  <si>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</si>
  <si>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</si>
  <si>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</si>
  <si>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</si>
  <si>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</si>
  <si>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</si>
  <si>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</si>
  <si>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</si>
  <si>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</si>
  <si>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</si>
  <si>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</si>
  <si>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</si>
  <si>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</si>
  <si>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</si>
  <si>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</si>
  <si>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</si>
  <si>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</si>
  <si>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</si>
  <si>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</si>
  <si>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</si>
  <si>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</si>
  <si>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</si>
  <si>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</si>
  <si>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</si>
  <si>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</si>
  <si>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</si>
  <si>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</si>
  <si>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</si>
  <si>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</si>
  <si>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</si>
  <si>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</si>
  <si>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</si>
  <si>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</si>
  <si>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</si>
  <si>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</si>
  <si>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</si>
  <si>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</si>
  <si>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</si>
  <si>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</si>
  <si>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</si>
  <si>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</si>
  <si>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</si>
  <si>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</si>
  <si>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</si>
  <si>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</si>
  <si>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</si>
  <si>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</si>
  <si>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</si>
  <si>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</si>
  <si>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</si>
  <si>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</si>
  <si>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</si>
  <si>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</si>
  <si>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</si>
  <si>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</si>
  <si>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</si>
  <si>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</si>
  <si>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</si>
  <si>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</si>
  <si>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</si>
  <si>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</si>
  <si>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</si>
  <si>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</si>
  <si>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</si>
  <si>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</si>
  <si>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</si>
  <si>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</si>
  <si>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</si>
  <si>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</si>
  <si>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</si>
  <si>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</si>
  <si>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</si>
  <si>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</si>
  <si>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</si>
  <si>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</si>
  <si>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</si>
  <si>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</si>
  <si>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</si>
  <si>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</si>
  <si>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</si>
  <si>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</si>
  <si>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</si>
  <si>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</si>
  <si>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</si>
  <si>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</si>
  <si>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</si>
  <si>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</si>
  <si>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</si>
  <si>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</si>
  <si>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</si>
  <si>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</si>
  <si>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</si>
  <si>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</si>
  <si>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</si>
  <si>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</si>
  <si>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</si>
  <si>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</si>
  <si>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</si>
  <si>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</si>
  <si>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</si>
  <si>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</si>
  <si>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</si>
  <si>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</si>
  <si>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</si>
  <si>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</si>
  <si>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</si>
  <si>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</si>
  <si>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</si>
  <si>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</si>
  <si>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</si>
  <si>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</si>
  <si>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</si>
  <si>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</si>
  <si>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</si>
  <si>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</si>
  <si>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</si>
  <si>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</si>
  <si>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</si>
  <si>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</si>
  <si>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</si>
  <si>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</si>
  <si>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</si>
  <si>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</si>
  <si>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</si>
  <si>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</si>
  <si>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</si>
  <si>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</si>
  <si>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</si>
  <si>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</si>
  <si>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</si>
  <si>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</si>
  <si>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</si>
  <si>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</si>
  <si>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</si>
  <si>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</si>
  <si>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</si>
  <si>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</si>
  <si>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</si>
  <si>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</si>
  <si>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</si>
  <si>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</si>
  <si>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</si>
  <si>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</si>
  <si>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</si>
  <si>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</si>
  <si>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</si>
  <si>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</si>
  <si>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</si>
  <si>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</si>
  <si>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</si>
  <si>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</si>
  <si>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</si>
  <si>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</si>
  <si>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</si>
  <si>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</si>
  <si>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</si>
  <si>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</si>
  <si>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</si>
  <si>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</si>
  <si>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</si>
  <si>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</si>
  <si>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</si>
  <si>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</si>
  <si>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</si>
  <si>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</si>
  <si>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</si>
  <si>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</si>
  <si>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</si>
  <si>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</si>
  <si>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</si>
  <si>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</si>
  <si>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</si>
  <si>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</si>
  <si>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</si>
  <si>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</si>
  <si>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</si>
  <si>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</si>
  <si>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</si>
  <si>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</si>
  <si>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</si>
  <si>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</si>
  <si>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</si>
  <si>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</si>
  <si>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</si>
  <si>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</si>
  <si>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</si>
  <si>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</si>
  <si>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</si>
  <si>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</si>
  <si>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</si>
  <si>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</si>
  <si>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</si>
  <si>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</si>
  <si>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</si>
  <si>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</si>
  <si>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</si>
  <si>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</si>
  <si>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</si>
  <si>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</si>
  <si>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</si>
  <si>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</si>
  <si>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</si>
  <si>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</si>
  <si>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</si>
  <si>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</si>
  <si>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</si>
  <si>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</si>
  <si>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</si>
  <si>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</si>
  <si>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</si>
  <si>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</si>
  <si>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</si>
  <si>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</si>
  <si>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</si>
  <si>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</si>
  <si>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</si>
  <si>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</si>
  <si>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</si>
  <si>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</si>
  <si>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</si>
  <si>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</si>
  <si>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</si>
  <si>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</si>
  <si>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</si>
  <si>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</si>
  <si>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</si>
  <si>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</si>
  <si>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</si>
  <si>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</si>
  <si>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</si>
  <si>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</si>
  <si>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</si>
  <si>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</si>
  <si>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</si>
  <si>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</si>
  <si>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</si>
  <si>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</si>
  <si>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</si>
  <si>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</si>
  <si>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</si>
  <si>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</si>
  <si>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</si>
  <si>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</si>
  <si>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</si>
  <si>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</si>
  <si>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</si>
  <si>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</si>
  <si>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</si>
  <si>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</si>
  <si>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</si>
  <si>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</si>
  <si>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</si>
  <si>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</si>
  <si>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</si>
  <si>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</si>
  <si>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</si>
  <si>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</si>
  <si>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</si>
  <si>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</si>
  <si>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</si>
  <si>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</si>
  <si>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</si>
  <si>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</si>
  <si>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</si>
  <si>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</si>
  <si>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</si>
  <si>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</si>
  <si>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</si>
  <si>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</si>
  <si>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</si>
  <si>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</si>
  <si>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</si>
  <si>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</si>
  <si>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</si>
  <si>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</si>
  <si>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</si>
  <si>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</si>
  <si>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</si>
  <si>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</si>
  <si>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</si>
  <si>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</si>
  <si>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</si>
  <si>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</si>
  <si>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</si>
  <si>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</si>
  <si>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</si>
  <si>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</si>
  <si>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</si>
  <si>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</si>
  <si>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</si>
  <si>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</si>
  <si>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</si>
  <si>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</si>
  <si>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</si>
  <si>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</si>
  <si>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</si>
  <si>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</si>
  <si>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</si>
  <si>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</si>
  <si>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</si>
  <si>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</si>
  <si>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</si>
  <si>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</si>
  <si>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</si>
  <si>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</si>
  <si>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</si>
  <si>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</si>
  <si>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</si>
  <si>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</si>
  <si>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</si>
  <si>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</si>
  <si>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</si>
  <si>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</si>
  <si>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</si>
  <si>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</si>
  <si>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</si>
  <si>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</si>
  <si>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</si>
  <si>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</si>
  <si>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</si>
  <si>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</si>
  <si>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</si>
  <si>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</si>
  <si>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</si>
  <si>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</si>
  <si>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</si>
  <si>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</si>
  <si>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</si>
  <si>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</si>
  <si>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</si>
  <si>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</si>
  <si>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</si>
  <si>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</si>
  <si>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</si>
  <si>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</si>
  <si>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</si>
  <si>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</si>
  <si>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</si>
  <si>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</si>
  <si>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</si>
  <si>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</si>
  <si>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</si>
  <si>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</si>
  <si>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</si>
  <si>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</si>
  <si>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</si>
  <si>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</si>
  <si>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</si>
  <si>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</si>
  <si>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</si>
  <si>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</si>
  <si>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</si>
  <si>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</si>
  <si>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</si>
  <si>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</si>
  <si>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</si>
  <si>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</si>
  <si>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</si>
  <si>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</si>
  <si>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</si>
  <si>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</si>
  <si>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</si>
  <si>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</si>
  <si>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</si>
  <si>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</si>
  <si>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</si>
  <si>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</si>
  <si>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</si>
  <si>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</si>
  <si>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</si>
  <si>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</si>
  <si>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</si>
  <si>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</si>
  <si>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</si>
  <si>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</si>
  <si>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</si>
  <si>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</si>
  <si>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</si>
  <si>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</si>
  <si>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</si>
  <si>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</si>
  <si>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</si>
  <si>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</si>
  <si>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</si>
  <si>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</si>
  <si>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</si>
  <si>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</si>
  <si>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</si>
  <si>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</si>
  <si>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</si>
  <si>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</si>
  <si>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</si>
  <si>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</si>
  <si>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</si>
  <si>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</si>
  <si>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</si>
  <si>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</si>
  <si>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</si>
  <si>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</si>
  <si>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</si>
  <si>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</si>
  <si>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</si>
  <si>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</si>
  <si>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</si>
  <si>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</si>
  <si>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</si>
  <si>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</si>
  <si>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</si>
  <si>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</si>
  <si>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</si>
  <si>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</si>
  <si>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</si>
  <si>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</si>
  <si>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</si>
  <si>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</si>
  <si>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</si>
  <si>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</si>
  <si>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</si>
  <si>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</si>
  <si>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</si>
  <si>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</si>
  <si>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</si>
  <si>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</si>
  <si>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</si>
  <si>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</si>
  <si>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</si>
  <si>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</si>
  <si>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</si>
  <si>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</si>
  <si>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</si>
  <si>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</si>
  <si>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</si>
  <si>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</si>
  <si>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</si>
  <si>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</si>
  <si>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</si>
  <si>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</si>
  <si>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</si>
  <si>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</si>
  <si>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</si>
  <si>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</si>
  <si>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</si>
  <si>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</si>
  <si>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</si>
  <si>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</si>
  <si>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</si>
  <si>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</si>
  <si>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</si>
  <si>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</si>
  <si>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</si>
  <si>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</si>
  <si>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</si>
  <si>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</si>
  <si>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</si>
  <si>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</si>
  <si>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</si>
  <si>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</si>
  <si>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</si>
  <si>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</si>
  <si>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</si>
  <si>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</si>
  <si>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</si>
  <si>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</si>
  <si>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</si>
  <si>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</si>
  <si>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</si>
  <si>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</si>
  <si>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</si>
  <si>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</si>
  <si>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</si>
  <si>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</si>
  <si>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</si>
  <si>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</si>
  <si>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</si>
  <si>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</si>
  <si>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</si>
  <si>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</si>
  <si>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</si>
  <si>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</si>
  <si>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</si>
  <si>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</si>
  <si>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</si>
  <si>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</si>
  <si>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</si>
  <si>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</si>
  <si>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</si>
  <si>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</si>
  <si>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</si>
  <si>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</si>
  <si>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</si>
  <si>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</si>
  <si>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</si>
  <si>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</si>
  <si>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</si>
  <si>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</si>
  <si>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</si>
  <si>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</si>
  <si>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</si>
  <si>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</si>
  <si>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</si>
  <si>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</si>
  <si>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</si>
  <si>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</si>
  <si>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</si>
  <si>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</si>
  <si>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</si>
  <si>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</si>
  <si>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</si>
  <si>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</si>
  <si>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</si>
  <si>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</si>
  <si>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</si>
  <si>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</si>
  <si>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</si>
  <si>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</si>
  <si>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</si>
  <si>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</si>
  <si>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</si>
  <si>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</si>
  <si>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</si>
  <si>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</si>
  <si>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</si>
  <si>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</si>
  <si>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</si>
  <si>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</si>
  <si>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</si>
  <si>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</si>
  <si>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</si>
  <si>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</si>
  <si>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</si>
  <si>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</si>
  <si>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</si>
  <si>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</si>
  <si>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</si>
  <si>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</si>
  <si>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</si>
  <si>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</si>
  <si>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</si>
  <si>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</si>
  <si>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</si>
  <si>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</si>
  <si>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</si>
  <si>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</si>
  <si>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</si>
  <si>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</si>
  <si>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</si>
  <si>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</si>
  <si>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</si>
  <si>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</si>
  <si>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</si>
  <si>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</si>
  <si>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</si>
  <si>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</si>
  <si>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</si>
  <si>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</si>
  <si>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</si>
  <si>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</si>
  <si>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</si>
  <si>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</si>
  <si>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</si>
  <si>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</si>
  <si>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</si>
  <si>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</si>
  <si>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</si>
  <si>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</si>
  <si>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</si>
  <si>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</si>
  <si>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</si>
  <si>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</si>
  <si>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</si>
  <si>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</si>
  <si>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</si>
  <si>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</si>
  <si>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</si>
  <si>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</si>
  <si>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</si>
  <si>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</si>
  <si>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</si>
  <si>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</si>
  <si>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</si>
  <si>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</si>
  <si>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</si>
  <si>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</si>
  <si>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</si>
  <si>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</si>
  <si>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</si>
  <si>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</si>
  <si>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</si>
  <si>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</si>
  <si>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</si>
  <si>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</si>
  <si>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</si>
  <si>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</si>
  <si>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</si>
  <si>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</si>
  <si>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</si>
  <si>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</si>
  <si>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</si>
  <si>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</si>
  <si>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</si>
  <si>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</si>
  <si>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</si>
  <si>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</si>
  <si>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</si>
  <si>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</si>
  <si>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</si>
  <si>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</si>
  <si>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</si>
  <si>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</si>
  <si>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</si>
  <si>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</si>
  <si>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</si>
  <si>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</si>
  <si>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</si>
  <si>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</si>
  <si>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</si>
  <si>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</si>
  <si>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</si>
  <si>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</si>
  <si>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</si>
  <si>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</si>
  <si>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</si>
  <si>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</si>
  <si>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</si>
  <si>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</si>
  <si>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</si>
  <si>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</si>
  <si>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</si>
  <si>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</si>
  <si>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</si>
  <si>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</si>
  <si>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</si>
  <si>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</si>
  <si>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</si>
  <si>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</si>
  <si>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</si>
  <si>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</si>
  <si>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</si>
  <si>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</si>
  <si>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</si>
  <si>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</si>
  <si>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</si>
  <si>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</si>
  <si>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</si>
  <si>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</si>
  <si>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</si>
  <si>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</si>
  <si>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</si>
  <si>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</si>
  <si>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</si>
  <si>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</si>
  <si>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</si>
  <si>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</si>
  <si>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</si>
  <si>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</si>
  <si>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</si>
  <si>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</si>
  <si>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</si>
  <si>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</si>
  <si>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</si>
  <si>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</si>
  <si>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</si>
  <si>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</si>
  <si>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</si>
  <si>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</si>
  <si>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</si>
  <si>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</si>
  <si>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</si>
  <si>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</si>
  <si>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</si>
  <si>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</si>
  <si>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</si>
  <si>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</si>
  <si>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</si>
  <si>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</si>
  <si>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</si>
  <si>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</si>
  <si>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</si>
  <si>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</si>
  <si>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</si>
  <si>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</si>
  <si>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</si>
  <si>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</si>
  <si>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</si>
  <si>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</si>
  <si>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</si>
  <si>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</si>
  <si>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</si>
  <si>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</si>
  <si>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</si>
  <si>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</si>
  <si>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</si>
  <si>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</si>
  <si>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</si>
  <si>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</si>
  <si>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</si>
  <si>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</si>
  <si>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</si>
  <si>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</si>
  <si>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</si>
  <si>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</si>
  <si>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</si>
  <si>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</si>
  <si>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</si>
  <si>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</si>
  <si>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</si>
  <si>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</si>
  <si>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</si>
  <si>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</si>
  <si>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</si>
  <si>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</si>
  <si>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</si>
  <si>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</si>
  <si>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</si>
  <si>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</si>
  <si>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</si>
  <si>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</si>
  <si>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</si>
  <si>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</si>
  <si>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</si>
  <si>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</si>
  <si>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</si>
  <si>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</si>
  <si>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</si>
  <si>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</si>
  <si>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</si>
  <si>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</si>
  <si>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</si>
  <si>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</si>
  <si>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</si>
  <si>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</si>
  <si>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</si>
  <si>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</si>
  <si>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</si>
  <si>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</si>
  <si>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</si>
  <si>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</si>
  <si>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</si>
  <si>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</si>
  <si>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</si>
  <si>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</si>
  <si>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</si>
  <si>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</si>
  <si>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</si>
  <si>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</si>
  <si>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</si>
  <si>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</si>
  <si>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</si>
  <si>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</si>
  <si>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</si>
  <si>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</si>
  <si>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</si>
  <si>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</si>
  <si>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</si>
  <si>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</si>
  <si>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</si>
  <si>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</si>
  <si>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</si>
  <si>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</si>
  <si>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</si>
  <si>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</si>
  <si>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</si>
  <si>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</si>
  <si>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</si>
  <si>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</si>
  <si>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</si>
  <si>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</si>
  <si>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</si>
  <si>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</si>
  <si>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</si>
  <si>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</si>
  <si>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</si>
  <si>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</si>
  <si>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</si>
  <si>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</si>
  <si>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</si>
  <si>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</si>
  <si>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</si>
  <si>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</si>
  <si>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</si>
  <si>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</si>
  <si>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</si>
  <si>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</si>
  <si>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</si>
  <si>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</si>
  <si>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</si>
  <si>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</si>
  <si>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</si>
  <si>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</si>
  <si>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</si>
  <si>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</si>
  <si>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</si>
  <si>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</si>
  <si>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</si>
  <si>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</si>
  <si>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</si>
  <si>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</si>
  <si>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</si>
  <si>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</si>
  <si>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</si>
  <si>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</si>
  <si>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</si>
  <si>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</si>
  <si>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</si>
  <si>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</si>
  <si>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</si>
  <si>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</si>
  <si>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</si>
  <si>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</si>
  <si>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</si>
  <si>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</si>
  <si>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</si>
  <si>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</si>
  <si>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</si>
  <si>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</si>
  <si>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</si>
  <si>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</si>
  <si>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</si>
  <si>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</si>
  <si>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</si>
  <si>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</si>
  <si>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</si>
  <si>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</si>
  <si>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</si>
  <si>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</si>
  <si>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</si>
  <si>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</si>
  <si>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</si>
  <si>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</si>
  <si>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</si>
  <si>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</si>
  <si>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</si>
  <si>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</si>
  <si>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</si>
  <si>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</si>
  <si>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</si>
  <si>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</si>
  <si>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</si>
  <si>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</si>
  <si>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</si>
  <si>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</si>
  <si>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</si>
  <si>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</si>
  <si>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</si>
  <si>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</si>
  <si>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</si>
  <si>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</si>
  <si>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</si>
  <si>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</si>
  <si>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</si>
  <si>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</si>
  <si>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</si>
  <si>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</si>
  <si>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</si>
  <si>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</si>
  <si>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</si>
  <si>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</si>
  <si>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</si>
  <si>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</si>
  <si>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</si>
  <si>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</si>
  <si>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</si>
  <si>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</si>
  <si>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</si>
  <si>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</si>
  <si>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</si>
  <si>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</si>
  <si>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</si>
  <si>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</si>
  <si>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</si>
  <si>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</si>
  <si>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</si>
  <si>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</si>
  <si>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</si>
  <si>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</si>
  <si>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</si>
  <si>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</si>
  <si>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</si>
  <si>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</si>
  <si>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</si>
  <si>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</si>
  <si>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</si>
  <si>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</si>
  <si>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</si>
  <si>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</si>
  <si>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</si>
  <si>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</si>
  <si>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</si>
  <si>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</si>
  <si>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</si>
  <si>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</si>
  <si>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</si>
  <si>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</si>
  <si>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</si>
  <si>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</si>
  <si>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</si>
  <si>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</si>
  <si>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</si>
  <si>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</si>
  <si>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</si>
  <si>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</si>
  <si>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</si>
  <si>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</si>
  <si>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</si>
  <si>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</si>
  <si>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</si>
  <si>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</si>
  <si>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</si>
  <si>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</si>
  <si>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</si>
  <si>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</si>
  <si>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</si>
  <si>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</si>
  <si>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</si>
  <si>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</si>
  <si>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</si>
  <si>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</si>
  <si>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</si>
  <si>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</si>
  <si>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</si>
  <si>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</si>
  <si>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</si>
  <si>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</si>
  <si>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</si>
  <si>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</si>
  <si>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</si>
  <si>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</si>
  <si>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</si>
  <si>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</si>
  <si>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</si>
  <si>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</si>
  <si>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</si>
  <si>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</si>
  <si>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</si>
  <si>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</si>
  <si>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</si>
  <si>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</si>
  <si>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</si>
  <si>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</si>
  <si>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</si>
  <si>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</si>
  <si>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</si>
  <si>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</si>
  <si>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</si>
  <si>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</si>
  <si>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</si>
  <si>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</si>
  <si>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</si>
  <si>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</si>
  <si>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</si>
  <si>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</si>
  <si>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</si>
  <si>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</si>
  <si>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</si>
  <si>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</si>
  <si>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</si>
  <si>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</si>
  <si>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</si>
  <si>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</si>
  <si>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</si>
  <si>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</si>
  <si>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</si>
  <si>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</si>
  <si>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</si>
  <si>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</si>
  <si>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</si>
  <si>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</si>
  <si>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</si>
  <si>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</si>
  <si>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</si>
  <si>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</si>
  <si>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</si>
  <si>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</si>
  <si>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</si>
  <si>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</si>
  <si>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</si>
  <si>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</si>
  <si>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</si>
  <si>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</si>
  <si>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</si>
  <si>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</si>
  <si>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</si>
  <si>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</si>
  <si>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</si>
  <si>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</si>
  <si>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</si>
  <si>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</si>
  <si>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</si>
  <si>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</si>
  <si>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</si>
  <si>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</si>
  <si>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</si>
  <si>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</si>
  <si>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</si>
  <si>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</si>
  <si>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</si>
  <si>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</si>
  <si>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</si>
  <si>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</si>
  <si>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</si>
  <si>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</si>
  <si>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</si>
  <si>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</si>
  <si>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</si>
  <si>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</si>
  <si>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</si>
  <si>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</si>
  <si>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</si>
  <si>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</si>
  <si>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</si>
  <si>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</si>
  <si>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</si>
  <si>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</si>
  <si>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</si>
  <si>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</si>
  <si>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</si>
  <si>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</si>
  <si>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</si>
  <si>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</si>
  <si>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</si>
  <si>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</si>
  <si>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</si>
  <si>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</si>
  <si>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</si>
  <si>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</si>
  <si>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</si>
  <si>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</si>
  <si>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</si>
  <si>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</si>
  <si>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</si>
  <si>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</si>
  <si>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</si>
  <si>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</si>
  <si>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</si>
  <si>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</si>
  <si>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</si>
  <si>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</si>
  <si>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</si>
  <si>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</si>
  <si>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</si>
  <si>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</si>
  <si>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</si>
  <si>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</si>
  <si>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</si>
  <si>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</si>
  <si>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</si>
  <si>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</si>
  <si>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</si>
  <si>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</si>
  <si>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</si>
  <si>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</si>
  <si>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</si>
  <si>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</si>
  <si>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</si>
  <si>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</si>
  <si>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</si>
  <si>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</si>
  <si>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</si>
  <si>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</si>
  <si>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</si>
  <si>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</si>
  <si>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</si>
  <si>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</si>
  <si>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</si>
  <si>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</si>
  <si>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</si>
  <si>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</si>
  <si>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</si>
  <si>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</si>
  <si>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</si>
  <si>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</si>
  <si>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</si>
  <si>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</si>
  <si>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</si>
  <si>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</si>
  <si>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</si>
  <si>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</si>
  <si>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</si>
  <si>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</si>
  <si>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</si>
  <si>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</si>
  <si>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</si>
  <si>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</si>
  <si>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</si>
  <si>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</si>
  <si>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</si>
  <si>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</si>
  <si>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</si>
  <si>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</si>
  <si>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</si>
  <si>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</si>
  <si>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</si>
  <si>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</si>
  <si>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</si>
  <si>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</si>
  <si>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</si>
  <si>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</si>
  <si>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</si>
  <si>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</si>
  <si>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</si>
  <si>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</si>
  <si>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</si>
  <si>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</si>
  <si>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</si>
  <si>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</si>
  <si>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</si>
  <si>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</si>
  <si>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</si>
  <si>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</si>
  <si>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</si>
  <si>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</si>
  <si>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</si>
  <si>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</si>
  <si>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</si>
  <si>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</si>
  <si>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</si>
  <si>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</si>
  <si>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</si>
  <si>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</si>
  <si>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</si>
  <si>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</si>
  <si>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</si>
  <si>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</si>
  <si>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</si>
  <si>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</si>
  <si>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</si>
  <si>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</si>
  <si>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</si>
  <si>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</si>
  <si>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</si>
  <si>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</si>
  <si>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</si>
  <si>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</si>
  <si>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</si>
  <si>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</si>
  <si>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</si>
  <si>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</si>
  <si>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</si>
  <si>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</si>
  <si>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</si>
  <si>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</si>
  <si>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</si>
  <si>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</si>
  <si>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</si>
  <si>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</si>
  <si>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</si>
  <si>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</si>
  <si>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</si>
  <si>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</si>
  <si>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</si>
  <si>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</si>
  <si>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</si>
  <si>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</si>
  <si>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</si>
  <si>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</si>
  <si>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</si>
  <si>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</si>
  <si>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</si>
  <si>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</si>
  <si>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</si>
  <si>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</si>
  <si>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</si>
  <si>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</si>
  <si>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</si>
  <si>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</si>
  <si>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</si>
  <si>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</si>
  <si>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</si>
  <si>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</si>
  <si>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</si>
  <si>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</si>
  <si>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</si>
  <si>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</si>
  <si>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</si>
  <si>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</si>
  <si>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</si>
  <si>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</si>
  <si>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</si>
  <si>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</si>
  <si>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</si>
  <si>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</si>
  <si>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</si>
  <si>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</si>
  <si>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</si>
  <si>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</si>
  <si>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</si>
  <si>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</si>
  <si>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</si>
  <si>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</si>
  <si>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</si>
  <si>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</si>
  <si>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</si>
  <si>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</si>
  <si>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</si>
  <si>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</si>
  <si>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</si>
  <si>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</si>
  <si>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</si>
  <si>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</si>
  <si>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</si>
  <si>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</si>
  <si>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</si>
  <si>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</si>
  <si>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</si>
  <si>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</si>
  <si>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</si>
  <si>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</si>
  <si>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</si>
  <si>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</si>
  <si>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</si>
  <si>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</si>
  <si>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</si>
  <si>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</si>
  <si>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</si>
  <si>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</si>
  <si>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</si>
  <si>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</si>
  <si>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</si>
  <si>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</si>
  <si>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</si>
  <si>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</si>
  <si>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</si>
  <si>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</si>
  <si>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</si>
  <si>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</si>
  <si>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</si>
  <si>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</si>
  <si>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</si>
  <si>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</si>
  <si>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</si>
  <si>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</si>
  <si>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</si>
  <si>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</si>
  <si>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</si>
  <si>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</si>
  <si>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</si>
  <si>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</si>
  <si>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</si>
  <si>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</si>
  <si>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</si>
  <si>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</si>
  <si>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</si>
  <si>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</si>
  <si>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</si>
  <si>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</si>
  <si>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</si>
  <si>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</si>
  <si>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</si>
  <si>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</si>
  <si>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</si>
  <si>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</si>
  <si>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</si>
  <si>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</si>
  <si>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</si>
  <si>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</si>
  <si>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</si>
  <si>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</si>
  <si>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</si>
  <si>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</si>
  <si>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</si>
  <si>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</si>
  <si>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</si>
  <si>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</si>
  <si>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</si>
  <si>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</si>
  <si>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</si>
  <si>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</si>
  <si>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</si>
  <si>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</si>
  <si>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</si>
  <si>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</si>
  <si>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</si>
  <si>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</si>
  <si>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</si>
  <si>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</si>
  <si>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</si>
  <si>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</si>
  <si>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</si>
  <si>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</si>
  <si>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</si>
  <si>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</si>
  <si>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</si>
  <si>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</si>
  <si>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</si>
  <si>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</si>
  <si>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</si>
  <si>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</si>
  <si>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</si>
  <si>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</si>
  <si>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</si>
  <si>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</si>
  <si>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</si>
  <si>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</si>
  <si>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</si>
  <si>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</si>
  <si>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</si>
  <si>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</si>
  <si>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</si>
  <si>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</si>
  <si>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</si>
  <si>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</si>
  <si>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</si>
  <si>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</si>
  <si>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</si>
  <si>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</si>
  <si>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</si>
  <si>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</si>
  <si>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</si>
  <si>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</si>
  <si>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</si>
  <si>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</si>
  <si>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</si>
  <si>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</si>
  <si>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</si>
  <si>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</si>
  <si>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</si>
  <si>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</si>
  <si>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</si>
  <si>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</si>
  <si>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</si>
  <si>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</si>
  <si>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</si>
  <si>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</si>
  <si>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</si>
  <si>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</si>
  <si>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</si>
  <si>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</si>
  <si>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</si>
  <si>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</si>
  <si>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</si>
  <si>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</si>
  <si>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</si>
  <si>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</si>
  <si>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</si>
  <si>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</si>
  <si>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</si>
  <si>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</si>
  <si>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</si>
  <si>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</si>
  <si>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</si>
  <si>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</si>
  <si>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</si>
  <si>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</si>
  <si>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</si>
  <si>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</si>
  <si>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</si>
  <si>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</si>
  <si>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</si>
  <si>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</si>
  <si>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</si>
  <si>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</si>
  <si>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</si>
  <si>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</si>
  <si>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</si>
  <si>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</si>
  <si>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</si>
  <si>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</si>
  <si>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</si>
  <si>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</si>
  <si>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</si>
  <si>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</si>
  <si>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</si>
  <si>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</si>
  <si>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</si>
  <si>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</si>
  <si>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</si>
  <si>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</si>
  <si>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</si>
  <si>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</si>
  <si>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</si>
  <si>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</si>
  <si>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</si>
  <si>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</si>
  <si>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</si>
  <si>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</si>
  <si>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</si>
  <si>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</si>
  <si>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</si>
  <si>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</si>
  <si>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</si>
  <si>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</si>
  <si>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</si>
  <si>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</si>
  <si>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</si>
  <si>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</si>
  <si>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</si>
  <si>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</si>
  <si>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</si>
  <si>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</si>
  <si>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</si>
  <si>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</si>
  <si>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</si>
  <si>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</si>
  <si>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</si>
  <si>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</si>
  <si>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</si>
  <si>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</si>
  <si>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</si>
  <si>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</si>
  <si>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</si>
  <si>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</si>
  <si>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</si>
  <si>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</si>
  <si>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</si>
  <si>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</si>
  <si>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</si>
  <si>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</si>
  <si>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</si>
  <si>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</si>
  <si>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</si>
  <si>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</si>
  <si>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</si>
  <si>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</si>
  <si>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</si>
  <si>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</si>
  <si>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</si>
  <si>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</si>
  <si>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</si>
  <si>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</si>
  <si>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</si>
  <si>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</si>
  <si>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</si>
  <si>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</si>
  <si>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</si>
  <si>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</si>
  <si>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</si>
  <si>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</si>
  <si>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</si>
  <si>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</si>
  <si>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</si>
  <si>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</si>
  <si>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</si>
  <si>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</si>
  <si>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</si>
  <si>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</si>
  <si>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</si>
  <si>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</si>
  <si>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</si>
  <si>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</si>
  <si>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</si>
  <si>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</si>
  <si>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</si>
  <si>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</si>
  <si>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</si>
  <si>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</si>
  <si>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</si>
  <si>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</si>
  <si>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</si>
  <si>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Kane</t>
  </si>
  <si>
    <t>355 E. Chicago Street</t>
  </si>
  <si>
    <t>Elgin, IL</t>
  </si>
  <si>
    <t>60120-6543</t>
  </si>
  <si>
    <t>847-888-5000</t>
  </si>
  <si>
    <t>847-608-2777</t>
  </si>
  <si>
    <t>RSM US LLP</t>
  </si>
  <si>
    <t>Katie Barry</t>
  </si>
  <si>
    <t>Chicago</t>
  </si>
  <si>
    <t>IL</t>
  </si>
  <si>
    <t>312-634-4415</t>
  </si>
  <si>
    <t>312-634-5523</t>
  </si>
  <si>
    <t>066-003346</t>
  </si>
  <si>
    <t>Katie.Barry@rsmus.com</t>
  </si>
  <si>
    <t>GO Capital Appreciation School Bonds, Series 2002</t>
  </si>
  <si>
    <t>GO Capital Appreciation School Bonds, Series 2003B</t>
  </si>
  <si>
    <t>Limited School Bonds, Series 2009</t>
  </si>
  <si>
    <t>3,4,5</t>
  </si>
  <si>
    <t>Taxable GO Limites School Bonds, Series 2011A</t>
  </si>
  <si>
    <t>1, 3, 5, 6</t>
  </si>
  <si>
    <t>Taxable GO Limites School Bonds, Series 2011B</t>
  </si>
  <si>
    <t>General Obligation Limited School Bonds, Series 2012B</t>
  </si>
  <si>
    <t>1, 3</t>
  </si>
  <si>
    <t>General Obligation Limited School Bonds, Series 2015A</t>
  </si>
  <si>
    <t>Taxable GO Ltd. Refunding School Bonds, Series 2015B</t>
  </si>
  <si>
    <t>GO Refunding School Bonds, Series 2015C</t>
  </si>
  <si>
    <t>GO Refunding School Bonds, Series 2015D</t>
  </si>
  <si>
    <t>2007 6.2M Debt Certificates</t>
  </si>
  <si>
    <t>Long Term Purchase Contracts</t>
  </si>
  <si>
    <t>various</t>
  </si>
  <si>
    <t>2017 0.5M Debt Certificate</t>
  </si>
  <si>
    <t>Debt certificates</t>
  </si>
  <si>
    <t>Purchase contracts/leases</t>
  </si>
  <si>
    <t>Northern Kane County Regional Career and Technical Education System</t>
  </si>
  <si>
    <t>Revenues 9-14 - Ed Fund - Rev Source 1290 - Village of Hoffman Estates TIF</t>
  </si>
  <si>
    <t>Revenues 9-14 - Ed Fund - Rev Source 1790 - Parking Permits, Activity Fees, Athletic and Non Athletic Participation Fees</t>
  </si>
  <si>
    <t>Revenues 9-14 - Ed Fund - Rev Source 1993 - Recycling receipts</t>
  </si>
  <si>
    <t>Revenues 9-14 - Ed Fund - Rev Source 3999 -Kane ROE ALOP Program, Safe Schools Grant, State Library Grant, Orphanage Tuition -18-3, and other state sources</t>
  </si>
  <si>
    <t>Revenues 9-14 - Ed Fund - Rev Source 4799 - VE Perkins Title IIC Secondary</t>
  </si>
  <si>
    <t>Revenues 9-14 - Ed Fund - Rev Source 1890 - Drivers Ed textbooks</t>
  </si>
  <si>
    <t>Revenues 9-14 - Ed Fund - Rev Source 4399 - Title 1 - School Improvement</t>
  </si>
  <si>
    <t>Revenues 9-14 - O&amp;M Fund - Rev Source 1993 - Other Local Fees - Bid Spec</t>
  </si>
  <si>
    <t>Revenues 9-14 - O&amp;M Fund - Rev Source 1999 - E-Rate Program</t>
  </si>
  <si>
    <t>Revenues 9-14 - Transportation Fund - Rev Source 1999 - Recycling receipts</t>
  </si>
  <si>
    <t>Expenditures 15-22 - Ed Fund - Function 2190 - Salaries, benefits, purchases services, and supplies related to supervision of students during non classroom hours</t>
  </si>
  <si>
    <t>Expenditures 15-22 - Ed Fund - Function 2490 - Administrator salaries/benefits and misc. purchased service, supplies, and other items related to their offices</t>
  </si>
  <si>
    <t>Expenditures 15-22 - Ed Fund - Function 2900 - Food commodities expense and technical salaries/benefits or purchased services</t>
  </si>
  <si>
    <t>Expenditures 15-22 - IMRF Fund - Function 2190 - Social security, Medicare, and IMRF contributions for noon hour supervisors</t>
  </si>
  <si>
    <t>Expenditures 15-22 - IMRF Fund - Function 2490 - Social security, Medicare, and IMRF contributions for administrators</t>
  </si>
  <si>
    <t>Expenditures 15-22 - IMRF Fund - Function 2900 - Social security, Medicare, and IMRF contributions for some technical staff</t>
  </si>
  <si>
    <t>Expenditures 15-22 - Ed Fund - Function 4190 - Bilingual services</t>
  </si>
  <si>
    <t>Audit Check Tab cell D69.  Principal paid on long term debt per pg 24 cell H49 is $21,099,485.  This is made up of the $19,745,957 on pg. 15-22 cell H170 (paid from fund 30) and the $1,353,528 on pg. 15-22 cell H206 (paid from fund 40).  The audit check tab only looks at the amount paid from fund 30.</t>
  </si>
  <si>
    <t>Food Commodities were already included in Account 4000 on the AFR.</t>
  </si>
  <si>
    <t>Rounding</t>
  </si>
  <si>
    <r>
      <t xml:space="preserve">The accompanying Schedule of Expenditures of Federal Awards includes the federal grant activity of </t>
    </r>
    <r>
      <rPr>
        <b/>
        <sz val="9"/>
        <rFont val="Calibri"/>
        <family val="2"/>
        <scheme val="minor"/>
      </rPr>
      <t>School District U-46</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</si>
  <si>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N/A - no subrecipients</t>
  </si>
  <si>
    <r>
      <t xml:space="preserve">Of the federal expenditures presented in the schedule, </t>
    </r>
    <r>
      <rPr>
        <b/>
        <sz val="9"/>
        <rFont val="Calibri"/>
        <family val="2"/>
        <scheme val="minor"/>
      </rPr>
      <t>School District U-46</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</si>
  <si>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School District U-46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</si>
  <si>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</si>
  <si>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84.027A / 84.173A</t>
  </si>
  <si>
    <t>Special Education Cluster</t>
  </si>
  <si>
    <t>84.425D</t>
  </si>
  <si>
    <t>Coronavirus Aid, Relief, and Economic Security (CARES) Act</t>
  </si>
  <si>
    <t>N/A</t>
  </si>
  <si>
    <t>None</t>
  </si>
  <si>
    <t>(attachment of ISBE 62-18)</t>
  </si>
  <si>
    <t>County</t>
  </si>
  <si>
    <t>100 NORTH FIRST STREET</t>
  </si>
  <si>
    <t>School District U46</t>
  </si>
  <si>
    <t>SPRINGFIELD, ILLINOIS 62777-0001</t>
  </si>
  <si>
    <t>District/Joint Agreement No.</t>
  </si>
  <si>
    <t>U46</t>
  </si>
  <si>
    <t>YEAR Ended JUNE 30, 2020</t>
  </si>
  <si>
    <t>Federal Agency/</t>
  </si>
  <si>
    <t>Pass-through Grantor/</t>
  </si>
  <si>
    <t>ISBE Project No./</t>
  </si>
  <si>
    <t>7/1/18-</t>
  </si>
  <si>
    <t>7/1/19-</t>
  </si>
  <si>
    <t>Final</t>
  </si>
  <si>
    <t>Program Name</t>
  </si>
  <si>
    <t>Number</t>
  </si>
  <si>
    <t>Contract/Award No.</t>
  </si>
  <si>
    <t>6/30/19</t>
  </si>
  <si>
    <t>6/30/20</t>
  </si>
  <si>
    <t>Encumbrances</t>
  </si>
  <si>
    <t>U.S. Department of Education:</t>
  </si>
  <si>
    <t>Passed through Illinois State Board of Education:</t>
  </si>
  <si>
    <t xml:space="preserve">     Title I Grants to Local Education Agencies:</t>
  </si>
  <si>
    <t xml:space="preserve">     Title I : Low Income</t>
  </si>
  <si>
    <t>84.010A</t>
  </si>
  <si>
    <t>20-4300-00</t>
  </si>
  <si>
    <t>19-4300-00</t>
  </si>
  <si>
    <t>Title I: School Improvement and Accountability</t>
  </si>
  <si>
    <t>20-4331-19</t>
  </si>
  <si>
    <t>19-4331-19</t>
  </si>
  <si>
    <t>Twenty-First Century Community Learning Centers:</t>
  </si>
  <si>
    <t>Title IV - 21st Century Community Learning Centers</t>
  </si>
  <si>
    <t>84.287C</t>
  </si>
  <si>
    <t>20-4421-15</t>
  </si>
  <si>
    <t>19-4421-15</t>
  </si>
  <si>
    <t>Special Education Cluster (IDEA)</t>
  </si>
  <si>
    <t xml:space="preserve">     Special Education - Preschool Grants:</t>
  </si>
  <si>
    <t>84.173A</t>
  </si>
  <si>
    <t>20-4600-00</t>
  </si>
  <si>
    <t>19-4600-00</t>
  </si>
  <si>
    <t xml:space="preserve">     Special Education - Grants to States:</t>
  </si>
  <si>
    <t>84.027A</t>
  </si>
  <si>
    <t>20-4620-00</t>
  </si>
  <si>
    <t>19-4620-00</t>
  </si>
  <si>
    <t>20-4620-EI</t>
  </si>
  <si>
    <t>20-4625-00</t>
  </si>
  <si>
    <t>19-4625-00</t>
  </si>
  <si>
    <t>19-4625-XC</t>
  </si>
  <si>
    <t>Total Special Education Cluster (IDEA)</t>
  </si>
  <si>
    <t>English Language Acquisition Grants:</t>
  </si>
  <si>
    <t>Title III : Language Instruction Program - Limited English</t>
  </si>
  <si>
    <t>84.365A</t>
  </si>
  <si>
    <t>20-4909-00</t>
  </si>
  <si>
    <t>19-4909-00</t>
  </si>
  <si>
    <t>Title II : Teacher Quality</t>
  </si>
  <si>
    <t>84.367A</t>
  </si>
  <si>
    <t>20-4932-00</t>
  </si>
  <si>
    <t>19-4932-00</t>
  </si>
  <si>
    <t>Preschool Development Grants:</t>
  </si>
  <si>
    <t>Preschool Expansion Grant</t>
  </si>
  <si>
    <t>84.419B</t>
  </si>
  <si>
    <t>20-4902-00</t>
  </si>
  <si>
    <t>19-4902-00</t>
  </si>
  <si>
    <t>20-4998-ER</t>
  </si>
  <si>
    <t>Passed through Illinois Department of Human Services</t>
  </si>
  <si>
    <t>Rehabilitation Services - Vocational Rehabilitation Grants to States:</t>
  </si>
  <si>
    <t xml:space="preserve">   Rehabilitation Services</t>
  </si>
  <si>
    <t>H126A250018</t>
  </si>
  <si>
    <t xml:space="preserve">Passed through Northern Kane County Regional Career </t>
  </si>
  <si>
    <t>and Technical Education System:</t>
  </si>
  <si>
    <t>Career and Technical Education - Basic Grants to States:</t>
  </si>
  <si>
    <t>Perkins Secondary</t>
  </si>
  <si>
    <t>84.048A</t>
  </si>
  <si>
    <t>20-4745-00</t>
  </si>
  <si>
    <t>19-4745-00</t>
  </si>
  <si>
    <t xml:space="preserve">            Total U.S. Department of Education</t>
  </si>
  <si>
    <t>U.S. Department of Agriculture:</t>
  </si>
  <si>
    <t>31045046022A1</t>
  </si>
  <si>
    <t>10.555</t>
  </si>
  <si>
    <t>20-4210-00</t>
  </si>
  <si>
    <t>19-4210-00</t>
  </si>
  <si>
    <t>20-4215-00</t>
  </si>
  <si>
    <t>10.553</t>
  </si>
  <si>
    <t>20-4220-00</t>
  </si>
  <si>
    <t>19-4220-00</t>
  </si>
  <si>
    <t>20-4225-00</t>
  </si>
  <si>
    <t>Child &amp; Adult Care Food Program</t>
  </si>
  <si>
    <t>20-4226-00</t>
  </si>
  <si>
    <t>19-4226-00</t>
  </si>
  <si>
    <t xml:space="preserve">               Total Child Nutrition Cluster</t>
  </si>
  <si>
    <t>Child Nutrition Discretionary Grants Limited Availability:</t>
  </si>
  <si>
    <t>NSLP Equipment Assistance Grant</t>
  </si>
  <si>
    <t>19-4260-27</t>
  </si>
  <si>
    <t xml:space="preserve">            Total U.S. Department of Agriculture</t>
  </si>
  <si>
    <t>U.S. Department of Health and Human Services:</t>
  </si>
  <si>
    <t xml:space="preserve">Passed through Illinois Department of Healthcare </t>
  </si>
  <si>
    <t>and Family Services</t>
  </si>
  <si>
    <t xml:space="preserve">            Total U.S. Department of Health and Human Services</t>
  </si>
  <si>
    <t>Total Federal Awards</t>
  </si>
  <si>
    <t>CFDA   Catalog of Federal Domestic Assistance</t>
  </si>
  <si>
    <t>See Notes to Schedule of Expenditures of Federal Awards</t>
  </si>
  <si>
    <t xml:space="preserve">Revenues 9-14 - Ed Fund - Rev Source 1999 - U-46 Education Foundation, Share our Strength Grant, and other local grants </t>
  </si>
  <si>
    <t>Revenues 9-14 - O&amp;M Fund - Rev Source 3999 - School Maintenance</t>
  </si>
  <si>
    <t>Revenues 9-14 - Ed Fund - Rev Source 4998 - Food commodities and 84.126 Div of Rehab Services - Voc Rehab</t>
  </si>
  <si>
    <t>30 South Wacker Drive, Suite 3300</t>
  </si>
  <si>
    <t>Dale Burnidge</t>
  </si>
  <si>
    <t>Vinniamine Krysko &amp; his attorneys, Ronaldson &amp; Kuchler, LLC</t>
  </si>
  <si>
    <t>80-2300-300</t>
  </si>
  <si>
    <t>Tort-Support Services: General Admin-Purchased Services</t>
  </si>
  <si>
    <t>VILLAGE OF STREAMWOOD</t>
  </si>
  <si>
    <t>VILLAGE OF SO ELGIN</t>
  </si>
  <si>
    <t>VILLAGE OF BARTLETT</t>
  </si>
  <si>
    <t>MORICI, FIGLIOLI &amp; ASSOCIATES</t>
  </si>
  <si>
    <t>MESIROW INSURANCE SERVICES, INC</t>
  </si>
  <si>
    <t>HENRY R. SEMBDNER V</t>
  </si>
  <si>
    <t>GWC INJURY LAWYERS,  LLC</t>
  </si>
  <si>
    <t>FRANCZEK RADELET</t>
  </si>
  <si>
    <t>CITY OF ELGIN - POLICE</t>
  </si>
  <si>
    <t>WAREHOUSE DIRECT, INC</t>
  </si>
  <si>
    <t>40-2550-400</t>
  </si>
  <si>
    <t>Transport-Support Services: Transport-Supplies &amp; Materials</t>
  </si>
  <si>
    <t>UNITY SCHOOL BUS PARTS INC</t>
  </si>
  <si>
    <t>RUSH TRUCK CENTERS OF ILLINOIS, INC</t>
  </si>
  <si>
    <t>RADILINK, INC</t>
  </si>
  <si>
    <t>POMP'S TIRE SERVICE INC</t>
  </si>
  <si>
    <t>PETROLEUM TRADERS</t>
  </si>
  <si>
    <t>MIDWEST TRANSIT - KANKAKEE</t>
  </si>
  <si>
    <t>LEACH ENTERPRISES, INC</t>
  </si>
  <si>
    <t>HAWKS AUTO PARTS, INC</t>
  </si>
  <si>
    <t>BONCOSKY OIL COMPANY</t>
  </si>
  <si>
    <t>TYLER TECHNOLOGIES, INC</t>
  </si>
  <si>
    <t>40-2550-300</t>
  </si>
  <si>
    <t>Transport-Support Services: Transport-Purchased Services</t>
  </si>
  <si>
    <t>TREDROC TIRE</t>
  </si>
  <si>
    <t>STREAMWOOD BEHAVIORIAL HEALTH</t>
  </si>
  <si>
    <t>SCHOOLBELL LTD</t>
  </si>
  <si>
    <t>RAM TRANSPORT INC</t>
  </si>
  <si>
    <t>KAMMES AUTO &amp; TRUCK REPAIR INC</t>
  </si>
  <si>
    <t>AXESS TRANSPORTATION</t>
  </si>
  <si>
    <t>AMERICAN TAXI DISPATCH, INC</t>
  </si>
  <si>
    <t>ADVOCATE OCCUPATIONAL HEALTH</t>
  </si>
  <si>
    <t>TEAM REIL CONSTRUCTION INC</t>
  </si>
  <si>
    <t>20-2540-600</t>
  </si>
  <si>
    <t>O&amp;M-Support Services: O&amp;M of Plant Services-Other</t>
  </si>
  <si>
    <t>WEST SIDE ELECTRIC</t>
  </si>
  <si>
    <t>20-2540-400</t>
  </si>
  <si>
    <t>O&amp;M-Support Services: O&amp;M of Plant Services-Supplies &amp; Materials</t>
  </si>
  <si>
    <t>VERMEER-ILLINOIS, INC</t>
  </si>
  <si>
    <t>UNITED LABORATORIES INC</t>
  </si>
  <si>
    <t>ULINE, INC</t>
  </si>
  <si>
    <t>TRANE</t>
  </si>
  <si>
    <t>THERMOSYSTEMS, INC</t>
  </si>
  <si>
    <t>SUPPLYWORKS</t>
  </si>
  <si>
    <t>STABLLIZER SOLUTIONS, INC</t>
  </si>
  <si>
    <t>REINKE INTERIOR SUPPLY CO</t>
  </si>
  <si>
    <t>PLAYCORE HOLDINGS INC</t>
  </si>
  <si>
    <t>PITTSBURGH PAINT</t>
  </si>
  <si>
    <t>NORTH-WEST DRAPERY SERVICE, INC</t>
  </si>
  <si>
    <t>NICOR GAS</t>
  </si>
  <si>
    <t>MENARDS, INC. RANDALL RD</t>
  </si>
  <si>
    <t>GRAYBAR ELECTRIC CO, INC</t>
  </si>
  <si>
    <t>GRAINGER</t>
  </si>
  <si>
    <t>FLOLO  CORP</t>
  </si>
  <si>
    <t>FILTER SERVICES, INC</t>
  </si>
  <si>
    <t>DIRECT ENERGY BUSNESS</t>
  </si>
  <si>
    <t>COMMONWEALTH EDISON COMPANY</t>
  </si>
  <si>
    <t>COLUMBIA PIPE &amp; SUPPLY CO</t>
  </si>
  <si>
    <t>CENTURY TILE</t>
  </si>
  <si>
    <t>CENTERPOINT ENERGY SERVICES, INC</t>
  </si>
  <si>
    <t>CARGILL INC</t>
  </si>
  <si>
    <t>BANNER PLUMBING SUPPLY COMPANY LLC</t>
  </si>
  <si>
    <t>ANDERSON LOCK</t>
  </si>
  <si>
    <t>ALLIED ASPHALT PAVING</t>
  </si>
  <si>
    <t>WEBMARC DOORS</t>
  </si>
  <si>
    <t>20-2540-300</t>
  </si>
  <si>
    <t>O&amp;M-Support Services: O&amp;M of Plant Services-Purchased Services</t>
  </si>
  <si>
    <t>WEAVER HOLDINGS, LLC</t>
  </si>
  <si>
    <t>VILLAGE STREAMWOOD WATER DEPT</t>
  </si>
  <si>
    <t>VILLAGE OF BARTLETT WATER</t>
  </si>
  <si>
    <t>VERTIGO</t>
  </si>
  <si>
    <t>VALLEY ENTERPRISES, INC</t>
  </si>
  <si>
    <t>TWIN SUPPLIES, LTD</t>
  </si>
  <si>
    <t>TNT LANDSCAPE CONSTRUCTION INC</t>
  </si>
  <si>
    <t>TIDWELL ROOFING &amp; SHEET METAL</t>
  </si>
  <si>
    <t>T &amp; J PLUMBING, INC</t>
  </si>
  <si>
    <t>SUBURBAN ELEVATOR</t>
  </si>
  <si>
    <t>STALKER SPORTS FLOORING INC</t>
  </si>
  <si>
    <t>SPRINT SOLUTIONS, INC</t>
  </si>
  <si>
    <t>SKIRMONT MECHANICAL CONTRACTOR</t>
  </si>
  <si>
    <t>SIMPLEXGRINNELL LP</t>
  </si>
  <si>
    <t>SIGNET SIGN CO</t>
  </si>
  <si>
    <t>SERVICES SANITATION, INC</t>
  </si>
  <si>
    <t>SCHOOLDUDE.COM, INC</t>
  </si>
  <si>
    <t>ROGER'S FLOORING</t>
  </si>
  <si>
    <t>PETERS ELECTRIC AND TECHNOLOGY INC</t>
  </si>
  <si>
    <t>PARTITION PROS, INC</t>
  </si>
  <si>
    <t>OOSTERBAAN &amp; SONS CO</t>
  </si>
  <si>
    <t>OLSSON ROOFING COMPANY INC</t>
  </si>
  <si>
    <t>MECOR INC</t>
  </si>
  <si>
    <t>KCG MANAGEMENT LLC</t>
  </si>
  <si>
    <t>KANDU CONSTRUCTION INC</t>
  </si>
  <si>
    <t>JOHNSON CONTROLS SECURITY SOLUTIONS</t>
  </si>
  <si>
    <t>IMEG CORP</t>
  </si>
  <si>
    <t>ILLINOIS TIME RECORDER</t>
  </si>
  <si>
    <t>HOLIAN ASBESTOS REMOVAL &amp; ENCAPSULATION  CORP</t>
  </si>
  <si>
    <t>HASTINGS ASPHALT SERVICES INC</t>
  </si>
  <si>
    <t>HAMPTON, LENZINI &amp; RENWICK, INC</t>
  </si>
  <si>
    <t>GRADE RC LLC</t>
  </si>
  <si>
    <t>GO PAINTERS INC</t>
  </si>
  <si>
    <t>GENERAL MECHANICAL</t>
  </si>
  <si>
    <t>GCA SERVICES GROUP</t>
  </si>
  <si>
    <t>FOX VALLEY FIRE &amp; SAFETY EQPT</t>
  </si>
  <si>
    <t>FOWLER TREE SURGERY INC</t>
  </si>
  <si>
    <t>FALLS MECHANICAL INSULATION, INC</t>
  </si>
  <si>
    <t>F J BERO &amp; COMPANY INC</t>
  </si>
  <si>
    <t>F E MORAN SECURITY SOLUTIONS, LLC</t>
  </si>
  <si>
    <t>ESTATE ENTERPRISE</t>
  </si>
  <si>
    <t>ESSENTIAL WATER TECHNOLOGIES, LLC</t>
  </si>
  <si>
    <t>DLR GROUP INC., AN ILLINOIS CORPORATION</t>
  </si>
  <si>
    <t>DIEMER PLUMBING &amp; EXCAVATING, LTD</t>
  </si>
  <si>
    <t>DAHLQUIST &amp; LUTZOW ARCHITECTS, LTD</t>
  </si>
  <si>
    <t>CROSS ALUMINUM PRODUCTS INC</t>
  </si>
  <si>
    <t>COVE REMEDIATION LLC</t>
  </si>
  <si>
    <t>CITY OF ELGIN WATER DEPT</t>
  </si>
  <si>
    <t>CINTAS CORPORATION NO</t>
  </si>
  <si>
    <t>CINTAS CORP</t>
  </si>
  <si>
    <t>CENERGISTIC LLC</t>
  </si>
  <si>
    <t>CARNOW, CONIBEAR &amp; A</t>
  </si>
  <si>
    <t>CAPITAL PAINTING &amp; DECORATING, INC</t>
  </si>
  <si>
    <t>BLEACHERS INTERNATIONAL</t>
  </si>
  <si>
    <t>BERNA MOVING &amp; STORAGE</t>
  </si>
  <si>
    <t>AUTOMATIC BUILDING CONTROLS INC</t>
  </si>
  <si>
    <t>AQUA PURE ENTERPRISES, INC</t>
  </si>
  <si>
    <t>AMERICAN OFFICE SERVICES, INC</t>
  </si>
  <si>
    <t>ALL AMERICAN AUTO &amp; TRUCK, INC</t>
  </si>
  <si>
    <t>AEA SERVICES, INC</t>
  </si>
  <si>
    <t>ADVANCED DISPOSAL SERVICES</t>
  </si>
  <si>
    <t>ABM INDUSTRY GROUPS, LLC (DBA</t>
  </si>
  <si>
    <t>ABLE PEST CONTROL, INC</t>
  </si>
  <si>
    <t>ABC INSULATION INC</t>
  </si>
  <si>
    <t>SAFE PROGRAM</t>
  </si>
  <si>
    <t>10-3000-400</t>
  </si>
  <si>
    <t>Ed-Community Services-Supplies &amp; Materials</t>
  </si>
  <si>
    <t>10-3000-300</t>
  </si>
  <si>
    <t>Ed-Community Services-Purchased Services</t>
  </si>
  <si>
    <t>ONE HOPE UNITED</t>
  </si>
  <si>
    <t>KIDS HOPE UNITED</t>
  </si>
  <si>
    <t>BOYS &amp; GIRLS CLUB OF ELGIN</t>
  </si>
  <si>
    <t>10-2900-300</t>
  </si>
  <si>
    <t>Ed-Other Support Services-Purchased Services</t>
  </si>
  <si>
    <t>PCM SALES,INC</t>
  </si>
  <si>
    <t>10-2660-400</t>
  </si>
  <si>
    <t>Ed-Central: Data Processing Services-Supplies &amp; Materials</t>
  </si>
  <si>
    <t>MOHAWK USA LLC</t>
  </si>
  <si>
    <t>LENOVO INC</t>
  </si>
  <si>
    <t>HEARTLAND BUSINESS SYSTEMS</t>
  </si>
  <si>
    <t>DELL MARKETING LP</t>
  </si>
  <si>
    <t>COMMUNICATIONS SUPPLY CORPORATION</t>
  </si>
  <si>
    <t>APPLE COMPUTER INC</t>
  </si>
  <si>
    <t>VERSIFIT TECHNOLOGIES</t>
  </si>
  <si>
    <t>10-2660-300</t>
  </si>
  <si>
    <t>Ed-Central: Data Processing Services-Purchased Services</t>
  </si>
  <si>
    <t>UNIFIED BUSINESS SOLUTIONS, LLC</t>
  </si>
  <si>
    <t>TYMPANI LLC DBA MINDSIGHT</t>
  </si>
  <si>
    <t>STORCOM</t>
  </si>
  <si>
    <t>SOLAR  WINDS, INC</t>
  </si>
  <si>
    <t>SIRSI CORPORATION</t>
  </si>
  <si>
    <t>SENTINEL TECHNOLOGIES, INC</t>
  </si>
  <si>
    <t>SECURLY, INC</t>
  </si>
  <si>
    <t>ROBERT J GARTNER</t>
  </si>
  <si>
    <t>MINDSIGHT</t>
  </si>
  <si>
    <t>MICRO FOCUS SOFTWARE INC</t>
  </si>
  <si>
    <t>METRONET HOLDINGS LLC</t>
  </si>
  <si>
    <t>HOUGHTON MIFFLIN HARCOURT PUBLISHING CO</t>
  </si>
  <si>
    <t>GOVCONNECTION INC</t>
  </si>
  <si>
    <t>COMPUTER INFORMATION CONCEPTS, INC</t>
  </si>
  <si>
    <t>COMCAST CABLE COMMUNICATIONS, INC</t>
  </si>
  <si>
    <t>CDW GOVERNMENT INC</t>
  </si>
  <si>
    <t>CATALOGIC SOFTWARE, INC</t>
  </si>
  <si>
    <t>BMC SOFTWARE, INC</t>
  </si>
  <si>
    <t>BLACKBOARD ENGAGE</t>
  </si>
  <si>
    <t>BIRCH COMMUNICATIONS LLC</t>
  </si>
  <si>
    <t>AT&amp;T</t>
  </si>
  <si>
    <t>ILLINOIS PRINCIPALS ASSOCIATION</t>
  </si>
  <si>
    <t>10-2640-600</t>
  </si>
  <si>
    <t>Ed-Central: Staff Services-Other</t>
  </si>
  <si>
    <t>WORKFORCE SOFTWARE LLC</t>
  </si>
  <si>
    <t>10-2640-300</t>
  </si>
  <si>
    <t>Ed-Central: Staff Services-Purchased Services</t>
  </si>
  <si>
    <t>FUTURES IN REHABILITATION MANAGEMENT INC (F.I.R.M., INC</t>
  </si>
  <si>
    <t>FRONTLINE TECHNOLOGIES GROUP, LLC</t>
  </si>
  <si>
    <t>APRIANT INC</t>
  </si>
  <si>
    <t>ACCOUNTING PRINCIPALS</t>
  </si>
  <si>
    <t>K12 INSIGHT LLC</t>
  </si>
  <si>
    <t>10-2630-300</t>
  </si>
  <si>
    <t>Ed-Central: Information Services-Purchased Services</t>
  </si>
  <si>
    <t>ELLEN KAMPS</t>
  </si>
  <si>
    <t>EVALUATION SOLUTIONS INC</t>
  </si>
  <si>
    <t>10-2620-300</t>
  </si>
  <si>
    <t>Ed-Central: Planning, Research, Dvlpmt, and Eval Srv-Purchased Services</t>
  </si>
  <si>
    <t>10-2570-400</t>
  </si>
  <si>
    <t>Ed-Business: Internal Services-Supplies &amp; Materials</t>
  </si>
  <si>
    <t>Twist Office Partners</t>
  </si>
  <si>
    <t>GARVEY'S OFFICE PRODUCTS, INC</t>
  </si>
  <si>
    <t>FRANK COONEY COMPANY</t>
  </si>
  <si>
    <t>U.S. POST OFFICE-ELGIN</t>
  </si>
  <si>
    <t>10-2570-300</t>
  </si>
  <si>
    <t>Ed-Business: Internal Services-Purchased Services</t>
  </si>
  <si>
    <t>PITNEY BOWES INC</t>
  </si>
  <si>
    <t>GEM-CAP, INC</t>
  </si>
  <si>
    <t>CLEVR</t>
  </si>
  <si>
    <t>10-2560-400</t>
  </si>
  <si>
    <t>Ed-Business: Food Services-Supplies &amp; Materials</t>
  </si>
  <si>
    <t>PRAIRIE FARMS DAIRY, INC</t>
  </si>
  <si>
    <t>MUFFINTOWN / AESOPS BAGELS</t>
  </si>
  <si>
    <t>M.C.I. FOODS, INC</t>
  </si>
  <si>
    <t>JTM PROVISIONS CO., INC</t>
  </si>
  <si>
    <t>ILTACO FOODS</t>
  </si>
  <si>
    <t>HERSHEY CREAMERY COMPANY</t>
  </si>
  <si>
    <t>GORDON FOOD SERVICE INC</t>
  </si>
  <si>
    <t>GET FRESH PRODUCE</t>
  </si>
  <si>
    <t>FORM PLASTIC COMPANY</t>
  </si>
  <si>
    <t>DIPPIN DOTS ICE CREAM</t>
  </si>
  <si>
    <t>BAKE CRAFTERS FOOD COMPANY</t>
  </si>
  <si>
    <t>ALPHA BAKING COMPANY INC</t>
  </si>
  <si>
    <t>ROYAL REFRIGERATION INC</t>
  </si>
  <si>
    <t>10-2560-300</t>
  </si>
  <si>
    <t>Ed-Business: Food Services-Purchased Services</t>
  </si>
  <si>
    <t>HORIZON SOFTWARE INTERNATIONAL, LLC</t>
  </si>
  <si>
    <t>HEARTLAND</t>
  </si>
  <si>
    <t>TRANSPORTATION DEPARTMENT</t>
  </si>
  <si>
    <t>10-2550-300</t>
  </si>
  <si>
    <t>Ed-Business: Pupil Transportation-Purchased Services</t>
  </si>
  <si>
    <t>SAFETYGEAR CORPORATION</t>
  </si>
  <si>
    <t>10-2540-400</t>
  </si>
  <si>
    <t>Ed-Business: Oper. &amp; Maint. Plant Services-Supplies &amp; Materials</t>
  </si>
  <si>
    <t>RAPTOR TECHNOLOGIES LLC</t>
  </si>
  <si>
    <t>OFFICE DEPOT</t>
  </si>
  <si>
    <t>CRISIS PREVENTION INSTITUTE INC</t>
  </si>
  <si>
    <t>ALPHA PRIME COMMUNICATIONS</t>
  </si>
  <si>
    <t>HEIDNER PROPERTY MANAGEMENT CO, INC</t>
  </si>
  <si>
    <t>10-2540-300</t>
  </si>
  <si>
    <t>Ed-Business: Oper. &amp; Maint. Plant Services-Purchased Services</t>
  </si>
  <si>
    <t>10-2520-300</t>
  </si>
  <si>
    <t>Ed-Business: Fiscal Services-Purchased Services</t>
  </si>
  <si>
    <t>The Don Adams Corporation</t>
  </si>
  <si>
    <t>10-2510-300</t>
  </si>
  <si>
    <t>Ed-Business: Direction of Business Spt. Srv-Purchased Services</t>
  </si>
  <si>
    <t>R.V. KUHNS &amp; ASSOCIATES, INC</t>
  </si>
  <si>
    <t>BARAGAR DEMOGRAPHICS</t>
  </si>
  <si>
    <t>AMERICAN ASSOC OF SCHOOL ADMINISTRATORS</t>
  </si>
  <si>
    <t>10-2300-600</t>
  </si>
  <si>
    <t>Ed-Support Services: General Admin-Other</t>
  </si>
  <si>
    <t>THE BOARD OF TRUSTEES OF THE UNIVERSITY OF ILLINOIS</t>
  </si>
  <si>
    <t>10-2300-300</t>
  </si>
  <si>
    <t>Ed-Support Services: General Admin-Purchased Services</t>
  </si>
  <si>
    <t>ILLINOIS ASSN. OF SCHOOL BOARDS</t>
  </si>
  <si>
    <t>DEFINED LEARNING, LLC</t>
  </si>
  <si>
    <t>CHICAGO AREA INTERPRETER REFERRALSERVICE</t>
  </si>
  <si>
    <t>BRECHT'S DATABASE SOLUTIONS, INC</t>
  </si>
  <si>
    <t>ALIGNMENT COLLABORATIVE FOR EDUCATION</t>
  </si>
  <si>
    <t>NORTHERN ILLINOIS UNIVERSITY</t>
  </si>
  <si>
    <t>10-2200-600</t>
  </si>
  <si>
    <t>Ed-Support Services: Instructional Staff-Other</t>
  </si>
  <si>
    <t>SCHOOL SPECIALTY INC</t>
  </si>
  <si>
    <t>10-2200-400</t>
  </si>
  <si>
    <t>Ed-Support Services: Instructional Staff-Supplies &amp; Materials</t>
  </si>
  <si>
    <t>MACKIN BOOK COMPANY</t>
  </si>
  <si>
    <t>LAKESHORE LEARNING  MTLS - CALIFORNIA</t>
  </si>
  <si>
    <t>FOLLETT SCHOOL SOLUTIONS INC</t>
  </si>
  <si>
    <t>DEMCO</t>
  </si>
  <si>
    <t>WISCONSIN CENTER FOR EDUCATION PRODUCTS &amp; SERVICES</t>
  </si>
  <si>
    <t>10-2200-300</t>
  </si>
  <si>
    <t>Ed-Support Services: Instructional Staff-Purchased Services</t>
  </si>
  <si>
    <t>THE HANOVER RESEARCH COUNCIL, LLC</t>
  </si>
  <si>
    <t>SOLUTION TREE, INC</t>
  </si>
  <si>
    <t>ROOSEVELT UNIVERSITY</t>
  </si>
  <si>
    <t>RIVERSIDE PUBLISHING</t>
  </si>
  <si>
    <t>RENAISSANCE LEARNING INC</t>
  </si>
  <si>
    <t>NORTHWEST EVALUATION ASSOCIATION</t>
  </si>
  <si>
    <t>NAVIANCE, INC</t>
  </si>
  <si>
    <t>MUSIC &amp; ARTS CENTERS. INC</t>
  </si>
  <si>
    <t>KIMBERLY DAWN BRANDON</t>
  </si>
  <si>
    <t>INSTRUCTIONAL COACHING GROUP, LLC</t>
  </si>
  <si>
    <t>GREAT MINDS</t>
  </si>
  <si>
    <t>GOLDEN APPLE FOUNDATION FOR EXCELLENCE IN TEACHING</t>
  </si>
  <si>
    <t>DUAL LANGUAGE EDUCATION OF NEW MEXICO</t>
  </si>
  <si>
    <t>DRC/CTB</t>
  </si>
  <si>
    <t>DISCOVERY EDUCATION, INC</t>
  </si>
  <si>
    <t>COLLEGE BOARD - PSAT/NMSQT</t>
  </si>
  <si>
    <t>COLLEGE BOARD - EXAMS</t>
  </si>
  <si>
    <t>AVID CENTER</t>
  </si>
  <si>
    <t>APEX  LEARNING, INC</t>
  </si>
  <si>
    <t>ADVANCE EDUCATION, INC</t>
  </si>
  <si>
    <t>SCHOOL HEALTH CORP</t>
  </si>
  <si>
    <t>10-2100-400</t>
  </si>
  <si>
    <t>Ed-Support Services: Pupils-Supplies &amp; Materials</t>
  </si>
  <si>
    <t>PEARSON ASSESSMENTS</t>
  </si>
  <si>
    <t>YANITZA MARIE VAZQUEZ</t>
  </si>
  <si>
    <t>10-2100-300</t>
  </si>
  <si>
    <t>Ed-Support Services: Pupils-Purchased Services</t>
  </si>
  <si>
    <t>VAN ACKER, RICHARD M</t>
  </si>
  <si>
    <t>TOP ECHELON CONTRACTING, LLC</t>
  </si>
  <si>
    <t>THERAPY CARE LTD</t>
  </si>
  <si>
    <t>SUNBELT STAFFING LLC</t>
  </si>
  <si>
    <t>STAFFING OPTIONS &amp; SOLUTIONS INC</t>
  </si>
  <si>
    <t>SPEECH PATHOLOGY SERVICES</t>
  </si>
  <si>
    <t>ROCKSTAR RECRUITING LLC</t>
  </si>
  <si>
    <t>MEDISCAN, INC</t>
  </si>
  <si>
    <t>MAXIM HEALTHCARE SERVICES</t>
  </si>
  <si>
    <t>MARIA T. RODRIGUEZ</t>
  </si>
  <si>
    <t>KATHERINE ANN BURGESS</t>
  </si>
  <si>
    <t>HORIZONS REHABILITATION SERVICES, LTD</t>
  </si>
  <si>
    <t>HERFF JONES, INC</t>
  </si>
  <si>
    <t>GORBOLD BEHAVIORAL CONSULTING INC</t>
  </si>
  <si>
    <t>GENEVA HEARING SERVICES,PC</t>
  </si>
  <si>
    <t>FOXHIRE, LLC</t>
  </si>
  <si>
    <t>E B S HEALTHCARE STAFFING SERVICES INC</t>
  </si>
  <si>
    <t>CONTINUUM PEDIATRIC NURSING</t>
  </si>
  <si>
    <t>COMMUNITY THERAPY CORP</t>
  </si>
  <si>
    <t>CHERYL LIPKIE</t>
  </si>
  <si>
    <t>CENTER FOR PSYCHOLOGICAL SERVICES</t>
  </si>
  <si>
    <t>CAREERSTAFF UNLIMITED, LLC</t>
  </si>
  <si>
    <t>BILINGUAL THERAPIES, INC</t>
  </si>
  <si>
    <t>ARLINGDALE HEALTHCARE INC</t>
  </si>
  <si>
    <t>ANA ISABEL GRZYBEK</t>
  </si>
  <si>
    <t>AMERICAN HOME HEALTH CORPORATION</t>
  </si>
  <si>
    <t>ADVANCED MEDICAL PERSONNEL SERVICES INC</t>
  </si>
  <si>
    <t>OMBUDSMAN EDUCATIONAL SERV</t>
  </si>
  <si>
    <t>Ed-Instruction-Other</t>
  </si>
  <si>
    <t>ELGIN COMMUNITY COLLEGE</t>
  </si>
  <si>
    <t>10-1000-400</t>
  </si>
  <si>
    <t>Ed-Instruction-Supplies &amp; Materials</t>
  </si>
  <si>
    <t>VERITIVE OPERATING COMPANY FORMERLY UNISOURCE</t>
  </si>
  <si>
    <t>VERITIV OPERATING COMPANY FORMERLY UNISOURCE</t>
  </si>
  <si>
    <t>U S GAMES INC</t>
  </si>
  <si>
    <t>NASCO - WI</t>
  </si>
  <si>
    <t>MONSTER TECHNOLOGY, LLC</t>
  </si>
  <si>
    <t>MCGRAW-HILL SCHOOL EDUCATION HOLDINGS</t>
  </si>
  <si>
    <t>LAKESHORE LEARNING MATERIALS</t>
  </si>
  <si>
    <t>GENERAL PRINTING AND DESIGN, INC</t>
  </si>
  <si>
    <t>FLINN SCIENTIFIC INC</t>
  </si>
  <si>
    <t>ESTRELLITA</t>
  </si>
  <si>
    <t>EASTBAY INC</t>
  </si>
  <si>
    <t>E T A HAND 2 MIND</t>
  </si>
  <si>
    <t>CENGAGE LEARNING INC</t>
  </si>
  <si>
    <t>B S N SPORTS</t>
  </si>
  <si>
    <t>TIERNEY BROTHER INC</t>
  </si>
  <si>
    <t>10-1000-300</t>
  </si>
  <si>
    <t>Ed-Instruction-Purchased Services</t>
  </si>
  <si>
    <t>SCHOOLMINT INC</t>
  </si>
  <si>
    <t>RIDDELL ALL AMERICAN</t>
  </si>
  <si>
    <t>PRESENCE  SAINT JOSEPH HOSPITAL</t>
  </si>
  <si>
    <t>NORTHWESTERN UNIVERSITY</t>
  </si>
  <si>
    <t>N2Y LLC</t>
  </si>
  <si>
    <t>MARCO TECHNOLOGIES LLC</t>
  </si>
  <si>
    <t>LEARNING A-Z</t>
  </si>
  <si>
    <t>INTERNATIONAL BACCALAUREATE ORGANIZATION</t>
  </si>
  <si>
    <t>IMAGINE LEARNING, INC</t>
  </si>
  <si>
    <t>HOUCHEN BINDERY LTD</t>
  </si>
  <si>
    <t>COMMUNITY UNIT SCHOOL DISTRICT</t>
  </si>
  <si>
    <t>ATHLETICO MANAGEMNET LLC</t>
  </si>
  <si>
    <t>ALEXIAN BROTHERS BEHAVIORAL HEALTH HOSPITAL</t>
  </si>
  <si>
    <t>7/1/18-6/30/19</t>
  </si>
  <si>
    <t>7/1/19-6/30/20</t>
  </si>
  <si>
    <t>to subrecipients</t>
  </si>
  <si>
    <t>18-4300-00</t>
  </si>
  <si>
    <t xml:space="preserve">        Title I: Other - IL Empower Grant</t>
  </si>
  <si>
    <t>18-4399-00</t>
  </si>
  <si>
    <t>18-4620-00</t>
  </si>
  <si>
    <t>18-4625-00</t>
  </si>
  <si>
    <t>18-4625-XC</t>
  </si>
  <si>
    <t>18-4909-00</t>
  </si>
  <si>
    <t>18-4932-00</t>
  </si>
  <si>
    <t>18-4902-00</t>
  </si>
  <si>
    <t>18-4745-00</t>
  </si>
  <si>
    <t>18-4210-00</t>
  </si>
  <si>
    <t>18-4220-00</t>
  </si>
  <si>
    <t>Passed through</t>
  </si>
  <si>
    <t>Total Title I Grants to Local Education Agencies</t>
  </si>
  <si>
    <t>18-4421-15</t>
  </si>
  <si>
    <t>IDEA Preschool</t>
  </si>
  <si>
    <t xml:space="preserve">     IDEA Part B</t>
  </si>
  <si>
    <t xml:space="preserve">     IDEA Part B - Room &amp; Board</t>
  </si>
  <si>
    <t>Supporting Effective Instruction State Grants:</t>
  </si>
  <si>
    <t>COVID-19 - Education Stabilization Funds - Coronavirus Aid, Relief, and</t>
  </si>
  <si>
    <t xml:space="preserve">    Economic Security Act - Elementary and Secondary School Emergency</t>
  </si>
  <si>
    <t xml:space="preserve">    Relief Fund</t>
  </si>
  <si>
    <t xml:space="preserve">   Child Nutrition Cluster</t>
  </si>
  <si>
    <t>National School Lunch Program -  Non-Cash USDA Foods</t>
  </si>
  <si>
    <t>National School Lunch Program - Department of Defense Fruits and Vegetables</t>
  </si>
  <si>
    <t>Special Milk Program for Children</t>
  </si>
  <si>
    <t>Summer Food Service Program for Children</t>
  </si>
  <si>
    <t>Medical Assistance Program</t>
  </si>
  <si>
    <t>Child and Adult Food Program</t>
  </si>
  <si>
    <t>No findings</t>
  </si>
  <si>
    <t>Jeff King, Deputy Superintendent of Operations</t>
  </si>
  <si>
    <t>Jeff King &lt;jeffking@u-46.org&gt;</t>
  </si>
  <si>
    <t>See PDF in Opinion Page with signature</t>
  </si>
  <si>
    <t xml:space="preserve">   SD U46 - Elgin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</si>
</sst>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 \ _);_(* \(#,##0\)\ \ ;_(* &quot;-&quot;??_);_(@_)"/>
    <numFmt numFmtId="186" formatCode="_(* #,##0_);_(* \(#,##0\);_(* &quot;-&quot;??_);_(@_)"/>
    <numFmt numFmtId="187" formatCode="#,##0.000_);\(#,##0.000\)"/>
    <numFmt numFmtId="188" formatCode="_(&quot;$&quot;* #,##0\ \ _);_(&quot;$&quot;* \(#,##0\)\ \ ;_(&quot;$&quot;*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color theme="1"/>
      <name val="Arial"/>
      <family val="2"/>
    </font>
    <font>
      <b/>
      <sz val="10"/>
      <color rgb="FFFF0000"/>
      <name val="Calibri"/>
      <family val="2"/>
      <scheme val="minor"/>
    </font>
    <font>
      <sz val="8"/>
      <color theme="1"/>
      <name val="Arial"/>
      <family val="2"/>
    </font>
    <font>
      <sz val="9"/>
      <name val="Segoe U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double">
        <color indexed="64"/>
      </bottom>
      <diagonal/>
    </border>
    <border>
      <left style="thin">
        <color theme="1" tint="0.34998626667073579"/>
      </left>
      <right style="thin">
        <color theme="1" tint="0.34998626667073579"/>
      </right>
      <top style="thin">
        <color theme="1" tint="0.34998626667073579"/>
      </top>
      <bottom/>
      <diagonal/>
    </border>
  </borders>
  <cellStyleXfs count="3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6" fillId="0" borderId="0"/>
    <xf numFmtId="0" fontId="12" fillId="0" borderId="0"/>
    <xf numFmtId="43" fontId="12" fillId="0" borderId="0" applyFont="0" applyFill="0" applyBorder="0" applyAlignment="0" applyProtection="0"/>
    <xf numFmtId="43" fontId="147" fillId="0" borderId="0" applyFont="0" applyFill="0" applyBorder="0" applyAlignment="0" applyProtection="0"/>
    <xf numFmtId="0" fontId="5" fillId="0" borderId="0"/>
    <xf numFmtId="0" fontId="12" fillId="0" borderId="0"/>
    <xf numFmtId="43" fontId="145" fillId="0" borderId="0" applyFont="0" applyFill="0" applyBorder="0" applyAlignment="0" applyProtection="0"/>
    <xf numFmtId="0" fontId="4" fillId="0" borderId="0"/>
    <xf numFmtId="43" fontId="12" fillId="0" borderId="0" applyFont="0" applyFill="0" applyBorder="0" applyAlignment="0" applyProtection="0"/>
    <xf numFmtId="0" fontId="148" fillId="0" borderId="0">
      <alignment vertical="center"/>
    </xf>
    <xf numFmtId="0" fontId="3" fillId="0" borderId="0"/>
    <xf numFmtId="0" fontId="2" fillId="0" borderId="0"/>
  </cellStyleXfs>
  <cellXfs count="2735">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6" xfId="0" applyFont="1" applyBorder="1" applyAlignment="1">
      <alignment horizontal="centerContinuous" vertical="center"/>
    </xf>
    <xf numFmtId="0" fontId="57" fillId="0" borderId="157" xfId="0" applyFont="1" applyBorder="1" applyAlignment="1">
      <alignment horizontal="centerContinuous" vertical="center"/>
    </xf>
    <xf numFmtId="0" fontId="59" fillId="0" borderId="157"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8"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9"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1"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6" xfId="18" applyFont="1" applyBorder="1" applyAlignment="1">
      <alignment horizontal="left" vertical="center" wrapText="1"/>
    </xf>
    <xf numFmtId="0" fontId="106" fillId="0" borderId="157"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0"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183" fontId="7" fillId="0" borderId="0" xfId="19" applyNumberFormat="1"/>
    <xf numFmtId="0" fontId="140" fillId="0" borderId="0" xfId="0" applyFont="1"/>
    <xf numFmtId="0" fontId="87" fillId="0" borderId="2" xfId="0" applyFont="1" applyBorder="1" applyAlignment="1">
      <alignment horizontal="left" wrapText="1"/>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0" fontId="59" fillId="0" borderId="126" xfId="3" applyNumberFormat="1" applyFont="1" applyBorder="1" applyAlignment="1">
      <alignmen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6" xfId="20" applyFont="1" applyBorder="1" applyAlignment="1">
      <alignment horizontal="center" wrapText="1"/>
    </xf>
    <xf numFmtId="0" fontId="59" fillId="0" borderId="168" xfId="20" applyFont="1" applyBorder="1" applyAlignment="1">
      <alignment horizontal="center"/>
    </xf>
    <xf numFmtId="0" fontId="59" fillId="0" borderId="173"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7"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1" xfId="20" applyNumberFormat="1" applyFont="1" applyFill="1" applyBorder="1" applyAlignment="1">
      <alignment horizontal="center" wrapText="1"/>
    </xf>
    <xf numFmtId="38" fontId="67" fillId="16" borderId="169" xfId="20" applyNumberFormat="1" applyFont="1" applyFill="1" applyBorder="1" applyAlignment="1">
      <alignment horizontal="center"/>
    </xf>
    <xf numFmtId="38" fontId="67" fillId="16" borderId="174" xfId="20" applyNumberFormat="1" applyFont="1" applyFill="1" applyBorder="1" applyAlignment="1">
      <alignment horizontal="center"/>
    </xf>
    <xf numFmtId="38" fontId="67" fillId="16" borderId="178" xfId="20" applyNumberFormat="1" applyFont="1" applyFill="1" applyBorder="1" applyAlignment="1">
      <alignment horizontal="center"/>
    </xf>
    <xf numFmtId="0" fontId="59" fillId="0" borderId="180" xfId="3" applyNumberFormat="1" applyFont="1" applyBorder="1" applyAlignment="1">
      <alignment vertical="center"/>
    </xf>
    <xf numFmtId="0" fontId="59" fillId="0" borderId="163" xfId="3" applyNumberFormat="1" applyFont="1" applyBorder="1" applyAlignment="1">
      <alignment vertical="center"/>
    </xf>
    <xf numFmtId="0" fontId="59" fillId="0" borderId="164" xfId="3" applyNumberFormat="1" applyFont="1" applyBorder="1" applyAlignment="1">
      <alignment vertical="center"/>
    </xf>
    <xf numFmtId="0" fontId="59" fillId="0" borderId="181" xfId="20" applyFont="1" applyBorder="1"/>
    <xf numFmtId="0" fontId="59" fillId="0" borderId="0" xfId="20" applyFont="1" applyBorder="1"/>
    <xf numFmtId="0" fontId="59" fillId="0" borderId="182" xfId="20" applyFont="1" applyBorder="1"/>
    <xf numFmtId="0" fontId="59" fillId="0" borderId="181" xfId="20" applyFont="1" applyBorder="1" applyAlignment="1">
      <alignment wrapText="1"/>
    </xf>
    <xf numFmtId="0" fontId="59" fillId="0" borderId="0" xfId="20" applyFont="1" applyBorder="1" applyAlignment="1">
      <alignment wrapText="1"/>
    </xf>
    <xf numFmtId="0" fontId="59" fillId="0" borderId="182" xfId="20" applyFont="1" applyBorder="1" applyAlignment="1">
      <alignment wrapText="1"/>
    </xf>
    <xf numFmtId="38" fontId="67" fillId="16" borderId="166" xfId="20" applyNumberFormat="1" applyFont="1" applyFill="1" applyBorder="1" applyAlignment="1">
      <alignment horizontal="center"/>
    </xf>
    <xf numFmtId="0" fontId="102" fillId="0" borderId="181" xfId="20" applyFont="1" applyBorder="1"/>
    <xf numFmtId="0" fontId="102" fillId="0" borderId="0" xfId="20" applyFont="1" applyBorder="1"/>
    <xf numFmtId="0" fontId="102" fillId="0" borderId="182" xfId="20" applyFont="1" applyBorder="1"/>
    <xf numFmtId="0" fontId="102" fillId="0" borderId="186" xfId="20" applyFont="1" applyBorder="1"/>
    <xf numFmtId="0" fontId="102" fillId="0" borderId="187" xfId="20" applyFont="1" applyBorder="1"/>
    <xf numFmtId="0" fontId="102" fillId="0" borderId="188" xfId="20" applyFont="1" applyBorder="1"/>
    <xf numFmtId="0" fontId="67" fillId="0" borderId="163" xfId="3" applyNumberFormat="1" applyFont="1" applyBorder="1" applyAlignment="1">
      <alignment horizontal="center" vertical="center"/>
    </xf>
    <xf numFmtId="0" fontId="67" fillId="0" borderId="163" xfId="3" applyNumberFormat="1" applyFont="1" applyBorder="1" applyAlignment="1">
      <alignment horizontal="left" vertical="center"/>
    </xf>
    <xf numFmtId="0" fontId="59" fillId="0" borderId="181" xfId="3" applyNumberFormat="1" applyFont="1" applyBorder="1" applyAlignment="1">
      <alignment vertical="center"/>
    </xf>
    <xf numFmtId="0" fontId="59" fillId="0" borderId="182" xfId="3" applyNumberFormat="1" applyFont="1" applyBorder="1" applyAlignment="1">
      <alignment vertical="center"/>
    </xf>
    <xf numFmtId="0" fontId="67" fillId="22" borderId="189" xfId="3" applyNumberFormat="1" applyFont="1" applyFill="1" applyBorder="1" applyAlignment="1">
      <alignment horizontal="left"/>
    </xf>
    <xf numFmtId="0" fontId="59" fillId="22" borderId="190" xfId="3" applyNumberFormat="1" applyFont="1" applyFill="1" applyBorder="1" applyAlignment="1">
      <alignment vertical="center"/>
    </xf>
    <xf numFmtId="0" fontId="59" fillId="0" borderId="189" xfId="3" applyNumberFormat="1" applyFont="1" applyBorder="1" applyAlignment="1">
      <alignment vertical="center"/>
    </xf>
    <xf numFmtId="0" fontId="59" fillId="0" borderId="181" xfId="3" applyNumberFormat="1" applyFont="1" applyFill="1" applyBorder="1" applyAlignment="1">
      <alignment vertical="center"/>
    </xf>
    <xf numFmtId="164" fontId="67" fillId="0" borderId="191" xfId="3" applyNumberFormat="1" applyFont="1" applyBorder="1" applyAlignment="1">
      <alignment horizontal="right" vertical="center"/>
    </xf>
    <xf numFmtId="164" fontId="67" fillId="0" borderId="191" xfId="3" applyNumberFormat="1" applyFont="1" applyBorder="1" applyAlignment="1">
      <alignment vertical="top"/>
    </xf>
    <xf numFmtId="0" fontId="59" fillId="0" borderId="181"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1" xfId="3" applyNumberFormat="1" applyFont="1" applyBorder="1" applyAlignment="1">
      <alignment vertical="center"/>
    </xf>
    <xf numFmtId="0" fontId="59" fillId="0" borderId="181"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1"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6" xfId="3" applyNumberFormat="1" applyFont="1" applyBorder="1" applyAlignment="1">
      <alignment vertical="center"/>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101" fillId="0" borderId="181" xfId="20" applyFont="1" applyBorder="1"/>
    <xf numFmtId="0" fontId="90" fillId="0" borderId="0" xfId="20" applyFont="1" applyBorder="1"/>
    <xf numFmtId="0" fontId="101" fillId="0" borderId="0" xfId="20" applyFont="1" applyBorder="1" applyAlignment="1">
      <alignment wrapText="1"/>
    </xf>
    <xf numFmtId="0" fontId="101" fillId="0" borderId="182" xfId="20" applyFont="1" applyBorder="1" applyAlignment="1">
      <alignment wrapText="1"/>
    </xf>
    <xf numFmtId="0" fontId="53" fillId="0" borderId="0" xfId="20" applyFont="1"/>
    <xf numFmtId="0" fontId="144" fillId="0" borderId="181" xfId="20" applyFont="1" applyBorder="1" applyAlignment="1"/>
    <xf numFmtId="38" fontId="59" fillId="0" borderId="170" xfId="20" applyNumberFormat="1" applyFont="1" applyBorder="1" applyAlignment="1" applyProtection="1">
      <alignment horizontal="center"/>
      <protection locked="0"/>
    </xf>
    <xf numFmtId="38" fontId="59" fillId="0" borderId="168" xfId="20" applyNumberFormat="1" applyFont="1" applyBorder="1" applyAlignment="1" applyProtection="1">
      <alignment horizontal="center"/>
      <protection locked="0"/>
    </xf>
    <xf numFmtId="38" fontId="59" fillId="0" borderId="175" xfId="20" applyNumberFormat="1" applyFont="1" applyBorder="1" applyAlignment="1" applyProtection="1">
      <alignment horizontal="center"/>
      <protection locked="0"/>
    </xf>
    <xf numFmtId="38" fontId="59" fillId="0" borderId="173" xfId="20" applyNumberFormat="1" applyFont="1" applyBorder="1" applyAlignment="1" applyProtection="1">
      <alignment horizontal="center"/>
      <protection locked="0"/>
    </xf>
    <xf numFmtId="38" fontId="59" fillId="0" borderId="179" xfId="20" applyNumberFormat="1" applyFont="1" applyBorder="1" applyAlignment="1" applyProtection="1">
      <alignment horizontal="center"/>
      <protection locked="0"/>
    </xf>
    <xf numFmtId="38" fontId="59" fillId="0" borderId="177" xfId="20" applyNumberFormat="1" applyFont="1" applyBorder="1" applyAlignment="1" applyProtection="1">
      <alignment horizontal="center"/>
      <protection locked="0"/>
    </xf>
    <xf numFmtId="0" fontId="59" fillId="0" borderId="0" xfId="21" applyFont="1" applyFill="1" applyProtection="1"/>
    <xf numFmtId="0" fontId="59" fillId="0" borderId="0" xfId="21" applyFont="1" applyFill="1" applyAlignment="1" applyProtection="1">
      <alignment horizontal="center"/>
    </xf>
    <xf numFmtId="0" fontId="59" fillId="0" borderId="0" xfId="21" applyFont="1" applyFill="1"/>
    <xf numFmtId="0" fontId="59" fillId="0" borderId="195" xfId="21" applyFont="1" applyFill="1" applyBorder="1" applyProtection="1"/>
    <xf numFmtId="0" fontId="59" fillId="0" borderId="0" xfId="3" applyFont="1" applyFill="1"/>
    <xf numFmtId="0" fontId="59" fillId="0" borderId="0" xfId="21" applyFont="1" applyFill="1" applyAlignment="1">
      <alignment horizontal="center"/>
    </xf>
    <xf numFmtId="43" fontId="59" fillId="0" borderId="0" xfId="22" applyFont="1" applyFill="1"/>
    <xf numFmtId="0" fontId="59" fillId="0" borderId="0" xfId="21" applyFont="1" applyFill="1" applyAlignment="1" applyProtection="1">
      <alignment horizontal="left" indent="1"/>
    </xf>
    <xf numFmtId="43" fontId="59" fillId="0" borderId="0" xfId="22" applyFont="1" applyFill="1" applyAlignment="1" applyProtection="1">
      <alignment horizontal="center"/>
    </xf>
    <xf numFmtId="43" fontId="59" fillId="0" borderId="0" xfId="22" applyFont="1" applyFill="1" applyProtection="1"/>
    <xf numFmtId="0" fontId="59" fillId="0" borderId="0" xfId="21" applyFont="1" applyFill="1" applyAlignment="1" applyProtection="1">
      <alignment horizontal="left" indent="4"/>
    </xf>
    <xf numFmtId="43" fontId="59" fillId="0" borderId="0" xfId="22" applyFont="1" applyFill="1" applyAlignment="1"/>
    <xf numFmtId="185" fontId="59" fillId="0" borderId="0" xfId="21" applyNumberFormat="1" applyFont="1" applyFill="1" applyAlignment="1" applyProtection="1">
      <alignment horizontal="center"/>
    </xf>
    <xf numFmtId="0" fontId="59" fillId="0" borderId="195" xfId="21" applyFont="1" applyFill="1" applyBorder="1" applyAlignment="1" applyProtection="1">
      <alignment horizontal="left"/>
    </xf>
    <xf numFmtId="43" fontId="67" fillId="0" borderId="0" xfId="22" applyFont="1" applyFill="1" applyAlignment="1" applyProtection="1"/>
    <xf numFmtId="43" fontId="67" fillId="0" borderId="0" xfId="22" applyFont="1" applyFill="1" applyAlignment="1" applyProtection="1">
      <alignment horizontal="center"/>
    </xf>
    <xf numFmtId="0" fontId="59" fillId="0" borderId="0" xfId="21" applyFont="1" applyFill="1" applyAlignment="1" applyProtection="1">
      <alignment horizontal="left" indent="5"/>
    </xf>
    <xf numFmtId="43" fontId="59" fillId="0" borderId="0" xfId="21" applyNumberFormat="1" applyFont="1" applyFill="1" applyAlignment="1" applyProtection="1">
      <alignment horizontal="center"/>
    </xf>
    <xf numFmtId="0" fontId="59" fillId="0" borderId="195" xfId="21" applyFont="1" applyFill="1" applyBorder="1" applyAlignment="1" applyProtection="1">
      <alignment horizontal="center"/>
    </xf>
    <xf numFmtId="0" fontId="146" fillId="0" borderId="195" xfId="21" applyFont="1" applyFill="1" applyBorder="1" applyAlignment="1" applyProtection="1">
      <alignment horizontal="center"/>
    </xf>
    <xf numFmtId="43" fontId="146" fillId="0" borderId="195" xfId="21" applyNumberFormat="1" applyFont="1" applyFill="1" applyBorder="1" applyAlignment="1" applyProtection="1">
      <alignment horizontal="center"/>
    </xf>
    <xf numFmtId="0" fontId="146" fillId="0" borderId="195" xfId="21" applyFont="1" applyFill="1" applyBorder="1" applyProtection="1"/>
    <xf numFmtId="0" fontId="67" fillId="0" borderId="0" xfId="21" applyFont="1" applyFill="1" applyAlignment="1" applyProtection="1">
      <alignment horizontal="center"/>
    </xf>
    <xf numFmtId="0" fontId="59" fillId="0" borderId="0" xfId="21" quotePrefix="1" applyFont="1" applyFill="1" applyAlignment="1" applyProtection="1">
      <alignment horizontal="center"/>
    </xf>
    <xf numFmtId="0" fontId="59" fillId="0" borderId="0" xfId="21" applyFont="1" applyFill="1" applyProtection="1">
      <protection locked="0"/>
    </xf>
    <xf numFmtId="0" fontId="59" fillId="0" borderId="0" xfId="21" applyFont="1" applyFill="1" applyAlignment="1" applyProtection="1">
      <alignment horizontal="center"/>
      <protection locked="0"/>
    </xf>
    <xf numFmtId="0" fontId="59" fillId="0" borderId="0" xfId="21" applyFont="1" applyFill="1" applyBorder="1" applyAlignment="1" applyProtection="1">
      <protection locked="0"/>
    </xf>
    <xf numFmtId="0" fontId="59" fillId="0" borderId="78" xfId="21" applyFont="1" applyFill="1" applyBorder="1" applyAlignment="1" applyProtection="1">
      <alignment horizontal="left" indent="1"/>
      <protection locked="0"/>
    </xf>
    <xf numFmtId="0" fontId="59" fillId="0" borderId="78" xfId="21" applyFont="1" applyFill="1" applyBorder="1" applyProtection="1">
      <protection locked="0"/>
    </xf>
    <xf numFmtId="0" fontId="59" fillId="0" borderId="78" xfId="21" applyFont="1" applyFill="1" applyBorder="1" applyAlignment="1" applyProtection="1">
      <alignment horizontal="center"/>
      <protection locked="0"/>
    </xf>
    <xf numFmtId="0" fontId="59" fillId="0" borderId="0" xfId="21" applyFont="1" applyFill="1" applyBorder="1" applyAlignment="1" applyProtection="1">
      <alignment horizontal="left" indent="1"/>
      <protection locked="0"/>
    </xf>
    <xf numFmtId="0" fontId="59" fillId="0" borderId="0" xfId="21" applyFont="1" applyFill="1" applyBorder="1" applyProtection="1">
      <protection locked="0"/>
    </xf>
    <xf numFmtId="0" fontId="59" fillId="0" borderId="0" xfId="21" applyFont="1" applyFill="1" applyBorder="1" applyAlignment="1" applyProtection="1">
      <alignment horizontal="center"/>
      <protection locked="0"/>
    </xf>
    <xf numFmtId="185" fontId="59" fillId="0" borderId="0" xfId="21" applyNumberFormat="1" applyFont="1" applyFill="1" applyBorder="1" applyProtection="1">
      <protection locked="0"/>
    </xf>
    <xf numFmtId="43" fontId="59" fillId="0" borderId="0" xfId="21" applyNumberFormat="1" applyFont="1" applyFill="1" applyBorder="1" applyProtection="1">
      <protection locked="0"/>
    </xf>
    <xf numFmtId="0" fontId="59" fillId="0" borderId="0" xfId="21" applyFont="1" applyFill="1" applyBorder="1" applyAlignment="1" applyProtection="1">
      <alignment horizontal="left"/>
      <protection locked="0"/>
    </xf>
    <xf numFmtId="37" fontId="59" fillId="0" borderId="0" xfId="21" applyNumberFormat="1" applyFont="1" applyFill="1" applyBorder="1" applyProtection="1">
      <protection locked="0"/>
    </xf>
    <xf numFmtId="37" fontId="59" fillId="0" borderId="0" xfId="21" applyNumberFormat="1" applyFont="1" applyFill="1" applyBorder="1" applyAlignment="1" applyProtection="1">
      <protection locked="0"/>
    </xf>
    <xf numFmtId="186" fontId="59" fillId="0" borderId="0" xfId="23" applyNumberFormat="1" applyFont="1" applyFill="1"/>
    <xf numFmtId="0" fontId="59" fillId="0" borderId="0" xfId="21" applyFont="1" applyFill="1" applyBorder="1" applyAlignment="1" applyProtection="1">
      <alignment horizontal="left" indent="3"/>
      <protection locked="0"/>
    </xf>
    <xf numFmtId="185" fontId="59" fillId="0" borderId="78" xfId="21" applyNumberFormat="1" applyFont="1" applyFill="1" applyBorder="1" applyProtection="1">
      <protection locked="0"/>
    </xf>
    <xf numFmtId="0" fontId="59" fillId="0" borderId="0" xfId="21" quotePrefix="1" applyFont="1" applyFill="1" applyBorder="1" applyAlignment="1" applyProtection="1">
      <alignment horizontal="center"/>
      <protection locked="0"/>
    </xf>
    <xf numFmtId="185" fontId="146" fillId="0" borderId="0" xfId="21" applyNumberFormat="1" applyFont="1" applyFill="1" applyBorder="1" applyAlignment="1" applyProtection="1">
      <alignment horizontal="center"/>
      <protection locked="0"/>
    </xf>
    <xf numFmtId="0" fontId="59" fillId="0" borderId="0" xfId="21" applyFont="1" applyFill="1" applyBorder="1" applyAlignment="1" applyProtection="1">
      <alignment horizontal="left" indent="2"/>
      <protection locked="0"/>
    </xf>
    <xf numFmtId="0" fontId="59" fillId="0" borderId="78" xfId="21" applyFont="1" applyFill="1" applyBorder="1" applyAlignment="1" applyProtection="1">
      <alignment horizontal="left" indent="3"/>
      <protection locked="0"/>
    </xf>
    <xf numFmtId="185" fontId="146" fillId="0" borderId="78" xfId="21" applyNumberFormat="1" applyFont="1" applyFill="1" applyBorder="1" applyAlignment="1" applyProtection="1">
      <alignment horizontal="center"/>
      <protection locked="0"/>
    </xf>
    <xf numFmtId="0" fontId="67" fillId="0" borderId="0" xfId="21" applyNumberFormat="1" applyFont="1" applyFill="1" applyBorder="1" applyAlignment="1" applyProtection="1">
      <protection locked="0"/>
    </xf>
    <xf numFmtId="0" fontId="59" fillId="0" borderId="0" xfId="21" applyFont="1" applyFill="1" applyAlignment="1" applyProtection="1">
      <alignment horizontal="left" indent="2"/>
      <protection locked="0"/>
    </xf>
    <xf numFmtId="0" fontId="59" fillId="0" borderId="0" xfId="21" applyFont="1" applyFill="1" applyAlignment="1" applyProtection="1">
      <alignment horizontal="left" indent="3"/>
      <protection locked="0"/>
    </xf>
    <xf numFmtId="185" fontId="59" fillId="0" borderId="0" xfId="21" applyNumberFormat="1" applyFont="1" applyFill="1" applyProtection="1">
      <protection locked="0"/>
    </xf>
    <xf numFmtId="0" fontId="59" fillId="0" borderId="0" xfId="3" applyFont="1" applyFill="1" applyProtection="1">
      <protection locked="0"/>
    </xf>
    <xf numFmtId="0" fontId="59" fillId="0" borderId="78" xfId="21" quotePrefix="1" applyFont="1" applyFill="1" applyBorder="1" applyAlignment="1" applyProtection="1">
      <alignment horizontal="center"/>
      <protection locked="0"/>
    </xf>
    <xf numFmtId="0" fontId="59" fillId="0" borderId="78" xfId="21" applyFont="1" applyFill="1" applyBorder="1" applyAlignment="1" applyProtection="1">
      <alignment horizontal="left" indent="2"/>
      <protection locked="0"/>
    </xf>
    <xf numFmtId="0" fontId="59" fillId="0" borderId="0" xfId="21" applyNumberFormat="1" applyFont="1" applyFill="1" applyBorder="1" applyAlignment="1" applyProtection="1">
      <protection locked="0"/>
    </xf>
    <xf numFmtId="185" fontId="59" fillId="0" borderId="0" xfId="21" applyNumberFormat="1" applyFont="1" applyFill="1" applyBorder="1" applyAlignment="1" applyProtection="1">
      <alignment horizontal="center"/>
      <protection locked="0"/>
    </xf>
    <xf numFmtId="185" fontId="59" fillId="0" borderId="78" xfId="21" applyNumberFormat="1" applyFont="1" applyFill="1" applyBorder="1" applyAlignment="1" applyProtection="1">
      <alignment horizontal="center"/>
      <protection locked="0"/>
    </xf>
    <xf numFmtId="0" fontId="59" fillId="0" borderId="0" xfId="21" applyFont="1" applyFill="1" applyBorder="1" applyAlignment="1" applyProtection="1">
      <alignment horizontal="left" indent="5"/>
      <protection locked="0"/>
    </xf>
    <xf numFmtId="185" fontId="59" fillId="0" borderId="139" xfId="21" applyNumberFormat="1" applyFont="1" applyFill="1" applyBorder="1" applyProtection="1">
      <protection locked="0"/>
    </xf>
    <xf numFmtId="185" fontId="59" fillId="0" borderId="78" xfId="21" applyNumberFormat="1" applyFont="1" applyFill="1" applyBorder="1" applyAlignment="1" applyProtection="1">
      <alignment horizontal="right"/>
      <protection locked="0"/>
    </xf>
    <xf numFmtId="185" fontId="59" fillId="0" borderId="0" xfId="21" applyNumberFormat="1" applyFont="1" applyFill="1" applyBorder="1" applyAlignment="1" applyProtection="1">
      <alignment horizontal="right"/>
      <protection locked="0"/>
    </xf>
    <xf numFmtId="0" fontId="59" fillId="0" borderId="0" xfId="21" applyFont="1" applyFill="1" applyAlignment="1" applyProtection="1">
      <alignment horizontal="left" indent="1"/>
      <protection locked="0"/>
    </xf>
    <xf numFmtId="0" fontId="59" fillId="0" borderId="0" xfId="3" applyFont="1" applyFill="1" applyAlignment="1">
      <alignment horizontal="right"/>
    </xf>
    <xf numFmtId="0" fontId="67" fillId="0" borderId="0" xfId="21" applyNumberFormat="1" applyFont="1" applyFill="1" applyBorder="1" applyAlignment="1" applyProtection="1">
      <alignment horizontal="left"/>
      <protection locked="0"/>
    </xf>
    <xf numFmtId="0" fontId="59" fillId="0" borderId="0" xfId="25" applyFont="1" applyFill="1" applyBorder="1" applyAlignment="1" applyProtection="1">
      <alignment horizontal="left" indent="3"/>
      <protection locked="0"/>
    </xf>
    <xf numFmtId="0" fontId="67" fillId="0" borderId="0" xfId="21" applyFont="1" applyFill="1" applyBorder="1" applyAlignment="1" applyProtection="1">
      <alignment horizontal="left" indent="5"/>
      <protection locked="0"/>
    </xf>
    <xf numFmtId="0" fontId="67" fillId="0" borderId="0" xfId="21" applyFont="1" applyFill="1" applyBorder="1" applyProtection="1">
      <protection locked="0"/>
    </xf>
    <xf numFmtId="0" fontId="67" fillId="0" borderId="0" xfId="21" applyFont="1" applyFill="1" applyBorder="1" applyAlignment="1" applyProtection="1">
      <alignment horizontal="center"/>
      <protection locked="0"/>
    </xf>
    <xf numFmtId="185" fontId="67" fillId="0" borderId="0" xfId="21" applyNumberFormat="1" applyFont="1" applyFill="1" applyBorder="1" applyProtection="1">
      <protection locked="0"/>
    </xf>
    <xf numFmtId="43" fontId="141" fillId="0" borderId="0" xfId="23" applyFont="1" applyFill="1"/>
    <xf numFmtId="0" fontId="67" fillId="0" borderId="78" xfId="21" applyFont="1" applyFill="1" applyBorder="1" applyAlignment="1" applyProtection="1">
      <alignment horizontal="left" indent="5"/>
      <protection locked="0"/>
    </xf>
    <xf numFmtId="0" fontId="67" fillId="0" borderId="78" xfId="21" applyFont="1" applyFill="1" applyBorder="1" applyProtection="1">
      <protection locked="0"/>
    </xf>
    <xf numFmtId="0" fontId="67" fillId="0" borderId="78" xfId="21" applyFont="1" applyFill="1" applyBorder="1" applyAlignment="1" applyProtection="1">
      <alignment horizontal="center"/>
      <protection locked="0"/>
    </xf>
    <xf numFmtId="185" fontId="67" fillId="0" borderId="78" xfId="21" applyNumberFormat="1" applyFont="1" applyFill="1" applyBorder="1" applyProtection="1">
      <protection locked="0"/>
    </xf>
    <xf numFmtId="0" fontId="67" fillId="0" borderId="0" xfId="21" applyFont="1" applyFill="1" applyAlignment="1" applyProtection="1">
      <alignment horizontal="left" indent="5"/>
      <protection locked="0"/>
    </xf>
    <xf numFmtId="0" fontId="67" fillId="0" borderId="0" xfId="21" applyFont="1" applyFill="1" applyProtection="1">
      <protection locked="0"/>
    </xf>
    <xf numFmtId="0" fontId="67" fillId="0" borderId="0" xfId="21" applyFont="1" applyFill="1" applyAlignment="1" applyProtection="1">
      <alignment horizontal="center"/>
      <protection locked="0"/>
    </xf>
    <xf numFmtId="185" fontId="67" fillId="0" borderId="0" xfId="21" applyNumberFormat="1" applyFont="1" applyFill="1" applyBorder="1" applyAlignment="1" applyProtection="1">
      <alignment horizontal="center"/>
      <protection locked="0"/>
    </xf>
    <xf numFmtId="0" fontId="59" fillId="0" borderId="0" xfId="21" applyFont="1" applyFill="1" applyBorder="1" applyAlignment="1" applyProtection="1">
      <alignment horizontal="left" indent="4"/>
      <protection locked="0"/>
    </xf>
    <xf numFmtId="0" fontId="67" fillId="0" borderId="0" xfId="21" quotePrefix="1" applyFont="1" applyFill="1" applyBorder="1" applyAlignment="1" applyProtection="1">
      <alignment horizontal="center"/>
      <protection locked="0"/>
    </xf>
    <xf numFmtId="187" fontId="59" fillId="0" borderId="0" xfId="21" applyNumberFormat="1" applyFont="1" applyFill="1" applyBorder="1" applyAlignment="1" applyProtection="1">
      <alignment horizontal="center"/>
      <protection locked="0"/>
    </xf>
    <xf numFmtId="0" fontId="59" fillId="0" borderId="139" xfId="21" applyFont="1" applyFill="1" applyBorder="1" applyProtection="1">
      <protection locked="0"/>
    </xf>
    <xf numFmtId="0" fontId="59" fillId="0" borderId="139" xfId="21" applyFont="1" applyFill="1" applyBorder="1" applyAlignment="1" applyProtection="1">
      <alignment horizontal="center"/>
      <protection locked="0"/>
    </xf>
    <xf numFmtId="0" fontId="59" fillId="0" borderId="139" xfId="21" quotePrefix="1" applyFont="1" applyFill="1" applyBorder="1" applyAlignment="1" applyProtection="1">
      <alignment horizontal="center"/>
      <protection locked="0"/>
    </xf>
    <xf numFmtId="185" fontId="59" fillId="0" borderId="139" xfId="21" applyNumberFormat="1" applyFont="1" applyFill="1" applyBorder="1" applyAlignment="1" applyProtection="1">
      <alignment horizontal="center"/>
      <protection locked="0"/>
    </xf>
    <xf numFmtId="0" fontId="59" fillId="0" borderId="0" xfId="21" applyFont="1" applyFill="1" applyAlignment="1" applyProtection="1">
      <alignment horizontal="left" indent="5"/>
      <protection locked="0"/>
    </xf>
    <xf numFmtId="188" fontId="59" fillId="0" borderId="0" xfId="21" applyNumberFormat="1" applyFont="1" applyFill="1" applyAlignment="1" applyProtection="1">
      <alignment horizontal="center"/>
      <protection locked="0"/>
    </xf>
    <xf numFmtId="39" fontId="59" fillId="0" borderId="0" xfId="21" applyNumberFormat="1" applyFont="1" applyFill="1" applyProtection="1">
      <protection locked="0"/>
    </xf>
    <xf numFmtId="37" fontId="59" fillId="0" borderId="0" xfId="21" applyNumberFormat="1" applyFont="1" applyFill="1" applyProtection="1">
      <protection locked="0"/>
    </xf>
    <xf numFmtId="37" fontId="59" fillId="0" borderId="0" xfId="21" applyNumberFormat="1" applyFont="1" applyFill="1" applyAlignment="1" applyProtection="1">
      <alignment horizontal="center"/>
      <protection locked="0"/>
    </xf>
    <xf numFmtId="0" fontId="67" fillId="0" borderId="0" xfId="21" applyFont="1" applyFill="1" applyAlignment="1" applyProtection="1">
      <alignment horizontal="left"/>
      <protection locked="0"/>
    </xf>
    <xf numFmtId="186" fontId="59" fillId="0" borderId="0" xfId="26" applyNumberFormat="1" applyFont="1" applyFill="1" applyProtection="1">
      <protection locked="0"/>
    </xf>
    <xf numFmtId="186" fontId="59" fillId="0" borderId="0" xfId="26" applyNumberFormat="1" applyFont="1" applyFill="1" applyBorder="1" applyProtection="1">
      <protection locked="0"/>
    </xf>
    <xf numFmtId="43" fontId="59" fillId="0" borderId="0" xfId="23" applyFont="1" applyFill="1"/>
    <xf numFmtId="188" fontId="59" fillId="0" borderId="0" xfId="3" applyNumberFormat="1" applyFont="1" applyFill="1"/>
    <xf numFmtId="164" fontId="59" fillId="0" borderId="0" xfId="0" applyNumberFormat="1" applyFont="1" applyAlignment="1">
      <alignment vertical="top"/>
    </xf>
    <xf numFmtId="186" fontId="59" fillId="0" borderId="0" xfId="1" applyNumberFormat="1" applyFont="1"/>
    <xf numFmtId="0" fontId="59" fillId="0" borderId="0" xfId="0" applyFont="1" applyFill="1" applyAlignment="1">
      <alignment wrapText="1"/>
    </xf>
    <xf numFmtId="186" fontId="59" fillId="0" borderId="0" xfId="1" applyNumberFormat="1" applyFont="1" applyFill="1"/>
    <xf numFmtId="0" fontId="4" fillId="0" borderId="0" xfId="27"/>
    <xf numFmtId="0" fontId="4" fillId="0" borderId="0" xfId="27" applyAlignment="1">
      <alignment vertical="top"/>
    </xf>
    <xf numFmtId="38" fontId="4" fillId="0" borderId="0" xfId="27" applyNumberFormat="1" applyAlignment="1">
      <alignment horizontal="right" vertical="top"/>
    </xf>
    <xf numFmtId="182" fontId="4" fillId="0" borderId="0" xfId="27" applyNumberFormat="1" applyAlignment="1">
      <alignment vertical="top"/>
    </xf>
    <xf numFmtId="0" fontId="4" fillId="0" borderId="0" xfId="27" applyAlignment="1">
      <alignment horizontal="left" vertical="top" wrapText="1"/>
    </xf>
    <xf numFmtId="38" fontId="4" fillId="16" borderId="155" xfId="27" applyNumberFormat="1" applyFill="1" applyBorder="1" applyAlignment="1" applyProtection="1">
      <alignment vertical="top"/>
    </xf>
    <xf numFmtId="38" fontId="4" fillId="16" borderId="155" xfId="27" applyNumberFormat="1" applyFont="1" applyFill="1" applyBorder="1" applyAlignment="1" applyProtection="1">
      <alignment horizontal="right" vertical="top"/>
    </xf>
    <xf numFmtId="38" fontId="4" fillId="16" borderId="155" xfId="27" applyNumberFormat="1" applyFill="1" applyBorder="1" applyAlignment="1" applyProtection="1">
      <alignment horizontal="right" vertical="top"/>
    </xf>
    <xf numFmtId="0" fontId="4" fillId="16" borderId="155" xfId="27" applyFill="1" applyBorder="1" applyAlignment="1" applyProtection="1">
      <alignment vertical="top"/>
    </xf>
    <xf numFmtId="184" fontId="4" fillId="16" borderId="155" xfId="27" applyNumberFormat="1" applyFill="1" applyBorder="1" applyAlignment="1" applyProtection="1">
      <alignment vertical="top"/>
    </xf>
    <xf numFmtId="0" fontId="4" fillId="16" borderId="155" xfId="27" applyFill="1" applyBorder="1" applyAlignment="1" applyProtection="1">
      <alignment horizontal="left" vertical="top" wrapText="1"/>
    </xf>
    <xf numFmtId="38" fontId="4" fillId="16" borderId="77" xfId="27" applyNumberFormat="1" applyFont="1" applyFill="1" applyBorder="1" applyAlignment="1" applyProtection="1">
      <alignment horizontal="right" vertical="top"/>
    </xf>
    <xf numFmtId="186" fontId="4" fillId="0" borderId="77" xfId="28" applyNumberFormat="1" applyFont="1" applyBorder="1"/>
    <xf numFmtId="0" fontId="109" fillId="0" borderId="77" xfId="29" applyFont="1" applyBorder="1">
      <alignment vertical="center"/>
    </xf>
    <xf numFmtId="0" fontId="4" fillId="0" borderId="0" xfId="27" quotePrefix="1" applyNumberFormat="1" applyFont="1"/>
    <xf numFmtId="38" fontId="129" fillId="20" borderId="197" xfId="27" applyNumberFormat="1" applyFont="1" applyFill="1" applyBorder="1" applyAlignment="1" applyProtection="1">
      <alignment vertical="top"/>
    </xf>
    <xf numFmtId="38" fontId="129" fillId="20" borderId="197" xfId="27" applyNumberFormat="1" applyFont="1" applyFill="1" applyBorder="1" applyAlignment="1" applyProtection="1">
      <alignment horizontal="right" vertical="top"/>
    </xf>
    <xf numFmtId="0" fontId="129" fillId="20" borderId="197" xfId="27" applyFont="1" applyFill="1" applyBorder="1" applyAlignment="1" applyProtection="1">
      <alignment vertical="top"/>
    </xf>
    <xf numFmtId="184" fontId="129" fillId="20" borderId="197" xfId="27" applyNumberFormat="1" applyFont="1" applyFill="1" applyBorder="1" applyAlignment="1" applyProtection="1">
      <alignment horizontal="center" vertical="top"/>
    </xf>
    <xf numFmtId="0" fontId="129" fillId="20" borderId="197" xfId="27" applyFont="1" applyFill="1" applyBorder="1" applyAlignment="1" applyProtection="1">
      <alignment horizontal="left" vertical="top" wrapText="1"/>
    </xf>
    <xf numFmtId="38" fontId="127" fillId="22" borderId="154" xfId="27" applyNumberFormat="1" applyFont="1" applyFill="1" applyBorder="1" applyAlignment="1">
      <alignment horizontal="center" vertical="center" wrapText="1"/>
    </xf>
    <xf numFmtId="0" fontId="127" fillId="22" borderId="154" xfId="27" applyFont="1" applyFill="1" applyBorder="1" applyAlignment="1">
      <alignment horizontal="center" vertical="center" wrapText="1"/>
    </xf>
    <xf numFmtId="182" fontId="127" fillId="22" borderId="154" xfId="27" applyNumberFormat="1" applyFont="1" applyFill="1" applyBorder="1" applyAlignment="1">
      <alignment horizontal="center" vertical="center" wrapText="1"/>
    </xf>
    <xf numFmtId="0" fontId="129" fillId="0" borderId="97" xfId="27" applyFont="1" applyBorder="1" applyAlignment="1">
      <alignment vertical="top"/>
    </xf>
    <xf numFmtId="0" fontId="129" fillId="0" borderId="0" xfId="27" applyFont="1" applyBorder="1" applyAlignment="1">
      <alignment vertical="top"/>
    </xf>
    <xf numFmtId="182" fontId="129" fillId="0" borderId="0" xfId="27" applyNumberFormat="1" applyFont="1" applyBorder="1" applyAlignment="1">
      <alignment vertical="top"/>
    </xf>
    <xf numFmtId="0" fontId="129" fillId="0" borderId="96" xfId="27" applyFont="1" applyBorder="1" applyAlignment="1">
      <alignment vertical="top"/>
    </xf>
    <xf numFmtId="0" fontId="129" fillId="0" borderId="97" xfId="27" applyFont="1" applyBorder="1" applyAlignment="1">
      <alignment vertical="top" wrapText="1"/>
    </xf>
    <xf numFmtId="0" fontId="129" fillId="0" borderId="0" xfId="27" applyFont="1" applyBorder="1" applyAlignment="1">
      <alignment vertical="top" wrapText="1"/>
    </xf>
    <xf numFmtId="0" fontId="142" fillId="0" borderId="0" xfId="27" applyFont="1" applyBorder="1" applyAlignment="1">
      <alignment vertical="top"/>
    </xf>
    <xf numFmtId="0" fontId="142" fillId="0" borderId="96" xfId="27" applyFont="1" applyBorder="1" applyAlignment="1">
      <alignment vertical="top"/>
    </xf>
    <xf numFmtId="0" fontId="128" fillId="0" borderId="140" xfId="27" applyFont="1" applyBorder="1" applyAlignment="1">
      <alignment horizontal="center" vertical="top"/>
    </xf>
    <xf numFmtId="0" fontId="128" fillId="0" borderId="139" xfId="27" applyFont="1" applyBorder="1" applyAlignment="1">
      <alignment horizontal="center" vertical="top"/>
    </xf>
    <xf numFmtId="182" fontId="128" fillId="0" borderId="139" xfId="27" applyNumberFormat="1" applyFont="1" applyBorder="1" applyAlignment="1">
      <alignment horizontal="center" vertical="top"/>
    </xf>
    <xf numFmtId="0" fontId="101" fillId="0" borderId="138" xfId="27" applyFont="1" applyBorder="1" applyAlignment="1">
      <alignment horizontal="left" vertical="top"/>
    </xf>
    <xf numFmtId="0" fontId="4" fillId="0" borderId="0" xfId="27" applyAlignment="1">
      <alignment horizontal="center" vertical="top" wrapText="1"/>
    </xf>
    <xf numFmtId="182" fontId="4" fillId="0" borderId="0" xfId="27" applyNumberFormat="1" applyAlignment="1">
      <alignment horizontal="center" vertical="top" wrapText="1"/>
    </xf>
    <xf numFmtId="0" fontId="4" fillId="0" borderId="0" xfId="27" applyAlignment="1">
      <alignment horizontal="center" vertical="center" wrapText="1"/>
    </xf>
    <xf numFmtId="0" fontId="4" fillId="0" borderId="0" xfId="27" applyFont="1" applyAlignment="1">
      <alignment horizontal="left" vertical="center"/>
    </xf>
    <xf numFmtId="182" fontId="4" fillId="0" borderId="0" xfId="27" applyNumberFormat="1" applyAlignment="1">
      <alignment horizontal="center" vertical="center" wrapText="1"/>
    </xf>
    <xf numFmtId="0" fontId="4" fillId="0" borderId="0" xfId="27" applyAlignment="1">
      <alignment vertical="center"/>
    </xf>
    <xf numFmtId="182" fontId="4" fillId="0" borderId="0" xfId="27" applyNumberFormat="1" applyAlignment="1">
      <alignment vertical="center"/>
    </xf>
    <xf numFmtId="0" fontId="4" fillId="0" borderId="0" xfId="27" applyFont="1" applyAlignment="1">
      <alignment vertical="center"/>
    </xf>
    <xf numFmtId="0" fontId="59" fillId="0" borderId="78" xfId="21" applyFont="1" applyFill="1" applyBorder="1" applyAlignment="1" applyProtection="1">
      <alignment horizontal="center"/>
    </xf>
    <xf numFmtId="0" fontId="59" fillId="0" borderId="195" xfId="21" applyFont="1" applyFill="1" applyBorder="1" applyAlignment="1" applyProtection="1"/>
    <xf numFmtId="0" fontId="59" fillId="0" borderId="0" xfId="21" applyFont="1" applyFill="1" applyAlignment="1" applyProtection="1"/>
    <xf numFmtId="0" fontId="59" fillId="0" borderId="0" xfId="21" applyFont="1" applyFill="1" applyAlignment="1" applyProtection="1">
      <protection locked="0"/>
    </xf>
    <xf numFmtId="0" fontId="59" fillId="0" borderId="78" xfId="21" applyFont="1" applyFill="1" applyBorder="1" applyAlignment="1" applyProtection="1">
      <protection locked="0"/>
    </xf>
    <xf numFmtId="0" fontId="67" fillId="0" borderId="78" xfId="21" applyNumberFormat="1" applyFont="1" applyFill="1" applyBorder="1" applyAlignment="1" applyProtection="1">
      <protection locked="0"/>
    </xf>
    <xf numFmtId="0" fontId="59" fillId="0" borderId="78" xfId="21" applyNumberFormat="1" applyFont="1" applyFill="1" applyBorder="1" applyAlignment="1" applyProtection="1">
      <protection locked="0"/>
    </xf>
    <xf numFmtId="0" fontId="67" fillId="0" borderId="78" xfId="21" applyNumberFormat="1" applyFont="1" applyFill="1" applyBorder="1" applyAlignment="1" applyProtection="1">
      <alignment horizontal="left"/>
      <protection locked="0"/>
    </xf>
    <xf numFmtId="0" fontId="146" fillId="0" borderId="0" xfId="21" applyFont="1" applyFill="1" applyProtection="1"/>
    <xf numFmtId="0" fontId="146" fillId="0" borderId="0" xfId="21" applyFont="1" applyFill="1" applyBorder="1" applyAlignment="1" applyProtection="1">
      <alignment horizontal="center"/>
    </xf>
    <xf numFmtId="0" fontId="146" fillId="0" borderId="0" xfId="21" quotePrefix="1" applyFont="1" applyFill="1" applyAlignment="1" applyProtection="1">
      <alignment horizontal="center"/>
    </xf>
    <xf numFmtId="0" fontId="146" fillId="0" borderId="0" xfId="21" applyFont="1" applyFill="1" applyProtection="1">
      <protection locked="0"/>
    </xf>
    <xf numFmtId="0" fontId="146" fillId="0" borderId="78" xfId="21" applyFont="1" applyFill="1" applyBorder="1" applyProtection="1">
      <protection locked="0"/>
    </xf>
    <xf numFmtId="43" fontId="146" fillId="0" borderId="0" xfId="21" applyNumberFormat="1" applyFont="1" applyFill="1" applyBorder="1" applyProtection="1">
      <protection locked="0"/>
    </xf>
    <xf numFmtId="37" fontId="146" fillId="0" borderId="0" xfId="21" applyNumberFormat="1" applyFont="1" applyFill="1" applyBorder="1" applyProtection="1">
      <protection locked="0"/>
    </xf>
    <xf numFmtId="185" fontId="146" fillId="0" borderId="0" xfId="21" applyNumberFormat="1" applyFont="1" applyFill="1" applyBorder="1" applyProtection="1">
      <protection locked="0"/>
    </xf>
    <xf numFmtId="0" fontId="59" fillId="0" borderId="0" xfId="3" applyFont="1" applyFill="1" applyBorder="1"/>
    <xf numFmtId="185" fontId="146" fillId="0" borderId="78" xfId="21" applyNumberFormat="1" applyFont="1" applyFill="1" applyBorder="1" applyProtection="1">
      <protection locked="0"/>
    </xf>
    <xf numFmtId="0" fontId="102" fillId="0" borderId="0" xfId="31" applyFont="1" applyFill="1" applyBorder="1" applyAlignment="1">
      <alignment horizontal="left" indent="2"/>
    </xf>
    <xf numFmtId="185" fontId="146" fillId="0" borderId="0" xfId="21" applyNumberFormat="1" applyFont="1" applyFill="1" applyProtection="1">
      <protection locked="0"/>
    </xf>
    <xf numFmtId="0" fontId="146" fillId="0" borderId="0" xfId="3" applyFont="1" applyFill="1" applyProtection="1">
      <protection locked="0"/>
    </xf>
    <xf numFmtId="185" fontId="146" fillId="0" borderId="139" xfId="21" applyNumberFormat="1" applyFont="1" applyFill="1" applyBorder="1" applyProtection="1">
      <protection locked="0"/>
    </xf>
    <xf numFmtId="186" fontId="67" fillId="0" borderId="196" xfId="1" applyNumberFormat="1" applyFont="1" applyFill="1" applyBorder="1" applyProtection="1">
      <protection locked="0"/>
    </xf>
    <xf numFmtId="186" fontId="146" fillId="0" borderId="196" xfId="1" applyNumberFormat="1" applyFont="1" applyFill="1" applyBorder="1" applyProtection="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2"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27" applyFont="1" applyFill="1" applyBorder="1" applyAlignment="1" applyProtection="1">
      <alignment horizontal="left" vertical="top" wrapText="1"/>
      <protection hidden="1"/>
    </xf>
    <xf numFmtId="0" fontId="129" fillId="0" borderId="0" xfId="27" applyFont="1" applyFill="1" applyBorder="1" applyAlignment="1" applyProtection="1">
      <alignment horizontal="left" vertical="top" wrapText="1"/>
      <protection hidden="1"/>
    </xf>
    <xf numFmtId="0" fontId="129" fillId="0" borderId="97" xfId="27" applyFont="1" applyFill="1" applyBorder="1" applyAlignment="1" applyProtection="1">
      <alignment horizontal="left" vertical="top" wrapText="1"/>
      <protection hidden="1"/>
    </xf>
    <xf numFmtId="0" fontId="128" fillId="22" borderId="138" xfId="27" applyFont="1" applyFill="1" applyBorder="1" applyAlignment="1">
      <alignment horizontal="center" vertical="center"/>
    </xf>
    <xf numFmtId="0" fontId="128" fillId="22" borderId="139" xfId="27" applyFont="1" applyFill="1" applyBorder="1" applyAlignment="1">
      <alignment horizontal="center" vertical="center"/>
    </xf>
    <xf numFmtId="0" fontId="128" fillId="22" borderId="140" xfId="27" applyFont="1" applyFill="1" applyBorder="1" applyAlignment="1">
      <alignment horizontal="center" vertical="center"/>
    </xf>
    <xf numFmtId="0" fontId="128" fillId="22" borderId="98" xfId="27" applyFont="1" applyFill="1" applyBorder="1" applyAlignment="1">
      <alignment horizontal="center" vertical="center"/>
    </xf>
    <xf numFmtId="0" fontId="128" fillId="22" borderId="78" xfId="27" applyFont="1" applyFill="1" applyBorder="1" applyAlignment="1">
      <alignment horizontal="center" vertical="center"/>
    </xf>
    <xf numFmtId="0" fontId="128" fillId="22" borderId="99" xfId="27" applyFont="1" applyFill="1" applyBorder="1" applyAlignment="1">
      <alignment horizontal="center" vertical="center"/>
    </xf>
    <xf numFmtId="0" fontId="129" fillId="0" borderId="96" xfId="27" applyFont="1" applyBorder="1" applyAlignment="1">
      <alignment vertical="top" wrapText="1"/>
    </xf>
    <xf numFmtId="0" fontId="129" fillId="0" borderId="0" xfId="27" applyFont="1" applyBorder="1" applyAlignment="1">
      <alignment vertical="top" wrapText="1"/>
    </xf>
    <xf numFmtId="0" fontId="129" fillId="0" borderId="97" xfId="27" applyFont="1" applyBorder="1" applyAlignment="1">
      <alignment vertical="top" wrapText="1"/>
    </xf>
    <xf numFmtId="0" fontId="129" fillId="0" borderId="96" xfId="27" applyFont="1" applyBorder="1" applyAlignment="1">
      <alignment vertical="top"/>
    </xf>
    <xf numFmtId="0" fontId="129" fillId="0" borderId="0" xfId="27" applyFont="1" applyBorder="1" applyAlignment="1">
      <alignment vertical="top"/>
    </xf>
    <xf numFmtId="0" fontId="129" fillId="0" borderId="97" xfId="2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indent="1"/>
    </xf>
    <xf numFmtId="0" fontId="59" fillId="0" borderId="126" xfId="3" applyNumberFormat="1" applyFont="1" applyBorder="1" applyAlignment="1">
      <alignment horizontal="left" vertical="center"/>
    </xf>
    <xf numFmtId="0" fontId="59" fillId="22" borderId="181"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90"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59" fillId="0" borderId="172" xfId="20" applyFont="1" applyBorder="1" applyAlignment="1">
      <alignment wrapText="1"/>
    </xf>
    <xf numFmtId="0" fontId="59" fillId="0" borderId="173"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2" xfId="20" applyFont="1" applyBorder="1" applyAlignment="1">
      <alignment horizontal="center"/>
    </xf>
    <xf numFmtId="0" fontId="143" fillId="0" borderId="193" xfId="20" applyFont="1" applyBorder="1" applyAlignment="1">
      <alignment horizontal="center"/>
    </xf>
    <xf numFmtId="0" fontId="143" fillId="0" borderId="194" xfId="20" applyFont="1" applyBorder="1" applyAlignment="1">
      <alignment horizontal="center"/>
    </xf>
    <xf numFmtId="0" fontId="59" fillId="0" borderId="181" xfId="20" applyFont="1" applyBorder="1" applyAlignment="1">
      <alignment wrapText="1"/>
    </xf>
    <xf numFmtId="0" fontId="59" fillId="0" borderId="0" xfId="20" applyFont="1" applyBorder="1" applyAlignment="1">
      <alignment wrapText="1"/>
    </xf>
    <xf numFmtId="0" fontId="59" fillId="0" borderId="182" xfId="20" applyFont="1" applyBorder="1" applyAlignment="1">
      <alignment wrapText="1"/>
    </xf>
    <xf numFmtId="0" fontId="59" fillId="0" borderId="183" xfId="3" applyNumberFormat="1" applyFont="1" applyBorder="1" applyAlignment="1">
      <alignment horizontal="left" vertical="center"/>
    </xf>
    <xf numFmtId="166" fontId="59" fillId="0" borderId="184" xfId="3" applyNumberFormat="1" applyFont="1" applyBorder="1" applyAlignment="1">
      <alignment horizontal="left" vertical="center" indent="1"/>
    </xf>
    <xf numFmtId="0" fontId="59" fillId="26" borderId="185" xfId="20" applyFont="1" applyFill="1" applyBorder="1"/>
    <xf numFmtId="0" fontId="59" fillId="26" borderId="77" xfId="20" applyFont="1" applyFill="1" applyBorder="1"/>
    <xf numFmtId="0" fontId="67" fillId="0" borderId="163" xfId="20" applyFont="1" applyBorder="1" applyAlignment="1">
      <alignment horizontal="center" wrapText="1"/>
    </xf>
    <xf numFmtId="0" fontId="67" fillId="0" borderId="164" xfId="20" applyFont="1" applyBorder="1" applyAlignment="1">
      <alignment horizontal="center" wrapText="1"/>
    </xf>
    <xf numFmtId="0" fontId="103" fillId="0" borderId="165"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7" xfId="20" applyFont="1" applyBorder="1" applyAlignment="1"/>
    <xf numFmtId="0" fontId="59" fillId="0" borderId="168" xfId="20" applyFont="1" applyBorder="1" applyAlignment="1"/>
    <xf numFmtId="0" fontId="59" fillId="0" borderId="172" xfId="20" applyFont="1" applyBorder="1" applyAlignment="1"/>
    <xf numFmtId="0" fontId="59" fillId="0" borderId="173" xfId="20" applyFont="1" applyBorder="1" applyAlignment="1"/>
    <xf numFmtId="0" fontId="59" fillId="0" borderId="176" xfId="20" applyFont="1" applyBorder="1" applyAlignment="1"/>
    <xf numFmtId="0" fontId="59" fillId="0" borderId="177" xfId="20" applyFont="1" applyBorder="1" applyAlignment="1"/>
    <xf numFmtId="0" fontId="67" fillId="0" borderId="185" xfId="20" applyFont="1" applyBorder="1" applyAlignment="1"/>
    <xf numFmtId="0" fontId="67" fillId="0" borderId="77"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59" fillId="0" borderId="78" xfId="21" applyFont="1" applyFill="1" applyBorder="1" applyAlignment="1" applyProtection="1">
      <alignment horizont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2">
    <cellStyle name="Comma" xfId="1" builtinId="3"/>
    <cellStyle name="Comma 2" xfId="23" xr:uid="{00000000-0005-0000-0000-000001000000}"/>
    <cellStyle name="Comma 2 2" xfId="26" xr:uid="{00000000-0005-0000-0000-000002000000}"/>
    <cellStyle name="Comma 2 3" xfId="28" xr:uid="{00000000-0005-0000-0000-000003000000}"/>
    <cellStyle name="Comma 3 2" xfId="22" xr:uid="{00000000-0005-0000-0000-000004000000}"/>
    <cellStyle name="Hyperlink" xfId="2" builtinId="8"/>
    <cellStyle name="Hyperlink 2" xfId="15" xr:uid="{00000000-0005-0000-0000-000006000000}"/>
    <cellStyle name="Normal" xfId="0" builtinId="0"/>
    <cellStyle name="Normal 2" xfId="3" xr:uid="{00000000-0005-0000-0000-000008000000}"/>
    <cellStyle name="Normal 2 2" xfId="25" xr:uid="{00000000-0005-0000-0000-000009000000}"/>
    <cellStyle name="Normal 2 3 2 4" xfId="24" xr:uid="{00000000-0005-0000-0000-00000A000000}"/>
    <cellStyle name="Normal 2 3 2 4 2" xfId="30" xr:uid="{00000000-0005-0000-0000-00000B000000}"/>
    <cellStyle name="Normal 2 3 2 4 3" xfId="31" xr:uid="{00000000-0005-0000-0000-00000C000000}"/>
    <cellStyle name="Normal 3" xfId="4" xr:uid="{00000000-0005-0000-0000-00000D000000}"/>
    <cellStyle name="Normal 3 2" xfId="14" xr:uid="{00000000-0005-0000-0000-00000E000000}"/>
    <cellStyle name="Normal 3 2 2" xfId="18" xr:uid="{00000000-0005-0000-0000-00000F000000}"/>
    <cellStyle name="Normal 3 4 2" xfId="21" xr:uid="{00000000-0005-0000-0000-000010000000}"/>
    <cellStyle name="Normal 4" xfId="16" xr:uid="{00000000-0005-0000-0000-000011000000}"/>
    <cellStyle name="Normal 5" xfId="17" xr:uid="{00000000-0005-0000-0000-000012000000}"/>
    <cellStyle name="Normal 5 2" xfId="19" xr:uid="{00000000-0005-0000-0000-000013000000}"/>
    <cellStyle name="Normal 5 2 2" xfId="27" xr:uid="{00000000-0005-0000-0000-000014000000}"/>
    <cellStyle name="Normal 6" xfId="20" xr:uid="{00000000-0005-0000-0000-000015000000}"/>
    <cellStyle name="Normal 7" xfId="29" xr:uid="{00000000-0005-0000-0000-000016000000}"/>
    <cellStyle name="Normal_AFRPG3" xfId="5" xr:uid="{00000000-0005-0000-0000-000017000000}"/>
    <cellStyle name="Normal_AFRPG41" xfId="6" xr:uid="{00000000-0005-0000-0000-000018000000}"/>
    <cellStyle name="Normal_AFRPG47" xfId="7" xr:uid="{00000000-0005-0000-0000-000019000000}"/>
    <cellStyle name="Normal_AFRPG56" xfId="8" xr:uid="{00000000-0005-0000-0000-00001A000000}"/>
    <cellStyle name="Normal_AFRPG59" xfId="9" xr:uid="{00000000-0005-0000-0000-00001B000000}"/>
    <cellStyle name="Normal_AFRPG63" xfId="10" xr:uid="{00000000-0005-0000-0000-00001C000000}"/>
    <cellStyle name="Normal_AFRPG64" xfId="11" xr:uid="{00000000-0005-0000-0000-00001D000000}"/>
    <cellStyle name="Normal_COVER" xfId="12" xr:uid="{00000000-0005-0000-0000-00001E000000}"/>
    <cellStyle name="Normal_THRESHOLD CALCULATOR v3" xfId="13" xr:uid="{00000000-0005-0000-0000-00001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495300</xdr:colOff>
          <xdr:row>9</xdr:row>
          <xdr:rowOff>133350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0E00-000001A8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133350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0E00-000002A8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3</xdr:row>
          <xdr:rowOff>161925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7</xdr:row>
          <xdr:rowOff>161925</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276225</xdr:colOff>
          <xdr:row>3</xdr:row>
          <xdr:rowOff>161925</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276225</xdr:colOff>
          <xdr:row>7</xdr:row>
          <xdr:rowOff>161925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1004454</xdr:colOff>
          <xdr:row>0</xdr:row>
          <xdr:rowOff>34636</xdr:rowOff>
        </xdr:from>
        <xdr:to>
          <xdr:col>1</xdr:col>
          <xdr:colOff>1918854</xdr:colOff>
          <xdr:row>4</xdr:row>
          <xdr:rowOff>158461</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3807290C-DAA7-4370-B7BD-58263012F8E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978477</xdr:colOff>
          <xdr:row>5</xdr:row>
          <xdr:rowOff>103908</xdr:rowOff>
        </xdr:from>
        <xdr:to>
          <xdr:col>1</xdr:col>
          <xdr:colOff>1892877</xdr:colOff>
          <xdr:row>10</xdr:row>
          <xdr:rowOff>63211</xdr:rowOff>
        </xdr:to>
        <xdr:sp macro="" textlink="">
          <xdr:nvSpPr>
            <xdr:cNvPr id="51206" name="Object 6" hidden="1">
              <a:extLst>
                <a:ext uri="{63B3BB69-23CF-44E3-9099-C40C66FF867C}">
                  <a14:compatExt spid="_x0000_s51206"/>
                </a:ext>
                <a:ext uri="{FF2B5EF4-FFF2-40B4-BE49-F238E27FC236}">
                  <a16:creationId xmlns:a16="http://schemas.microsoft.com/office/drawing/2014/main" id="{7BEBBDCD-2B4A-43A8-9780-B83FA08B176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398317</xdr:colOff>
          <xdr:row>0</xdr:row>
          <xdr:rowOff>0</xdr:rowOff>
        </xdr:from>
        <xdr:to>
          <xdr:col>5</xdr:col>
          <xdr:colOff>65808</xdr:colOff>
          <xdr:row>4</xdr:row>
          <xdr:rowOff>123825</xdr:rowOff>
        </xdr:to>
        <xdr:sp macro="" textlink="">
          <xdr:nvSpPr>
            <xdr:cNvPr id="51207" name="Object 7" hidden="1">
              <a:extLst>
                <a:ext uri="{63B3BB69-23CF-44E3-9099-C40C66FF867C}">
                  <a14:compatExt spid="_x0000_s51207"/>
                </a:ext>
                <a:ext uri="{FF2B5EF4-FFF2-40B4-BE49-F238E27FC236}">
                  <a16:creationId xmlns:a16="http://schemas.microsoft.com/office/drawing/2014/main" id="{7CDAF3B8-257D-4BF1-87F2-5805285287C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xdr:row>
          <xdr:rowOff>34636</xdr:rowOff>
        </xdr:from>
        <xdr:to>
          <xdr:col>5</xdr:col>
          <xdr:colOff>48491</xdr:colOff>
          <xdr:row>9</xdr:row>
          <xdr:rowOff>158461</xdr:rowOff>
        </xdr:to>
        <xdr:sp macro="" textlink="">
          <xdr:nvSpPr>
            <xdr:cNvPr id="51208" name="Object 8" hidden="1">
              <a:extLst>
                <a:ext uri="{63B3BB69-23CF-44E3-9099-C40C66FF867C}">
                  <a14:compatExt spid="_x0000_s51208"/>
                </a:ext>
                <a:ext uri="{FF2B5EF4-FFF2-40B4-BE49-F238E27FC236}">
                  <a16:creationId xmlns:a16="http://schemas.microsoft.com/office/drawing/2014/main" id="{4451A9BE-FF6A-4C61-8ADA-2A3E316B74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050461\Desktop\Robyn's%20Copy%20of%20AFR%20with%20Contrac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SEFA"/>
      <sheetName val="SEFA old"/>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1">
        <f>+'AFR20'!E4</f>
        <v>44119</v>
      </c>
      <c r="C1" s="2151"/>
      <c r="D1" s="2152"/>
      <c r="I1" s="2230" t="s">
        <v>401</v>
      </c>
      <c r="J1" s="2231"/>
      <c r="K1" s="2231"/>
      <c r="L1" s="2231"/>
      <c r="M1" s="2231"/>
      <c r="N1" s="2231"/>
      <c r="O1" s="2231"/>
      <c r="P1" s="2231"/>
      <c r="Q1" s="2231"/>
      <c r="R1" s="2231"/>
      <c r="S1" s="2231"/>
    </row>
    <row r="2" spans="1:32" ht="12" customHeight="1" x14ac:dyDescent="0.2">
      <c r="A2" s="1831" t="str">
        <f>"Due to ISBE on "</f>
        <v xml:space="preserve">Due to ISBE on </v>
      </c>
      <c r="B2" s="2153">
        <f>+'AFR20'!F4</f>
        <v>44151</v>
      </c>
      <c r="C2" s="2153"/>
      <c r="D2" s="2154"/>
      <c r="I2" s="2232" t="s">
        <v>1999</v>
      </c>
      <c r="J2" s="2231"/>
      <c r="K2" s="2231"/>
      <c r="L2" s="2231"/>
      <c r="M2" s="2231"/>
      <c r="N2" s="2231"/>
      <c r="O2" s="2231"/>
      <c r="P2" s="2231"/>
      <c r="Q2" s="2231"/>
      <c r="R2" s="2231"/>
      <c r="S2" s="2231"/>
    </row>
    <row r="3" spans="1:32" ht="12" customHeight="1" x14ac:dyDescent="0.2">
      <c r="A3" s="1834" t="str">
        <f>"SD/JA"&amp;MID('AFR20'!E2,3,2)</f>
        <v>SD/JA20</v>
      </c>
      <c r="B3" s="151"/>
      <c r="C3" s="151"/>
      <c r="D3" s="152"/>
      <c r="I3" s="2232" t="s">
        <v>52</v>
      </c>
      <c r="J3" s="2231"/>
      <c r="K3" s="2231"/>
      <c r="L3" s="2231"/>
      <c r="M3" s="2231"/>
      <c r="N3" s="2231"/>
      <c r="O3" s="2231"/>
      <c r="P3" s="2231"/>
      <c r="Q3" s="2231"/>
      <c r="R3" s="2231"/>
      <c r="S3" s="2231"/>
    </row>
    <row r="4" spans="1:32" ht="12" customHeight="1" x14ac:dyDescent="0.2">
      <c r="A4" s="37"/>
      <c r="I4" s="2232" t="s">
        <v>520</v>
      </c>
      <c r="J4" s="2231"/>
      <c r="K4" s="2231"/>
      <c r="L4" s="2231"/>
      <c r="M4" s="2231"/>
      <c r="N4" s="2231"/>
      <c r="O4" s="2231"/>
      <c r="P4" s="2231"/>
      <c r="Q4" s="2231"/>
      <c r="R4" s="2231"/>
      <c r="S4" s="2231"/>
    </row>
    <row r="5" spans="1:32" ht="14.1" customHeight="1" x14ac:dyDescent="0.2">
      <c r="B5" s="101" t="s">
        <v>2047</v>
      </c>
      <c r="C5" s="26" t="s">
        <v>903</v>
      </c>
      <c r="D5" s="81"/>
      <c r="E5" s="81"/>
      <c r="H5" s="38"/>
      <c r="I5" s="2239" t="s">
        <v>674</v>
      </c>
      <c r="J5" s="2184"/>
      <c r="K5" s="2184"/>
      <c r="L5" s="2184"/>
      <c r="M5" s="2184"/>
      <c r="N5" s="2184"/>
      <c r="O5" s="2184"/>
      <c r="P5" s="2184"/>
      <c r="Q5" s="2184"/>
      <c r="R5" s="2184"/>
      <c r="S5" s="2184"/>
      <c r="AF5" s="1827"/>
    </row>
    <row r="6" spans="1:32" ht="14.1" customHeight="1" x14ac:dyDescent="0.2">
      <c r="B6" s="101"/>
      <c r="C6" s="26" t="s">
        <v>904</v>
      </c>
      <c r="D6" s="81"/>
      <c r="E6" s="81"/>
      <c r="I6" s="2238" t="s">
        <v>876</v>
      </c>
      <c r="J6" s="2184"/>
      <c r="K6" s="2184"/>
      <c r="L6" s="2184"/>
      <c r="M6" s="2184"/>
      <c r="N6" s="2184"/>
      <c r="O6" s="2184"/>
      <c r="P6" s="2184"/>
      <c r="Q6" s="2184"/>
      <c r="R6" s="2184"/>
      <c r="S6" s="2184"/>
    </row>
    <row r="7" spans="1:32" ht="12.4" customHeight="1" x14ac:dyDescent="0.2">
      <c r="I7" s="2233" t="str">
        <f>"June 30, "&amp;'AFR20'!E2</f>
        <v>June 30, 2020</v>
      </c>
      <c r="J7" s="2234"/>
      <c r="K7" s="2234"/>
      <c r="L7" s="2234"/>
      <c r="M7" s="2234"/>
      <c r="N7" s="2234"/>
      <c r="O7" s="2234"/>
      <c r="P7" s="2234"/>
      <c r="Q7" s="2234"/>
      <c r="R7" s="2234"/>
      <c r="S7" s="223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35" t="s">
        <v>668</v>
      </c>
      <c r="J9" s="2236"/>
      <c r="K9" s="2236"/>
      <c r="L9" s="2236"/>
      <c r="M9" s="2236"/>
      <c r="N9" s="2236"/>
      <c r="O9" s="2236"/>
      <c r="P9" s="2236"/>
      <c r="Q9" s="2236"/>
      <c r="R9" s="2236"/>
      <c r="S9" s="2237"/>
      <c r="T9" s="2180" t="s">
        <v>529</v>
      </c>
      <c r="U9" s="2181"/>
      <c r="V9" s="2181"/>
      <c r="W9" s="2181"/>
      <c r="X9" s="2181"/>
      <c r="Y9" s="2181"/>
      <c r="Z9" s="2181"/>
      <c r="AA9" s="2182"/>
    </row>
    <row r="10" spans="1:32" ht="13.5" customHeight="1" x14ac:dyDescent="0.2">
      <c r="A10" s="2189" t="s">
        <v>669</v>
      </c>
      <c r="B10" s="2190"/>
      <c r="C10" s="2190"/>
      <c r="D10" s="2190"/>
      <c r="E10" s="2190"/>
      <c r="F10" s="2190"/>
      <c r="G10" s="2190"/>
      <c r="H10" s="2191"/>
      <c r="I10" s="29"/>
      <c r="J10" s="30"/>
      <c r="K10" s="28"/>
      <c r="R10" s="30"/>
      <c r="S10" s="30"/>
      <c r="T10" s="2183"/>
      <c r="U10" s="2184"/>
      <c r="V10" s="2184"/>
      <c r="W10" s="2184"/>
      <c r="X10" s="2184"/>
      <c r="Y10" s="2184"/>
      <c r="Z10" s="2184"/>
      <c r="AA10" s="2185"/>
    </row>
    <row r="11" spans="1:32" ht="14.25" customHeight="1" x14ac:dyDescent="0.2">
      <c r="A11" s="2192" t="s">
        <v>948</v>
      </c>
      <c r="B11" s="2193"/>
      <c r="C11" s="2193"/>
      <c r="D11" s="2193"/>
      <c r="E11" s="2193"/>
      <c r="F11" s="2193"/>
      <c r="G11" s="2193"/>
      <c r="H11" s="2194"/>
      <c r="I11" s="27"/>
      <c r="J11" s="71"/>
      <c r="K11" s="27"/>
      <c r="O11" s="144"/>
      <c r="P11" s="97" t="s">
        <v>199</v>
      </c>
      <c r="Q11" s="30"/>
      <c r="R11" s="28"/>
      <c r="S11" s="27"/>
      <c r="T11" s="2186"/>
      <c r="U11" s="2187"/>
      <c r="V11" s="2187"/>
      <c r="W11" s="2187"/>
      <c r="X11" s="2187"/>
      <c r="Y11" s="2187"/>
      <c r="Z11" s="2187"/>
      <c r="AA11" s="2188"/>
    </row>
    <row r="12" spans="1:32" ht="13.5" customHeight="1" x14ac:dyDescent="0.2">
      <c r="A12" s="82" t="s">
        <v>918</v>
      </c>
      <c r="B12" s="73"/>
      <c r="C12" s="73"/>
      <c r="D12" s="73"/>
      <c r="E12" s="73"/>
      <c r="F12" s="73"/>
      <c r="G12" s="73"/>
      <c r="H12" s="50"/>
      <c r="I12" s="29"/>
      <c r="J12" s="30"/>
      <c r="K12" s="28"/>
      <c r="O12" s="145" t="s">
        <v>2047</v>
      </c>
      <c r="P12" s="97" t="s">
        <v>200</v>
      </c>
      <c r="Q12" s="71"/>
      <c r="R12" s="30"/>
      <c r="S12" s="30"/>
      <c r="T12" s="82" t="s">
        <v>262</v>
      </c>
      <c r="U12" s="48"/>
      <c r="V12" s="48"/>
      <c r="W12" s="48"/>
      <c r="X12" s="48"/>
      <c r="Y12" s="43"/>
      <c r="Z12" s="43"/>
      <c r="AA12" s="44"/>
    </row>
    <row r="13" spans="1:32" ht="13.5" customHeight="1" x14ac:dyDescent="0.2">
      <c r="A13" s="2200">
        <v>31045046022</v>
      </c>
      <c r="B13" s="2201"/>
      <c r="C13" s="2201"/>
      <c r="D13" s="2201"/>
      <c r="E13" s="2201"/>
      <c r="F13" s="2201"/>
      <c r="G13" s="2201"/>
      <c r="H13" s="2202"/>
      <c r="I13" s="31"/>
      <c r="J13" s="30"/>
      <c r="K13" s="28"/>
      <c r="L13" s="30"/>
      <c r="M13" s="30"/>
      <c r="N13" s="30"/>
      <c r="O13" s="30"/>
      <c r="P13" s="30"/>
      <c r="Q13" s="30"/>
      <c r="R13" s="30"/>
      <c r="S13" s="30"/>
      <c r="T13" s="2205" t="s">
        <v>2054</v>
      </c>
      <c r="U13" s="2206"/>
      <c r="V13" s="2206"/>
      <c r="W13" s="2206"/>
      <c r="X13" s="2206"/>
      <c r="Y13" s="2207"/>
      <c r="Z13" s="2207"/>
      <c r="AA13" s="2208"/>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98" t="s">
        <v>2048</v>
      </c>
      <c r="B15" s="2203"/>
      <c r="C15" s="2203"/>
      <c r="D15" s="2203"/>
      <c r="E15" s="2203"/>
      <c r="F15" s="2203"/>
      <c r="G15" s="2203"/>
      <c r="H15" s="2204"/>
      <c r="T15" s="2166" t="s">
        <v>2055</v>
      </c>
      <c r="U15" s="2167"/>
      <c r="V15" s="2167"/>
      <c r="W15" s="2167"/>
      <c r="X15" s="2167"/>
      <c r="Y15" s="2209"/>
      <c r="Z15" s="2209"/>
      <c r="AA15" s="221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58" t="s">
        <v>2612</v>
      </c>
      <c r="B17" s="2228"/>
      <c r="C17" s="2228"/>
      <c r="D17" s="2228"/>
      <c r="E17" s="2228"/>
      <c r="F17" s="2228"/>
      <c r="G17" s="2228"/>
      <c r="H17" s="2229"/>
      <c r="T17" s="2215" t="s">
        <v>2217</v>
      </c>
      <c r="U17" s="2216"/>
      <c r="V17" s="2216"/>
      <c r="W17" s="2216"/>
      <c r="X17" s="2216"/>
      <c r="Y17" s="2216"/>
      <c r="Z17" s="2216"/>
      <c r="AA17" s="2217"/>
    </row>
    <row r="18" spans="1:27" ht="13.5" customHeight="1" x14ac:dyDescent="0.2">
      <c r="A18" s="82" t="s">
        <v>526</v>
      </c>
      <c r="B18" s="73"/>
      <c r="C18" s="69"/>
      <c r="D18" s="73"/>
      <c r="E18" s="73"/>
      <c r="F18" s="73"/>
      <c r="G18" s="73"/>
      <c r="H18" s="53"/>
      <c r="I18" s="2225" t="s">
        <v>670</v>
      </c>
      <c r="J18" s="2226"/>
      <c r="K18" s="2226"/>
      <c r="L18" s="2226"/>
      <c r="M18" s="2226"/>
      <c r="N18" s="2226"/>
      <c r="O18" s="2226"/>
      <c r="P18" s="2226"/>
      <c r="Q18" s="2226"/>
      <c r="R18" s="2226"/>
      <c r="S18" s="2227"/>
      <c r="T18" s="82" t="s">
        <v>705</v>
      </c>
      <c r="U18" s="48"/>
      <c r="V18" s="69"/>
      <c r="W18" s="47"/>
      <c r="X18" s="82" t="s">
        <v>263</v>
      </c>
      <c r="Y18" s="78"/>
      <c r="Z18" s="154" t="s">
        <v>671</v>
      </c>
      <c r="AA18" s="44"/>
    </row>
    <row r="19" spans="1:27" ht="13.5" customHeight="1" x14ac:dyDescent="0.2">
      <c r="A19" s="2198" t="s">
        <v>2049</v>
      </c>
      <c r="B19" s="2199"/>
      <c r="C19" s="2199"/>
      <c r="D19" s="2199"/>
      <c r="E19" s="2199"/>
      <c r="F19" s="2199"/>
      <c r="G19" s="2199"/>
      <c r="H19" s="2197"/>
      <c r="I19" s="30"/>
      <c r="J19" s="96"/>
      <c r="K19" s="40"/>
      <c r="L19" s="38"/>
      <c r="M19" s="109" t="s">
        <v>311</v>
      </c>
      <c r="P19" s="27"/>
      <c r="Q19" s="27"/>
      <c r="R19" s="27"/>
      <c r="S19" s="31"/>
      <c r="T19" s="2198" t="s">
        <v>2056</v>
      </c>
      <c r="U19" s="2196"/>
      <c r="V19" s="2196"/>
      <c r="W19" s="2197"/>
      <c r="X19" s="2213" t="s">
        <v>2057</v>
      </c>
      <c r="Y19" s="2214"/>
      <c r="Z19" s="2211">
        <v>60606</v>
      </c>
      <c r="AA19" s="221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95" t="s">
        <v>2050</v>
      </c>
      <c r="B21" s="2196"/>
      <c r="C21" s="2196"/>
      <c r="D21" s="2196"/>
      <c r="E21" s="2196"/>
      <c r="F21" s="2196"/>
      <c r="G21" s="2196"/>
      <c r="H21" s="2197"/>
      <c r="I21" s="2221" t="s">
        <v>672</v>
      </c>
      <c r="J21" s="2184"/>
      <c r="K21" s="2184"/>
      <c r="L21" s="2184"/>
      <c r="M21" s="2184"/>
      <c r="N21" s="2184"/>
      <c r="O21" s="2184"/>
      <c r="P21" s="2184"/>
      <c r="Q21" s="2184"/>
      <c r="R21" s="2184"/>
      <c r="S21" s="2185"/>
      <c r="T21" s="2163" t="s">
        <v>2058</v>
      </c>
      <c r="U21" s="2164"/>
      <c r="V21" s="2164"/>
      <c r="W21" s="2164"/>
      <c r="X21" s="2177" t="s">
        <v>2059</v>
      </c>
      <c r="Y21" s="2178"/>
      <c r="Z21" s="2178"/>
      <c r="AA21" s="2179"/>
    </row>
    <row r="22" spans="1:27" ht="13.5" customHeight="1" x14ac:dyDescent="0.2">
      <c r="A22" s="84" t="s">
        <v>527</v>
      </c>
      <c r="B22" s="56"/>
      <c r="C22" s="56"/>
      <c r="D22" s="56"/>
      <c r="E22" s="56"/>
      <c r="F22" s="56"/>
      <c r="G22" s="56"/>
      <c r="H22" s="57"/>
      <c r="I22" s="2222" t="s">
        <v>1411</v>
      </c>
      <c r="J22" s="2223"/>
      <c r="K22" s="2223"/>
      <c r="L22" s="2223"/>
      <c r="M22" s="2223"/>
      <c r="N22" s="2223"/>
      <c r="O22" s="2223"/>
      <c r="P22" s="2223"/>
      <c r="Q22" s="2223"/>
      <c r="R22" s="2223"/>
      <c r="S22" s="2224"/>
      <c r="T22" s="82" t="s">
        <v>1498</v>
      </c>
      <c r="U22" s="48"/>
      <c r="V22" s="69"/>
      <c r="W22" s="48"/>
      <c r="X22" s="155" t="s">
        <v>1306</v>
      </c>
      <c r="Z22" s="43"/>
      <c r="AA22" s="44"/>
    </row>
    <row r="23" spans="1:27" ht="13.5" customHeight="1" x14ac:dyDescent="0.2">
      <c r="A23" s="2218"/>
      <c r="B23" s="2219"/>
      <c r="C23" s="2219"/>
      <c r="D23" s="2219"/>
      <c r="E23" s="2219"/>
      <c r="F23" s="2219"/>
      <c r="G23" s="2219"/>
      <c r="H23" s="2220"/>
      <c r="T23" s="2158" t="s">
        <v>2060</v>
      </c>
      <c r="U23" s="2159"/>
      <c r="V23" s="2159"/>
      <c r="W23" s="2159"/>
      <c r="X23" s="2174">
        <v>44530</v>
      </c>
      <c r="Y23" s="2175"/>
      <c r="Z23" s="2175"/>
      <c r="AA23" s="2176"/>
    </row>
    <row r="24" spans="1:27" ht="14.1" customHeight="1" x14ac:dyDescent="0.2">
      <c r="A24" s="85" t="s">
        <v>671</v>
      </c>
      <c r="B24" s="46"/>
      <c r="C24" s="46"/>
      <c r="D24" s="46"/>
      <c r="E24" s="46"/>
      <c r="F24" s="46"/>
      <c r="G24" s="46"/>
      <c r="H24" s="58"/>
      <c r="J24" s="2260">
        <f>IF(B5="x",IF(AUDITCHECK!D29="AFR form Incomplete.","",IF(AUDITCHECK!D29="Deficit reduction plan is required.","School District must complete a deficit reduction plan in the 2020-2021 Budget",)),"")</f>
        <v>0</v>
      </c>
      <c r="K24" s="2260"/>
      <c r="L24" s="2260"/>
      <c r="M24" s="2260"/>
      <c r="N24" s="2260"/>
      <c r="O24" s="2260"/>
      <c r="P24" s="2260"/>
      <c r="Q24" s="2260"/>
      <c r="R24" s="2260"/>
      <c r="S24" s="2261"/>
      <c r="T24" s="102" t="s">
        <v>527</v>
      </c>
      <c r="U24" s="103"/>
      <c r="V24" s="103"/>
      <c r="W24" s="103"/>
      <c r="X24" s="104"/>
      <c r="Y24" s="104"/>
      <c r="Z24" s="104"/>
      <c r="AA24" s="105"/>
    </row>
    <row r="25" spans="1:27" ht="14.1" customHeight="1" x14ac:dyDescent="0.2">
      <c r="A25" s="2195" t="s">
        <v>2051</v>
      </c>
      <c r="B25" s="2196"/>
      <c r="C25" s="2196"/>
      <c r="D25" s="2196"/>
      <c r="E25" s="2196"/>
      <c r="F25" s="2196"/>
      <c r="G25" s="2196"/>
      <c r="H25" s="2197"/>
      <c r="I25" s="110"/>
      <c r="J25" s="2262"/>
      <c r="K25" s="2262"/>
      <c r="L25" s="2262"/>
      <c r="M25" s="2262"/>
      <c r="N25" s="2262"/>
      <c r="O25" s="2262"/>
      <c r="P25" s="2262"/>
      <c r="Q25" s="2262"/>
      <c r="R25" s="2262"/>
      <c r="S25" s="2263"/>
      <c r="T25" s="2155" t="s">
        <v>2061</v>
      </c>
      <c r="U25" s="2156"/>
      <c r="V25" s="2156"/>
      <c r="W25" s="2156"/>
      <c r="X25" s="2156"/>
      <c r="Y25" s="2156"/>
      <c r="Z25" s="2156"/>
      <c r="AA25" s="215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253" t="s">
        <v>1493</v>
      </c>
      <c r="J27" s="2226"/>
      <c r="K27" s="2226"/>
      <c r="L27" s="2226"/>
      <c r="M27" s="2226"/>
      <c r="N27" s="2226"/>
      <c r="O27" s="2226"/>
      <c r="P27" s="2226"/>
      <c r="Q27" s="2226"/>
      <c r="R27" s="2226"/>
      <c r="S27" s="2227"/>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2047</v>
      </c>
      <c r="F29" s="137" t="s">
        <v>1304</v>
      </c>
      <c r="G29" s="111"/>
      <c r="I29" s="51"/>
      <c r="J29" s="144" t="s">
        <v>2047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2047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2047</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99"/>
      <c r="Q35" s="2196"/>
      <c r="R35" s="219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58" t="s">
        <v>2609</v>
      </c>
      <c r="B38" s="2228"/>
      <c r="C38" s="2228"/>
      <c r="D38" s="2228"/>
      <c r="E38" s="2228"/>
      <c r="F38" s="2196"/>
      <c r="G38" s="2196"/>
      <c r="H38" s="2197"/>
      <c r="I38" s="2247"/>
      <c r="J38" s="2167"/>
      <c r="K38" s="2167"/>
      <c r="L38" s="2167"/>
      <c r="M38" s="2167"/>
      <c r="N38" s="2167"/>
      <c r="O38" s="2167"/>
      <c r="P38" s="2168"/>
      <c r="Q38" s="2168"/>
      <c r="R38" s="2168"/>
      <c r="S38" s="2169"/>
      <c r="T38" s="2166"/>
      <c r="U38" s="2167"/>
      <c r="V38" s="2167"/>
      <c r="W38" s="2167"/>
      <c r="X38" s="2168"/>
      <c r="Y38" s="2168"/>
      <c r="Z38" s="2168"/>
      <c r="AA38" s="2169"/>
    </row>
    <row r="39" spans="1:27" ht="12" customHeight="1" x14ac:dyDescent="0.2">
      <c r="A39" s="2251" t="s">
        <v>527</v>
      </c>
      <c r="B39" s="2252"/>
      <c r="C39" s="69"/>
      <c r="D39" s="66"/>
      <c r="E39" s="66"/>
      <c r="F39" s="76"/>
      <c r="G39" s="66"/>
      <c r="H39" s="53"/>
      <c r="I39" s="2251" t="s">
        <v>527</v>
      </c>
      <c r="J39" s="2252"/>
      <c r="K39" s="2252"/>
      <c r="L39" s="2252"/>
      <c r="M39" s="2252"/>
      <c r="N39" s="64"/>
      <c r="O39" s="69"/>
      <c r="P39" s="69"/>
      <c r="Q39" s="75"/>
      <c r="R39" s="69"/>
      <c r="S39" s="53"/>
      <c r="T39" s="69" t="s">
        <v>527</v>
      </c>
      <c r="U39" s="48"/>
      <c r="V39" s="69"/>
      <c r="W39" s="47"/>
      <c r="X39" s="75"/>
      <c r="Y39" s="43"/>
      <c r="Z39" s="43"/>
      <c r="AA39" s="44"/>
    </row>
    <row r="40" spans="1:27" ht="13.5" customHeight="1" x14ac:dyDescent="0.2">
      <c r="A40" s="2254" t="s">
        <v>2610</v>
      </c>
      <c r="B40" s="2255"/>
      <c r="C40" s="2256"/>
      <c r="D40" s="2256"/>
      <c r="E40" s="2256"/>
      <c r="F40" s="2257"/>
      <c r="G40" s="2257"/>
      <c r="H40" s="2258"/>
      <c r="I40" s="2170"/>
      <c r="J40" s="2172"/>
      <c r="K40" s="2172"/>
      <c r="L40" s="2172"/>
      <c r="M40" s="2172"/>
      <c r="N40" s="2172"/>
      <c r="O40" s="2172"/>
      <c r="P40" s="2172"/>
      <c r="Q40" s="2172"/>
      <c r="R40" s="2172"/>
      <c r="S40" s="2173"/>
      <c r="T40" s="2170"/>
      <c r="U40" s="2171"/>
      <c r="V40" s="2172"/>
      <c r="W40" s="2172"/>
      <c r="X40" s="2172"/>
      <c r="Y40" s="2172"/>
      <c r="Z40" s="2172"/>
      <c r="AA40" s="2173"/>
    </row>
    <row r="41" spans="1:27" ht="11.6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244" t="s">
        <v>2052</v>
      </c>
      <c r="B42" s="2245"/>
      <c r="C42" s="2246"/>
      <c r="D42" s="2259" t="s">
        <v>2053</v>
      </c>
      <c r="E42" s="2245"/>
      <c r="F42" s="2245"/>
      <c r="G42" s="2245"/>
      <c r="H42" s="2246"/>
      <c r="I42" s="2165"/>
      <c r="J42" s="2161"/>
      <c r="K42" s="2161"/>
      <c r="L42" s="2161"/>
      <c r="M42" s="2161"/>
      <c r="N42" s="2161"/>
      <c r="O42" s="2162"/>
      <c r="P42" s="2160"/>
      <c r="Q42" s="2161"/>
      <c r="R42" s="2161"/>
      <c r="S42" s="2162"/>
      <c r="T42" s="2165"/>
      <c r="U42" s="2161"/>
      <c r="V42" s="2161"/>
      <c r="W42" s="2162"/>
      <c r="X42" s="2160"/>
      <c r="Y42" s="2161"/>
      <c r="Z42" s="2161"/>
      <c r="AA42" s="216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48"/>
      <c r="B44" s="2249"/>
      <c r="C44" s="2249"/>
      <c r="D44" s="2249"/>
      <c r="E44" s="2249"/>
      <c r="F44" s="2249"/>
      <c r="G44" s="2249"/>
      <c r="H44" s="2250"/>
      <c r="I44" s="2240"/>
      <c r="J44" s="2242"/>
      <c r="K44" s="2242"/>
      <c r="L44" s="2242"/>
      <c r="M44" s="2242"/>
      <c r="N44" s="2242"/>
      <c r="O44" s="2242"/>
      <c r="P44" s="2242"/>
      <c r="Q44" s="2242"/>
      <c r="R44" s="2242"/>
      <c r="S44" s="2243"/>
      <c r="T44" s="2240"/>
      <c r="U44" s="2241"/>
      <c r="V44" s="2241"/>
      <c r="W44" s="2241"/>
      <c r="X44" s="2241"/>
      <c r="Y44" s="2241"/>
      <c r="Z44" s="2242"/>
      <c r="AA44" s="2243"/>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I84"/>
  <sheetViews>
    <sheetView showGridLines="0" zoomScale="110" zoomScaleNormal="110" workbookViewId="0">
      <selection activeCell="B9" sqref="B9"/>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267" t="s">
        <v>1055</v>
      </c>
      <c r="B35" s="2267"/>
      <c r="C35" s="2267"/>
      <c r="D35" s="2267"/>
      <c r="E35" s="226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64" t="s">
        <v>685</v>
      </c>
      <c r="B40" s="2264"/>
      <c r="C40" s="2264"/>
      <c r="D40" s="2264"/>
      <c r="E40" s="2264"/>
    </row>
    <row r="41" spans="1:5" x14ac:dyDescent="0.2">
      <c r="A41" s="2265" t="s">
        <v>1590</v>
      </c>
      <c r="B41" s="2265"/>
      <c r="C41" s="2265"/>
      <c r="D41" s="2265"/>
      <c r="E41" s="2265"/>
    </row>
    <row r="42" spans="1:5" ht="12.75" customHeight="1" x14ac:dyDescent="0.2">
      <c r="A42" s="2266" t="s">
        <v>1014</v>
      </c>
      <c r="B42" s="2266"/>
      <c r="C42" s="2266"/>
      <c r="D42" s="2266"/>
      <c r="E42" s="2266"/>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4" customHeight="1" x14ac:dyDescent="0.2">
      <c r="A76" s="184" t="s">
        <v>1603</v>
      </c>
      <c r="B76" s="193" t="s">
        <v>1758</v>
      </c>
    </row>
    <row r="77" spans="1:9" ht="12.4"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4"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34998626667073579"/>
  </sheetPr>
  <dimension ref="A1:K143"/>
  <sheetViews>
    <sheetView showGridLines="0" defaultGridColor="0" topLeftCell="A99" colorId="8" zoomScaleNormal="100" workbookViewId="0">
      <selection activeCell="F126" sqref="F126"/>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268" t="s">
        <v>1157</v>
      </c>
      <c r="B2" s="2268"/>
      <c r="C2" s="2268"/>
      <c r="D2" s="2268"/>
      <c r="E2" s="2268"/>
      <c r="F2" s="2268"/>
      <c r="G2" s="2268"/>
      <c r="H2" s="2268"/>
      <c r="I2" s="2268"/>
      <c r="J2" s="2268"/>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82" t="s">
        <v>1615</v>
      </c>
      <c r="B35" s="2283"/>
      <c r="C35" s="2283"/>
      <c r="D35" s="2283"/>
      <c r="E35" s="2284"/>
      <c r="F35" s="2284"/>
      <c r="G35" s="2284"/>
      <c r="H35" s="2284"/>
      <c r="I35" s="228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82" t="s">
        <v>309</v>
      </c>
      <c r="B47" s="2285"/>
      <c r="C47" s="2285"/>
      <c r="D47" s="2285"/>
      <c r="E47" s="2286"/>
      <c r="F47" s="2286"/>
      <c r="G47" s="2286"/>
      <c r="H47" s="2286"/>
      <c r="I47" s="228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2047</v>
      </c>
      <c r="C53" s="174">
        <v>22</v>
      </c>
      <c r="D53" s="242" t="s">
        <v>1444</v>
      </c>
      <c r="E53" s="243"/>
      <c r="F53" s="244"/>
      <c r="G53" s="244" t="s">
        <v>1443</v>
      </c>
      <c r="H53" s="245">
        <v>33512</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89"/>
      <c r="C57" s="2290"/>
      <c r="D57" s="2290"/>
      <c r="E57" s="2290"/>
      <c r="F57" s="2290"/>
      <c r="G57" s="2290"/>
      <c r="H57" s="2290"/>
      <c r="I57" s="2290"/>
      <c r="J57" s="2291"/>
    </row>
    <row r="58" spans="1:10" s="176" customFormat="1" x14ac:dyDescent="0.2">
      <c r="A58" s="248"/>
      <c r="B58" s="2292"/>
      <c r="C58" s="2293"/>
      <c r="D58" s="2293"/>
      <c r="E58" s="2293"/>
      <c r="F58" s="2293"/>
      <c r="G58" s="2293"/>
      <c r="H58" s="2293"/>
      <c r="I58" s="2293"/>
      <c r="J58" s="2294"/>
    </row>
    <row r="59" spans="1:10" s="176" customFormat="1" x14ac:dyDescent="0.2">
      <c r="A59" s="248"/>
      <c r="B59" s="2292"/>
      <c r="C59" s="2293"/>
      <c r="D59" s="2293"/>
      <c r="E59" s="2293"/>
      <c r="F59" s="2293"/>
      <c r="G59" s="2293"/>
      <c r="H59" s="2293"/>
      <c r="I59" s="2293"/>
      <c r="J59" s="2294"/>
    </row>
    <row r="60" spans="1:10" s="176" customFormat="1" x14ac:dyDescent="0.2">
      <c r="A60" s="248"/>
      <c r="B60" s="2292"/>
      <c r="C60" s="2293"/>
      <c r="D60" s="2293"/>
      <c r="E60" s="2293"/>
      <c r="F60" s="2293"/>
      <c r="G60" s="2293"/>
      <c r="H60" s="2293"/>
      <c r="I60" s="2293"/>
      <c r="J60" s="2294"/>
    </row>
    <row r="61" spans="1:10" s="176" customFormat="1" x14ac:dyDescent="0.2">
      <c r="A61" s="248"/>
      <c r="B61" s="2292"/>
      <c r="C61" s="2293"/>
      <c r="D61" s="2293"/>
      <c r="E61" s="2293"/>
      <c r="F61" s="2293"/>
      <c r="G61" s="2293"/>
      <c r="H61" s="2293"/>
      <c r="I61" s="2293"/>
      <c r="J61" s="2294"/>
    </row>
    <row r="62" spans="1:10" s="176" customFormat="1" x14ac:dyDescent="0.2">
      <c r="A62" s="248"/>
      <c r="B62" s="2292"/>
      <c r="C62" s="2293"/>
      <c r="D62" s="2293"/>
      <c r="E62" s="2293"/>
      <c r="F62" s="2293"/>
      <c r="G62" s="2293"/>
      <c r="H62" s="2293"/>
      <c r="I62" s="2293"/>
      <c r="J62" s="2294"/>
    </row>
    <row r="63" spans="1:10" s="176" customFormat="1" x14ac:dyDescent="0.2">
      <c r="A63" s="248"/>
      <c r="B63" s="2292"/>
      <c r="C63" s="2293"/>
      <c r="D63" s="2293"/>
      <c r="E63" s="2293"/>
      <c r="F63" s="2293"/>
      <c r="G63" s="2293"/>
      <c r="H63" s="2293"/>
      <c r="I63" s="2293"/>
      <c r="J63" s="2294"/>
    </row>
    <row r="64" spans="1:10" s="176" customFormat="1" x14ac:dyDescent="0.2">
      <c r="A64" s="248"/>
      <c r="B64" s="2292"/>
      <c r="C64" s="2293"/>
      <c r="D64" s="2293"/>
      <c r="E64" s="2293"/>
      <c r="F64" s="2293"/>
      <c r="G64" s="2293"/>
      <c r="H64" s="2293"/>
      <c r="I64" s="2293"/>
      <c r="J64" s="2294"/>
    </row>
    <row r="65" spans="1:11" s="176" customFormat="1" x14ac:dyDescent="0.2">
      <c r="A65" s="248"/>
      <c r="B65" s="2292"/>
      <c r="C65" s="2293"/>
      <c r="D65" s="2293"/>
      <c r="E65" s="2293"/>
      <c r="F65" s="2293"/>
      <c r="G65" s="2293"/>
      <c r="H65" s="2293"/>
      <c r="I65" s="2293"/>
      <c r="J65" s="2294"/>
    </row>
    <row r="66" spans="1:11" s="176" customFormat="1" x14ac:dyDescent="0.2">
      <c r="A66" s="248"/>
      <c r="B66" s="2292"/>
      <c r="C66" s="2293"/>
      <c r="D66" s="2293"/>
      <c r="E66" s="2293"/>
      <c r="F66" s="2293"/>
      <c r="G66" s="2293"/>
      <c r="H66" s="2293"/>
      <c r="I66" s="2293"/>
      <c r="J66" s="2294"/>
    </row>
    <row r="67" spans="1:11" s="176" customFormat="1" ht="9" customHeight="1" x14ac:dyDescent="0.2">
      <c r="A67" s="249"/>
      <c r="B67" s="2295"/>
      <c r="C67" s="2296"/>
      <c r="D67" s="2296"/>
      <c r="E67" s="2296"/>
      <c r="F67" s="2296"/>
      <c r="G67" s="2296"/>
      <c r="H67" s="2296"/>
      <c r="I67" s="2296"/>
      <c r="J67" s="229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82" t="s">
        <v>1311</v>
      </c>
      <c r="B70" s="2285"/>
      <c r="C70" s="2285"/>
      <c r="D70" s="2285"/>
      <c r="E70" s="2286"/>
      <c r="F70" s="2286"/>
      <c r="G70" s="2286"/>
      <c r="H70" s="2286"/>
      <c r="I70" s="2286"/>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87" t="s">
        <v>1308</v>
      </c>
      <c r="B83" s="2287"/>
      <c r="C83" s="2287"/>
      <c r="D83" s="2288"/>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98" t="s">
        <v>1985</v>
      </c>
      <c r="B85" s="2298"/>
      <c r="C85" s="2298"/>
      <c r="D85" s="2299"/>
      <c r="E85" s="1544">
        <v>0</v>
      </c>
      <c r="F85" s="1544">
        <v>0</v>
      </c>
      <c r="G85" s="1544">
        <v>0</v>
      </c>
      <c r="H85" s="1544">
        <v>0</v>
      </c>
      <c r="I85" s="1862">
        <v>0</v>
      </c>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300" t="s">
        <v>1985</v>
      </c>
      <c r="B88" s="2301"/>
      <c r="C88" s="2301"/>
      <c r="D88" s="2302"/>
      <c r="E88" s="1544">
        <v>987313</v>
      </c>
      <c r="F88" s="1544">
        <v>0</v>
      </c>
      <c r="G88" s="1544">
        <v>1886828</v>
      </c>
      <c r="H88" s="1544">
        <v>2107176</v>
      </c>
      <c r="I88" s="1862">
        <v>0</v>
      </c>
      <c r="J88" s="1727">
        <f>SUM(E88:I88)</f>
        <v>4981317</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863"/>
      <c r="J90" s="1729">
        <f>SUM(J85:J89)</f>
        <v>4981317</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69"/>
      <c r="C102" s="2270"/>
      <c r="D102" s="2270"/>
      <c r="E102" s="2270"/>
      <c r="F102" s="2270"/>
      <c r="G102" s="2270"/>
      <c r="H102" s="2270"/>
      <c r="I102" s="2271"/>
    </row>
    <row r="103" spans="1:9" s="176" customFormat="1" ht="11.25" customHeight="1" x14ac:dyDescent="0.2">
      <c r="A103" s="294"/>
      <c r="B103" s="2272"/>
      <c r="C103" s="2273"/>
      <c r="D103" s="2273"/>
      <c r="E103" s="2273"/>
      <c r="F103" s="2273"/>
      <c r="G103" s="2273"/>
      <c r="H103" s="2273"/>
      <c r="I103" s="2274"/>
    </row>
    <row r="104" spans="1:9" s="176" customFormat="1" ht="11.25" customHeight="1" x14ac:dyDescent="0.2">
      <c r="A104" s="294"/>
      <c r="B104" s="2272"/>
      <c r="C104" s="2273"/>
      <c r="D104" s="2273"/>
      <c r="E104" s="2273"/>
      <c r="F104" s="2273"/>
      <c r="G104" s="2273"/>
      <c r="H104" s="2273"/>
      <c r="I104" s="2274"/>
    </row>
    <row r="105" spans="1:9" s="176" customFormat="1" x14ac:dyDescent="0.2">
      <c r="A105" s="294"/>
      <c r="B105" s="2272"/>
      <c r="C105" s="2273"/>
      <c r="D105" s="2273"/>
      <c r="E105" s="2273"/>
      <c r="F105" s="2273"/>
      <c r="G105" s="2273"/>
      <c r="H105" s="2273"/>
      <c r="I105" s="2274"/>
    </row>
    <row r="106" spans="1:9" s="176" customFormat="1" ht="11.25" customHeight="1" x14ac:dyDescent="0.2">
      <c r="A106" s="294"/>
      <c r="B106" s="2272"/>
      <c r="C106" s="2273"/>
      <c r="D106" s="2273"/>
      <c r="E106" s="2273"/>
      <c r="F106" s="2273"/>
      <c r="G106" s="2273"/>
      <c r="H106" s="2273"/>
      <c r="I106" s="2274"/>
    </row>
    <row r="107" spans="1:9" s="176" customFormat="1" ht="11.25" customHeight="1" x14ac:dyDescent="0.2">
      <c r="A107" s="294"/>
      <c r="B107" s="2272"/>
      <c r="C107" s="2273"/>
      <c r="D107" s="2273"/>
      <c r="E107" s="2273"/>
      <c r="F107" s="2273"/>
      <c r="G107" s="2273"/>
      <c r="H107" s="2273"/>
      <c r="I107" s="2274"/>
    </row>
    <row r="108" spans="1:9" s="176" customFormat="1" ht="11.25" customHeight="1" x14ac:dyDescent="0.2">
      <c r="A108" s="294"/>
      <c r="B108" s="2272"/>
      <c r="C108" s="2273"/>
      <c r="D108" s="2273"/>
      <c r="E108" s="2273"/>
      <c r="F108" s="2273"/>
      <c r="G108" s="2273"/>
      <c r="H108" s="2273"/>
      <c r="I108" s="2274"/>
    </row>
    <row r="109" spans="1:9" s="176" customFormat="1" ht="11.25" customHeight="1" x14ac:dyDescent="0.2">
      <c r="A109" s="294"/>
      <c r="B109" s="2272"/>
      <c r="C109" s="2273"/>
      <c r="D109" s="2273"/>
      <c r="E109" s="2273"/>
      <c r="F109" s="2273"/>
      <c r="G109" s="2273"/>
      <c r="H109" s="2273"/>
      <c r="I109" s="2274"/>
    </row>
    <row r="110" spans="1:9" s="176" customFormat="1" ht="11.25" customHeight="1" x14ac:dyDescent="0.2">
      <c r="A110" s="294"/>
      <c r="B110" s="2272"/>
      <c r="C110" s="2273"/>
      <c r="D110" s="2273"/>
      <c r="E110" s="2273"/>
      <c r="F110" s="2273"/>
      <c r="G110" s="2273"/>
      <c r="H110" s="2273"/>
      <c r="I110" s="2274"/>
    </row>
    <row r="111" spans="1:9" s="176" customFormat="1" ht="11.25" customHeight="1" x14ac:dyDescent="0.2">
      <c r="A111" s="294"/>
      <c r="B111" s="2272"/>
      <c r="C111" s="2273"/>
      <c r="D111" s="2273"/>
      <c r="E111" s="2273"/>
      <c r="F111" s="2273"/>
      <c r="G111" s="2273"/>
      <c r="H111" s="2273"/>
      <c r="I111" s="2274"/>
    </row>
    <row r="112" spans="1:9" s="176" customFormat="1" ht="11.25" customHeight="1" x14ac:dyDescent="0.2">
      <c r="A112" s="294"/>
      <c r="B112" s="2275"/>
      <c r="C112" s="2276"/>
      <c r="D112" s="2276"/>
      <c r="E112" s="2276"/>
      <c r="F112" s="2276"/>
      <c r="G112" s="2276"/>
      <c r="H112" s="2276"/>
      <c r="I112" s="227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78" t="s">
        <v>2054</v>
      </c>
      <c r="D114" s="227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79" t="s">
        <v>1318</v>
      </c>
      <c r="D117" s="2280"/>
      <c r="E117" s="2281"/>
      <c r="F117" s="2281"/>
      <c r="G117" s="2281"/>
      <c r="H117" s="2281"/>
      <c r="I117" s="282"/>
    </row>
    <row r="118" spans="1:9" s="176" customFormat="1" ht="24" customHeight="1" x14ac:dyDescent="0.2">
      <c r="A118" s="294"/>
      <c r="B118" s="294"/>
      <c r="C118" s="294"/>
      <c r="D118" s="301" t="s">
        <v>2611</v>
      </c>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0" tint="-0.34998626667073579"/>
  </sheetPr>
  <dimension ref="A1:N72"/>
  <sheetViews>
    <sheetView showGridLines="0" defaultGridColor="0" colorId="8" zoomScale="110" zoomScaleNormal="110" workbookViewId="0">
      <selection sqref="A1:M1"/>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303" t="s">
        <v>382</v>
      </c>
      <c r="B1" s="2303"/>
      <c r="C1" s="2303"/>
      <c r="D1" s="2303"/>
      <c r="E1" s="2303"/>
      <c r="F1" s="2303"/>
      <c r="G1" s="2303"/>
      <c r="H1" s="2303"/>
      <c r="I1" s="2303"/>
      <c r="J1" s="2303"/>
      <c r="K1" s="2303"/>
      <c r="L1" s="2303"/>
      <c r="M1" s="230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5268100965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3.5818999999999997E-2</v>
      </c>
      <c r="E10" s="333" t="s">
        <v>997</v>
      </c>
      <c r="F10" s="332">
        <v>7.2269999999999999E-3</v>
      </c>
      <c r="G10" s="333" t="s">
        <v>997</v>
      </c>
      <c r="H10" s="332">
        <v>2.4510000000000001E-3</v>
      </c>
      <c r="I10" s="333" t="s">
        <v>998</v>
      </c>
      <c r="J10" s="1424">
        <f>ROUND(D10+F10+H10,5)</f>
        <v>4.5499999999999999E-2</v>
      </c>
      <c r="K10" s="217"/>
      <c r="L10" s="332"/>
      <c r="M10" s="217"/>
    </row>
    <row r="11" spans="1:14" ht="7.5" customHeight="1" x14ac:dyDescent="0.2">
      <c r="B11" s="217"/>
      <c r="C11" s="217"/>
      <c r="D11" s="2313" t="str">
        <f>IF(SUM(J10)&lt;=0.0999999,"","Enter the Tax Rates by moving the decimal two places to the left.")</f>
        <v/>
      </c>
      <c r="E11" s="2314"/>
      <c r="F11" s="2314"/>
      <c r="G11" s="2314"/>
      <c r="H11" s="2314"/>
      <c r="I11" s="2314"/>
      <c r="J11" s="231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549617496</v>
      </c>
      <c r="E16" s="1547"/>
      <c r="F16" s="1546">
        <f>SUM('Acct Summary 7-8'!C17,'Acct Summary 7-8'!D17,'Acct Summary 7-8'!F17)</f>
        <v>520630073</v>
      </c>
      <c r="G16" s="1547"/>
      <c r="H16" s="1546">
        <f>SUM(D16-F16)</f>
        <v>28987423</v>
      </c>
      <c r="I16" s="1548"/>
      <c r="J16" s="1546">
        <f>SUM('Acct Summary 7-8'!C81,'Acct Summary 7-8'!D81,'Acct Summary 7-8'!F81,'Acct Summary 7-8'!I81)</f>
        <v>315350174</v>
      </c>
      <c r="K16" s="217"/>
      <c r="L16" s="217"/>
      <c r="M16" s="217"/>
    </row>
    <row r="17" spans="1:13" ht="12.4" customHeight="1" x14ac:dyDescent="0.2">
      <c r="A17" s="327"/>
      <c r="B17" s="255" t="s">
        <v>8</v>
      </c>
      <c r="C17" s="232" t="s">
        <v>1378</v>
      </c>
      <c r="D17" s="217"/>
      <c r="E17" s="217"/>
      <c r="F17" s="217"/>
      <c r="G17" s="217"/>
      <c r="H17" s="217"/>
      <c r="I17" s="217"/>
      <c r="J17" s="217"/>
      <c r="K17" s="217"/>
      <c r="L17" s="217"/>
      <c r="M17" s="217"/>
    </row>
    <row r="18" spans="1:13" ht="12.4"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726997933.17000008</v>
      </c>
      <c r="I31" s="345"/>
      <c r="J31" s="217"/>
      <c r="K31" s="217"/>
      <c r="L31" s="217"/>
      <c r="M31" s="217"/>
    </row>
    <row r="32" spans="1:13" ht="13.35" customHeight="1" x14ac:dyDescent="0.2">
      <c r="B32" s="346" t="s">
        <v>2047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219882101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4"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304"/>
      <c r="C54" s="2305"/>
      <c r="D54" s="2305"/>
      <c r="E54" s="2305"/>
      <c r="F54" s="2305"/>
      <c r="G54" s="2305"/>
      <c r="H54" s="2305"/>
      <c r="I54" s="2305"/>
      <c r="J54" s="2305"/>
      <c r="K54" s="2305"/>
      <c r="L54" s="2306"/>
      <c r="M54" s="357"/>
    </row>
    <row r="55" spans="1:13" ht="12.75" customHeight="1" x14ac:dyDescent="0.2">
      <c r="B55" s="2307"/>
      <c r="C55" s="2308"/>
      <c r="D55" s="2308"/>
      <c r="E55" s="2308"/>
      <c r="F55" s="2308"/>
      <c r="G55" s="2308"/>
      <c r="H55" s="2308"/>
      <c r="I55" s="2308"/>
      <c r="J55" s="2308"/>
      <c r="K55" s="2308"/>
      <c r="L55" s="2309"/>
      <c r="M55" s="357"/>
    </row>
    <row r="56" spans="1:13" ht="12.75" customHeight="1" x14ac:dyDescent="0.2">
      <c r="B56" s="2307"/>
      <c r="C56" s="2308"/>
      <c r="D56" s="2308"/>
      <c r="E56" s="2308"/>
      <c r="F56" s="2308"/>
      <c r="G56" s="2308"/>
      <c r="H56" s="2308"/>
      <c r="I56" s="2308"/>
      <c r="J56" s="2308"/>
      <c r="K56" s="2308"/>
      <c r="L56" s="2309"/>
      <c r="M56" s="217"/>
    </row>
    <row r="57" spans="1:13" ht="12.75" customHeight="1" x14ac:dyDescent="0.2">
      <c r="B57" s="2307"/>
      <c r="C57" s="2308"/>
      <c r="D57" s="2308"/>
      <c r="E57" s="2308"/>
      <c r="F57" s="2308"/>
      <c r="G57" s="2308"/>
      <c r="H57" s="2308"/>
      <c r="I57" s="2308"/>
      <c r="J57" s="2308"/>
      <c r="K57" s="2308"/>
      <c r="L57" s="2309"/>
      <c r="M57" s="217"/>
    </row>
    <row r="58" spans="1:13" x14ac:dyDescent="0.2">
      <c r="B58" s="2310"/>
      <c r="C58" s="2311"/>
      <c r="D58" s="2311"/>
      <c r="E58" s="2311"/>
      <c r="F58" s="2311"/>
      <c r="G58" s="2311"/>
      <c r="H58" s="2311"/>
      <c r="I58" s="2311"/>
      <c r="J58" s="2311"/>
      <c r="K58" s="2311"/>
      <c r="L58" s="2312"/>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315"/>
      <c r="D61" s="231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0" tint="-0.34998626667073579"/>
  </sheetPr>
  <dimension ref="A1:R44"/>
  <sheetViews>
    <sheetView showGridLines="0" zoomScale="110" zoomScaleNormal="110" workbookViewId="0">
      <selection sqref="A1:C1"/>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318"/>
      <c r="B1" s="2319"/>
      <c r="C1" s="2319"/>
      <c r="D1" s="361"/>
      <c r="E1" s="361"/>
      <c r="F1" s="361"/>
      <c r="G1" s="361"/>
      <c r="H1" s="361"/>
      <c r="I1" s="361"/>
      <c r="J1" s="361"/>
      <c r="K1" s="361"/>
      <c r="L1" s="361"/>
      <c r="M1" s="361"/>
      <c r="N1" s="361"/>
      <c r="O1" s="2318"/>
      <c r="P1" s="2319"/>
      <c r="Q1" s="2319"/>
    </row>
    <row r="2" spans="1:18" ht="15" x14ac:dyDescent="0.2">
      <c r="A2" s="2322" t="s">
        <v>551</v>
      </c>
      <c r="B2" s="2322"/>
      <c r="C2" s="2322"/>
      <c r="D2" s="2322"/>
      <c r="E2" s="2322"/>
      <c r="F2" s="2322"/>
      <c r="G2" s="2322"/>
      <c r="H2" s="2322"/>
      <c r="I2" s="2322"/>
      <c r="J2" s="2322"/>
      <c r="K2" s="2322"/>
      <c r="L2" s="2322"/>
      <c r="M2" s="2322"/>
      <c r="N2" s="2322"/>
      <c r="O2" s="2322"/>
      <c r="P2" s="2322"/>
      <c r="Q2" s="2322"/>
      <c r="R2" s="2322"/>
    </row>
    <row r="3" spans="1:18" ht="12.75" x14ac:dyDescent="0.2">
      <c r="A3" s="2323" t="s">
        <v>1395</v>
      </c>
      <c r="B3" s="2323"/>
      <c r="C3" s="2323"/>
      <c r="D3" s="2323"/>
      <c r="E3" s="2323"/>
      <c r="F3" s="2323"/>
      <c r="G3" s="2323"/>
      <c r="H3" s="2323"/>
      <c r="I3" s="2323"/>
      <c r="J3" s="2323"/>
      <c r="K3" s="2323"/>
      <c r="L3" s="2323"/>
      <c r="M3" s="2323"/>
      <c r="N3" s="2323"/>
      <c r="O3" s="2323"/>
      <c r="P3" s="2323"/>
      <c r="Q3" s="2323"/>
      <c r="R3" s="2323"/>
    </row>
    <row r="4" spans="1:18" x14ac:dyDescent="0.2">
      <c r="A4" s="2324" t="s">
        <v>1536</v>
      </c>
      <c r="B4" s="2324"/>
      <c r="C4" s="2324"/>
      <c r="D4" s="2324"/>
      <c r="E4" s="2324"/>
      <c r="F4" s="2324"/>
      <c r="G4" s="2324"/>
      <c r="H4" s="2324"/>
      <c r="I4" s="2324"/>
      <c r="J4" s="2324"/>
      <c r="K4" s="2324"/>
      <c r="L4" s="2324"/>
      <c r="M4" s="2324"/>
      <c r="N4" s="2324"/>
      <c r="O4" s="2324"/>
      <c r="P4" s="2324"/>
      <c r="Q4" s="2324"/>
      <c r="R4" s="232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SD U46 - Elgin</v>
      </c>
      <c r="E7" s="368"/>
      <c r="G7" s="247"/>
      <c r="H7" s="364"/>
      <c r="I7" s="364"/>
      <c r="J7" s="364"/>
      <c r="K7" s="364"/>
      <c r="L7" s="307"/>
      <c r="M7" s="307"/>
      <c r="N7" s="307"/>
      <c r="O7" s="307"/>
      <c r="P7" s="307"/>
    </row>
    <row r="8" spans="1:18" ht="12.75" x14ac:dyDescent="0.2">
      <c r="A8" s="307"/>
      <c r="B8" s="307"/>
      <c r="C8" s="366" t="s">
        <v>1114</v>
      </c>
      <c r="D8" s="369">
        <f>COVER!A13</f>
        <v>31045046022</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314953927</v>
      </c>
      <c r="I12" s="380"/>
      <c r="J12" s="380"/>
      <c r="K12" s="1559">
        <f>TRUNC((H12/H13*100000),5)/100000</f>
        <v>0.57304203240000007</v>
      </c>
      <c r="L12" s="381"/>
      <c r="M12" s="337" t="s">
        <v>1133</v>
      </c>
      <c r="N12" s="337"/>
      <c r="O12" s="1562">
        <v>0.35</v>
      </c>
      <c r="P12" s="213"/>
      <c r="Q12" s="213"/>
    </row>
    <row r="13" spans="1:18" s="382" customFormat="1" ht="12.75" x14ac:dyDescent="0.2">
      <c r="A13" s="213"/>
      <c r="B13" s="377"/>
      <c r="C13" s="2320" t="s">
        <v>1312</v>
      </c>
      <c r="D13" s="2321"/>
      <c r="E13" s="213"/>
      <c r="F13" s="383" t="s">
        <v>787</v>
      </c>
      <c r="G13" s="378"/>
      <c r="H13" s="1551">
        <f>SUM('Acct Summary 7-8'!C8+'Acct Summary 7-8'!D8+'Acct Summary 7-8'!F8+'Acct Summary 7-8'!I8)+H14</f>
        <v>549617496</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6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520630073</v>
      </c>
      <c r="I17" s="380"/>
      <c r="J17" s="389"/>
      <c r="K17" s="1559">
        <f>TRUNC((H17/H18*100000),5)/100000</f>
        <v>0.94725891510000004</v>
      </c>
      <c r="L17" s="381"/>
      <c r="M17" s="390" t="s">
        <v>1160</v>
      </c>
      <c r="O17" s="1565" t="str">
        <f>IF(AND(O16="2", J20 &gt; 2),"1",IF(AND(O16 = "1", J20 &gt; 2),"2",IF(AND(O16="1", J20 &gt;1),"1","0")))</f>
        <v>0</v>
      </c>
      <c r="P17" s="213"/>
    </row>
    <row r="18" spans="1:18" s="382" customFormat="1" ht="11.25" x14ac:dyDescent="0.2">
      <c r="A18" s="213"/>
      <c r="B18" s="377"/>
      <c r="C18" s="2320" t="s">
        <v>1305</v>
      </c>
      <c r="D18" s="2321"/>
      <c r="E18" s="213"/>
      <c r="F18" s="391" t="s">
        <v>788</v>
      </c>
      <c r="G18" s="378"/>
      <c r="H18" s="1551">
        <f>SUM('Acct Summary 7-8'!C8+'Acct Summary 7-8'!D8+'Acct Summary 7-8'!F8+'Acct Summary 7-8'!I8)+H19</f>
        <v>549617496</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65" customHeight="1" x14ac:dyDescent="0.2">
      <c r="A21" s="211"/>
      <c r="B21" s="373"/>
      <c r="C21" s="213" t="s">
        <v>471</v>
      </c>
      <c r="D21" s="211"/>
      <c r="E21" s="211"/>
      <c r="F21" s="211"/>
      <c r="G21" s="387"/>
      <c r="H21" s="1552"/>
      <c r="I21" s="211"/>
      <c r="J21" s="211"/>
      <c r="K21" s="1552"/>
      <c r="L21" s="211"/>
      <c r="M21" s="388"/>
      <c r="N21" s="388"/>
      <c r="O21" s="1564"/>
      <c r="P21" s="211"/>
      <c r="R21" s="361"/>
    </row>
    <row r="22" spans="1:18" ht="11.6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317" t="s">
        <v>1394</v>
      </c>
      <c r="D24" s="2317"/>
      <c r="E24" s="213"/>
      <c r="F24" s="213" t="s">
        <v>441</v>
      </c>
      <c r="G24" s="378"/>
      <c r="H24" s="1551">
        <f>SUM('Assets-Liab 5-6'!C4+'Assets-Liab 5-6'!D4+'Assets-Liab 5-6'!F4+'Assets-Liab 5-6'!I4+'Assets-Liab 5-6'!C5+'Assets-Liab 5-6'!D5+'Assets-Liab 5-6'!F5+'Assets-Liab 5-6'!I5)</f>
        <v>349853198</v>
      </c>
      <c r="I24" s="394"/>
      <c r="J24" s="394"/>
      <c r="K24" s="1555">
        <f>TRUNC(((H24/H25*100000)/100000),2)</f>
        <v>241.91</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1446194.6472199999</v>
      </c>
      <c r="I25" s="396"/>
      <c r="J25" s="396"/>
      <c r="K25" s="1558"/>
      <c r="L25" s="213"/>
      <c r="M25" s="337" t="s">
        <v>1134</v>
      </c>
      <c r="N25" s="337"/>
      <c r="O25" s="1563">
        <f>O23*O24</f>
        <v>0.4</v>
      </c>
      <c r="P25" s="213"/>
      <c r="R25" s="385"/>
    </row>
    <row r="26" spans="1:18" ht="12.4"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203743804.82137999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3</v>
      </c>
      <c r="P31" s="211"/>
    </row>
    <row r="32" spans="1:18" s="382" customFormat="1" ht="11.25" x14ac:dyDescent="0.2">
      <c r="A32" s="213"/>
      <c r="B32" s="377"/>
      <c r="C32" s="213" t="s">
        <v>841</v>
      </c>
      <c r="D32" s="213"/>
      <c r="E32" s="213"/>
      <c r="F32" s="213"/>
      <c r="G32" s="378"/>
      <c r="H32" s="1551">
        <f>'FP Info 3'!H37</f>
        <v>219882101</v>
      </c>
      <c r="I32" s="392"/>
      <c r="J32" s="392"/>
      <c r="K32" s="1555">
        <f>TRUNC(100-((((H32/H33*100))*100)/100),2)</f>
        <v>69.75</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726997933.17000008</v>
      </c>
      <c r="I33" s="392"/>
      <c r="J33" s="392"/>
      <c r="K33" s="379"/>
      <c r="L33" s="213"/>
      <c r="M33" s="401" t="s">
        <v>1134</v>
      </c>
      <c r="N33" s="401"/>
      <c r="O33" s="1568">
        <f>(O31*O32)</f>
        <v>0.30000000000000004</v>
      </c>
    </row>
    <row r="34" spans="1:17" ht="12.4"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34998626667073579"/>
  </sheetPr>
  <dimension ref="A1:N44"/>
  <sheetViews>
    <sheetView showGridLines="0" defaultGridColor="0" colorId="8" zoomScale="90" zoomScaleNormal="90" workbookViewId="0">
      <pane ySplit="2" topLeftCell="A3" activePane="bottomLeft" state="frozen"/>
      <selection sqref="A1:C1"/>
      <selection pane="bottomLeft" sqref="A1:C1"/>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325"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326"/>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327" t="s">
        <v>966</v>
      </c>
      <c r="B3" s="2328"/>
      <c r="C3" s="1306"/>
      <c r="D3" s="1307"/>
      <c r="E3" s="1307"/>
      <c r="F3" s="1307"/>
      <c r="G3" s="1307"/>
      <c r="H3" s="1307"/>
      <c r="I3" s="1307"/>
      <c r="J3" s="1307"/>
      <c r="K3" s="1307"/>
      <c r="L3" s="1307"/>
      <c r="M3" s="1308"/>
      <c r="N3" s="1309"/>
    </row>
    <row r="4" spans="1:14" ht="13.5" customHeight="1" x14ac:dyDescent="0.2">
      <c r="A4" s="427" t="s">
        <v>1631</v>
      </c>
      <c r="B4" s="428"/>
      <c r="C4" s="1572">
        <v>221358628</v>
      </c>
      <c r="D4" s="1573">
        <v>1120428</v>
      </c>
      <c r="E4" s="1573">
        <v>31899736</v>
      </c>
      <c r="F4" s="1573">
        <v>16008200</v>
      </c>
      <c r="G4" s="1573">
        <v>2197071</v>
      </c>
      <c r="H4" s="1573">
        <v>5036183</v>
      </c>
      <c r="I4" s="1573">
        <v>111365942</v>
      </c>
      <c r="J4" s="1574">
        <v>0</v>
      </c>
      <c r="K4" s="1573">
        <v>3982451</v>
      </c>
      <c r="L4" s="1573">
        <v>3538922</v>
      </c>
      <c r="M4" s="1575"/>
      <c r="N4" s="1576"/>
    </row>
    <row r="5" spans="1:14" x14ac:dyDescent="0.2">
      <c r="A5" s="427" t="s">
        <v>984</v>
      </c>
      <c r="B5" s="429">
        <v>120</v>
      </c>
      <c r="C5" s="1572"/>
      <c r="D5" s="1573"/>
      <c r="E5" s="1573"/>
      <c r="F5" s="1573"/>
      <c r="G5" s="1573"/>
      <c r="H5" s="1573"/>
      <c r="I5" s="1573"/>
      <c r="J5" s="1574"/>
      <c r="K5" s="1577"/>
      <c r="L5" s="1578"/>
      <c r="M5" s="1575"/>
      <c r="N5" s="1576"/>
    </row>
    <row r="6" spans="1:14" ht="13.5" customHeight="1" x14ac:dyDescent="0.2">
      <c r="A6" s="430" t="s">
        <v>413</v>
      </c>
      <c r="B6" s="429">
        <v>130</v>
      </c>
      <c r="C6" s="1572">
        <v>109904362</v>
      </c>
      <c r="D6" s="1573">
        <v>18486342</v>
      </c>
      <c r="E6" s="1573">
        <v>17327252</v>
      </c>
      <c r="F6" s="1573">
        <v>6269801</v>
      </c>
      <c r="G6" s="1577">
        <v>7476924</v>
      </c>
      <c r="H6" s="1577"/>
      <c r="I6" s="1573"/>
      <c r="J6" s="1579">
        <v>2977109</v>
      </c>
      <c r="K6" s="1577">
        <v>2433711</v>
      </c>
      <c r="L6" s="1580"/>
      <c r="M6" s="1575"/>
      <c r="N6" s="1576"/>
    </row>
    <row r="7" spans="1:14" ht="13.5" customHeight="1" x14ac:dyDescent="0.2">
      <c r="A7" s="430" t="s">
        <v>414</v>
      </c>
      <c r="B7" s="429">
        <v>140</v>
      </c>
      <c r="C7" s="1581">
        <v>500170</v>
      </c>
      <c r="D7" s="1574"/>
      <c r="E7" s="1574"/>
      <c r="F7" s="1574"/>
      <c r="G7" s="1574"/>
      <c r="H7" s="1574"/>
      <c r="I7" s="1574"/>
      <c r="J7" s="1574"/>
      <c r="K7" s="1574"/>
      <c r="L7" s="1582"/>
      <c r="M7" s="1575"/>
      <c r="N7" s="1576"/>
    </row>
    <row r="8" spans="1:14" ht="13.5" customHeight="1" x14ac:dyDescent="0.2">
      <c r="A8" s="430" t="s">
        <v>266</v>
      </c>
      <c r="B8" s="429">
        <v>150</v>
      </c>
      <c r="C8" s="1581">
        <v>16211415</v>
      </c>
      <c r="D8" s="1574"/>
      <c r="E8" s="1574"/>
      <c r="F8" s="1574">
        <v>19006488</v>
      </c>
      <c r="G8" s="1583"/>
      <c r="H8" s="1574"/>
      <c r="I8" s="1579"/>
      <c r="J8" s="1579"/>
      <c r="K8" s="1584"/>
      <c r="L8" s="1585"/>
      <c r="M8" s="1575"/>
      <c r="N8" s="1576"/>
    </row>
    <row r="9" spans="1:14" ht="13.5" customHeight="1" x14ac:dyDescent="0.2">
      <c r="A9" s="430" t="s">
        <v>267</v>
      </c>
      <c r="B9" s="429">
        <v>160</v>
      </c>
      <c r="C9" s="1581">
        <v>408082</v>
      </c>
      <c r="D9" s="1574">
        <v>480240</v>
      </c>
      <c r="E9" s="1574"/>
      <c r="F9" s="1574">
        <v>759761</v>
      </c>
      <c r="G9" s="1574"/>
      <c r="H9" s="1583">
        <v>43281</v>
      </c>
      <c r="I9" s="1574">
        <v>1354213</v>
      </c>
      <c r="J9" s="1574"/>
      <c r="K9" s="1574"/>
      <c r="L9" s="1574"/>
      <c r="M9" s="1575"/>
      <c r="N9" s="1576"/>
    </row>
    <row r="10" spans="1:14" ht="13.5" customHeight="1" x14ac:dyDescent="0.2">
      <c r="A10" s="430" t="s">
        <v>983</v>
      </c>
      <c r="B10" s="429">
        <v>170</v>
      </c>
      <c r="C10" s="1572">
        <v>30589</v>
      </c>
      <c r="D10" s="1573"/>
      <c r="E10" s="1574"/>
      <c r="F10" s="1573"/>
      <c r="G10" s="1583"/>
      <c r="H10" s="1586"/>
      <c r="I10" s="1574"/>
      <c r="J10" s="1574"/>
      <c r="K10" s="1586"/>
      <c r="L10" s="1586"/>
      <c r="M10" s="1576"/>
      <c r="N10" s="1576"/>
    </row>
    <row r="11" spans="1:14" ht="13.5" customHeight="1" x14ac:dyDescent="0.2">
      <c r="A11" s="430" t="s">
        <v>268</v>
      </c>
      <c r="B11" s="429">
        <v>180</v>
      </c>
      <c r="C11" s="1581">
        <v>5527927</v>
      </c>
      <c r="D11" s="1574">
        <v>57895</v>
      </c>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353941173</v>
      </c>
      <c r="D13" s="1587">
        <f t="shared" ref="D13:L13" si="0">SUM(D4:D12)</f>
        <v>20144905</v>
      </c>
      <c r="E13" s="1587">
        <f t="shared" si="0"/>
        <v>49226988</v>
      </c>
      <c r="F13" s="1587">
        <f t="shared" si="0"/>
        <v>42044250</v>
      </c>
      <c r="G13" s="1587">
        <f t="shared" si="0"/>
        <v>9673995</v>
      </c>
      <c r="H13" s="1587">
        <f t="shared" si="0"/>
        <v>5079464</v>
      </c>
      <c r="I13" s="1587">
        <f t="shared" si="0"/>
        <v>112720155</v>
      </c>
      <c r="J13" s="1587">
        <f t="shared" si="0"/>
        <v>2977109</v>
      </c>
      <c r="K13" s="1587">
        <f t="shared" si="0"/>
        <v>6416162</v>
      </c>
      <c r="L13" s="1587">
        <f t="shared" si="0"/>
        <v>3538922</v>
      </c>
      <c r="M13" s="1575"/>
      <c r="N13" s="1576"/>
    </row>
    <row r="14" spans="1:14" ht="18" customHeight="1" thickTop="1" x14ac:dyDescent="0.2">
      <c r="A14" s="2329" t="s">
        <v>146</v>
      </c>
      <c r="B14" s="2330"/>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f>'Cap Outlay Deprec 26'!L5</f>
        <v>28394912</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f>'Cap Outlay Deprec 26'!L8</f>
        <v>356591253</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c r="N18" s="1592"/>
    </row>
    <row r="19" spans="1:14" s="433" customFormat="1" ht="12.75" customHeight="1" x14ac:dyDescent="0.2">
      <c r="A19" s="431" t="s">
        <v>1387</v>
      </c>
      <c r="B19" s="432">
        <v>250</v>
      </c>
      <c r="C19" s="1582"/>
      <c r="D19" s="1582"/>
      <c r="E19" s="1582"/>
      <c r="F19" s="1582"/>
      <c r="G19" s="1582"/>
      <c r="H19" s="1582"/>
      <c r="I19" s="1582"/>
      <c r="J19" s="1582"/>
      <c r="K19" s="1582"/>
      <c r="L19" s="1582"/>
      <c r="M19" s="1574">
        <f>'Cap Outlay Deprec 26'!L12+'Cap Outlay Deprec 26'!L13</f>
        <v>16342222</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f>'Cap Outlay Deprec 26'!L15</f>
        <v>28064556</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f>E41</f>
        <v>49226988</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170655113</v>
      </c>
    </row>
    <row r="23" spans="1:14" ht="13.5" customHeight="1" thickBot="1" x14ac:dyDescent="0.25">
      <c r="A23" s="1426" t="s">
        <v>637</v>
      </c>
      <c r="B23" s="1429"/>
      <c r="C23" s="1575"/>
      <c r="D23" s="1575"/>
      <c r="E23" s="1575"/>
      <c r="F23" s="1575"/>
      <c r="G23" s="1575"/>
      <c r="H23" s="1575"/>
      <c r="I23" s="1575"/>
      <c r="J23" s="1575"/>
      <c r="K23" s="1575"/>
      <c r="L23" s="1575"/>
      <c r="M23" s="1594">
        <f>SUM(M15:M22)</f>
        <v>429392943</v>
      </c>
      <c r="N23" s="1594">
        <f>SUM(N21:N22)</f>
        <v>219882101</v>
      </c>
    </row>
    <row r="24" spans="1:14" ht="18" customHeight="1" thickTop="1" x14ac:dyDescent="0.2">
      <c r="A24" s="2331" t="s">
        <v>593</v>
      </c>
      <c r="B24" s="2332"/>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v>500170</v>
      </c>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v>19985714</v>
      </c>
      <c r="D27" s="1574">
        <v>10466155</v>
      </c>
      <c r="E27" s="1574"/>
      <c r="F27" s="1574">
        <v>148225</v>
      </c>
      <c r="G27" s="1574"/>
      <c r="H27" s="1574">
        <v>90754</v>
      </c>
      <c r="I27" s="1574"/>
      <c r="J27" s="1574">
        <v>17973</v>
      </c>
      <c r="K27" s="1574">
        <v>704859</v>
      </c>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v>30973991</v>
      </c>
      <c r="D30" s="1579">
        <v>319117</v>
      </c>
      <c r="E30" s="1574"/>
      <c r="F30" s="1574">
        <v>75621</v>
      </c>
      <c r="G30" s="1574">
        <v>638631</v>
      </c>
      <c r="H30" s="1574"/>
      <c r="I30" s="1574"/>
      <c r="J30" s="1574">
        <v>2786</v>
      </c>
      <c r="K30" s="1583"/>
      <c r="L30" s="1575"/>
      <c r="M30" s="1575"/>
      <c r="N30" s="1575"/>
    </row>
    <row r="31" spans="1:14" ht="13.5" customHeight="1" x14ac:dyDescent="0.2">
      <c r="A31" s="430" t="s">
        <v>645</v>
      </c>
      <c r="B31" s="429">
        <v>480</v>
      </c>
      <c r="C31" s="1573">
        <v>422779</v>
      </c>
      <c r="D31" s="1574"/>
      <c r="E31" s="1574"/>
      <c r="F31" s="1573"/>
      <c r="G31" s="1574">
        <v>537430</v>
      </c>
      <c r="H31" s="1574"/>
      <c r="I31" s="1574"/>
      <c r="J31" s="1574"/>
      <c r="K31" s="1574"/>
      <c r="L31" s="1575"/>
      <c r="M31" s="1575"/>
      <c r="N31" s="1575"/>
    </row>
    <row r="32" spans="1:14" ht="13.5" customHeight="1" x14ac:dyDescent="0.2">
      <c r="A32" s="434" t="s">
        <v>646</v>
      </c>
      <c r="B32" s="435">
        <v>490</v>
      </c>
      <c r="C32" s="1599">
        <v>112376878</v>
      </c>
      <c r="D32" s="1599">
        <v>17712127</v>
      </c>
      <c r="E32" s="1579">
        <v>16601580</v>
      </c>
      <c r="F32" s="1579">
        <v>21019702</v>
      </c>
      <c r="G32" s="1579">
        <v>6611366</v>
      </c>
      <c r="H32" s="1579"/>
      <c r="I32" s="1579"/>
      <c r="J32" s="1579">
        <v>2852427</v>
      </c>
      <c r="K32" s="1584">
        <v>2331786</v>
      </c>
      <c r="L32" s="1575"/>
      <c r="M32" s="1575"/>
      <c r="N32" s="1575"/>
    </row>
    <row r="33" spans="1:14" ht="13.5" customHeight="1" x14ac:dyDescent="0.2">
      <c r="A33" s="436" t="s">
        <v>299</v>
      </c>
      <c r="B33" s="435">
        <v>493</v>
      </c>
      <c r="C33" s="1574"/>
      <c r="D33" s="1574"/>
      <c r="E33" s="1574"/>
      <c r="F33" s="1574"/>
      <c r="G33" s="1574"/>
      <c r="H33" s="1574"/>
      <c r="I33" s="1574"/>
      <c r="J33" s="1574"/>
      <c r="K33" s="1574"/>
      <c r="L33" s="1574">
        <v>3538922</v>
      </c>
      <c r="M33" s="1575"/>
      <c r="N33" s="1576"/>
    </row>
    <row r="34" spans="1:14" ht="13.5" customHeight="1" thickBot="1" x14ac:dyDescent="0.25">
      <c r="A34" s="1427" t="s">
        <v>648</v>
      </c>
      <c r="B34" s="1428"/>
      <c r="C34" s="1600">
        <f>SUM(C25:C33)</f>
        <v>163759362</v>
      </c>
      <c r="D34" s="1600">
        <f t="shared" ref="D34:K34" si="1">SUM(D25:D33)</f>
        <v>28497399</v>
      </c>
      <c r="E34" s="1600">
        <f t="shared" si="1"/>
        <v>16601580</v>
      </c>
      <c r="F34" s="1600">
        <f t="shared" si="1"/>
        <v>21243548</v>
      </c>
      <c r="G34" s="1600">
        <f t="shared" si="1"/>
        <v>7787427</v>
      </c>
      <c r="H34" s="1600">
        <f t="shared" si="1"/>
        <v>90754</v>
      </c>
      <c r="I34" s="1600">
        <f t="shared" si="1"/>
        <v>0</v>
      </c>
      <c r="J34" s="1600">
        <f t="shared" si="1"/>
        <v>3373356</v>
      </c>
      <c r="K34" s="1600">
        <f t="shared" si="1"/>
        <v>3036645</v>
      </c>
      <c r="L34" s="1601">
        <f>SUM(L33)</f>
        <v>3538922</v>
      </c>
      <c r="M34" s="1575"/>
      <c r="N34" s="1585"/>
    </row>
    <row r="35" spans="1:14" ht="18" customHeight="1" thickTop="1" x14ac:dyDescent="0.2">
      <c r="A35" s="2333" t="s">
        <v>525</v>
      </c>
      <c r="B35" s="233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219882101</v>
      </c>
    </row>
    <row r="37" spans="1:14" ht="13.5" thickBot="1" x14ac:dyDescent="0.25">
      <c r="A37" s="1426" t="s">
        <v>647</v>
      </c>
      <c r="B37" s="1429"/>
      <c r="C37" s="1582"/>
      <c r="D37" s="1582"/>
      <c r="E37" s="1582"/>
      <c r="F37" s="1582"/>
      <c r="G37" s="1582"/>
      <c r="H37" s="1582"/>
      <c r="I37" s="1582"/>
      <c r="J37" s="1582"/>
      <c r="K37" s="1582"/>
      <c r="L37" s="1585"/>
      <c r="M37" s="1575"/>
      <c r="N37" s="1594">
        <f>SUM(N36:N36)</f>
        <v>219882101</v>
      </c>
    </row>
    <row r="38" spans="1:14" s="307" customFormat="1" ht="13.5" customHeight="1" thickTop="1" x14ac:dyDescent="0.2">
      <c r="A38" s="438" t="s">
        <v>416</v>
      </c>
      <c r="B38" s="432">
        <v>714</v>
      </c>
      <c r="C38" s="1573">
        <v>5558516</v>
      </c>
      <c r="D38" s="1573">
        <v>57895</v>
      </c>
      <c r="E38" s="1573">
        <f>'Acct Summary 7-8'!E81</f>
        <v>32625408</v>
      </c>
      <c r="F38" s="1573">
        <f>'Acct Summary 7-8'!F81</f>
        <v>20800702</v>
      </c>
      <c r="G38" s="1573">
        <f>'Acct Summary 7-8'!G81</f>
        <v>1886568</v>
      </c>
      <c r="H38" s="1573">
        <f>'Acct Summary 7-8'!H81</f>
        <v>4988710</v>
      </c>
      <c r="I38" s="1573">
        <v>0</v>
      </c>
      <c r="J38" s="1574">
        <v>0</v>
      </c>
      <c r="K38" s="1573">
        <f>'Acct Summary 7-8'!K81</f>
        <v>3379517</v>
      </c>
      <c r="L38" s="1586">
        <v>0</v>
      </c>
      <c r="M38" s="1604"/>
      <c r="N38" s="1604"/>
    </row>
    <row r="39" spans="1:14" s="307" customFormat="1" ht="13.5" customHeight="1" x14ac:dyDescent="0.2">
      <c r="A39" s="438" t="s">
        <v>338</v>
      </c>
      <c r="B39" s="432">
        <v>730</v>
      </c>
      <c r="C39" s="1573">
        <f>+'Acct Summary 7-8'!C81-'Assets-Liab 5-6'!C38</f>
        <v>184623295</v>
      </c>
      <c r="D39" s="1573">
        <f>'Acct Summary 7-8'!D81-D38</f>
        <v>-8410389</v>
      </c>
      <c r="E39" s="1573">
        <v>0</v>
      </c>
      <c r="F39" s="1573">
        <v>0</v>
      </c>
      <c r="G39" s="1573">
        <v>0</v>
      </c>
      <c r="H39" s="1573">
        <v>0</v>
      </c>
      <c r="I39" s="1573">
        <f>'Acct Summary 7-8'!I81</f>
        <v>112720155</v>
      </c>
      <c r="J39" s="1574">
        <f>'Acct Summary 7-8'!J81</f>
        <v>-396247</v>
      </c>
      <c r="K39" s="1573">
        <v>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429392943</v>
      </c>
      <c r="N40" s="1604"/>
    </row>
    <row r="41" spans="1:14" ht="13.5" customHeight="1" thickBot="1" x14ac:dyDescent="0.25">
      <c r="A41" s="1426" t="s">
        <v>649</v>
      </c>
      <c r="B41" s="1405"/>
      <c r="C41" s="1594">
        <f>(SUM(C34,C37,C38,C39))</f>
        <v>353941173</v>
      </c>
      <c r="D41" s="1594">
        <f t="shared" ref="D41:L41" si="2">SUM(D34,D37,D38:D39)</f>
        <v>20144905</v>
      </c>
      <c r="E41" s="1594">
        <f t="shared" si="2"/>
        <v>49226988</v>
      </c>
      <c r="F41" s="1594">
        <f t="shared" si="2"/>
        <v>42044250</v>
      </c>
      <c r="G41" s="1594">
        <f t="shared" si="2"/>
        <v>9673995</v>
      </c>
      <c r="H41" s="1594">
        <f t="shared" si="2"/>
        <v>5079464</v>
      </c>
      <c r="I41" s="1594">
        <f t="shared" si="2"/>
        <v>112720155</v>
      </c>
      <c r="J41" s="1594">
        <f t="shared" si="2"/>
        <v>2977109</v>
      </c>
      <c r="K41" s="1594">
        <f t="shared" si="2"/>
        <v>6416162</v>
      </c>
      <c r="L41" s="1594">
        <f t="shared" si="2"/>
        <v>3538922</v>
      </c>
      <c r="M41" s="1594">
        <f>SUM(M40)</f>
        <v>429392943</v>
      </c>
      <c r="N41" s="1594">
        <f>SUM(N37)</f>
        <v>219882101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34998626667073579"/>
  </sheetPr>
  <dimension ref="A1:M87"/>
  <sheetViews>
    <sheetView showGridLines="0" defaultGridColor="0" colorId="8" zoomScaleNormal="100" zoomScaleSheetLayoutView="100" workbookViewId="0">
      <pane ySplit="2" topLeftCell="A21" activePane="bottomLeft" state="frozen"/>
      <selection sqref="A1:C1"/>
      <selection pane="bottomLeft" sqref="A1:C1"/>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343"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44"/>
      <c r="B2" s="422" t="s">
        <v>374</v>
      </c>
      <c r="C2" s="423" t="s">
        <v>1144</v>
      </c>
      <c r="D2" s="423" t="s">
        <v>864</v>
      </c>
      <c r="E2" s="423" t="s">
        <v>434</v>
      </c>
      <c r="F2" s="423" t="s">
        <v>154</v>
      </c>
      <c r="G2" s="423" t="s">
        <v>981</v>
      </c>
      <c r="H2" s="423" t="s">
        <v>433</v>
      </c>
      <c r="I2" s="423" t="s">
        <v>403</v>
      </c>
      <c r="J2" s="423" t="s">
        <v>432</v>
      </c>
      <c r="K2" s="423" t="s">
        <v>156</v>
      </c>
      <c r="L2" s="442"/>
    </row>
    <row r="3" spans="1:13" s="447" customFormat="1" ht="16.899999999999999" customHeight="1" x14ac:dyDescent="0.2">
      <c r="A3" s="2355" t="s">
        <v>1164</v>
      </c>
      <c r="B3" s="2356"/>
      <c r="C3" s="1311"/>
      <c r="D3" s="1312"/>
      <c r="E3" s="1312"/>
      <c r="F3" s="1312"/>
      <c r="G3" s="1312"/>
      <c r="H3" s="1312"/>
      <c r="I3" s="1312"/>
      <c r="J3" s="1312"/>
      <c r="K3" s="1313"/>
      <c r="L3" s="446"/>
    </row>
    <row r="4" spans="1:13" ht="15.75" customHeight="1" x14ac:dyDescent="0.2">
      <c r="A4" s="1537" t="s">
        <v>1481</v>
      </c>
      <c r="B4" s="1538">
        <v>1000</v>
      </c>
      <c r="C4" s="1606">
        <f>'Revenues 9-14'!C109</f>
        <v>214052420</v>
      </c>
      <c r="D4" s="1606">
        <f>'Revenues 9-14'!D109</f>
        <v>37075540</v>
      </c>
      <c r="E4" s="1606">
        <f>'Revenues 9-14'!E109</f>
        <v>33004953</v>
      </c>
      <c r="F4" s="1606">
        <f>'Revenues 9-14'!F109</f>
        <v>15849873</v>
      </c>
      <c r="G4" s="1606">
        <f>'Revenues 9-14'!G109</f>
        <v>17067484</v>
      </c>
      <c r="H4" s="1606">
        <f>'Revenues 9-14'!H109</f>
        <v>1495918</v>
      </c>
      <c r="I4" s="1606">
        <f>'Revenues 9-14'!I109</f>
        <v>6325232</v>
      </c>
      <c r="J4" s="1606">
        <f>'Revenues 9-14'!J109</f>
        <v>5357785</v>
      </c>
      <c r="K4" s="1606">
        <f>'Revenues 9-14'!K109</f>
        <v>4351312</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194596493</v>
      </c>
      <c r="D6" s="1607">
        <f>'Revenues 9-14'!D170</f>
        <v>17566648</v>
      </c>
      <c r="E6" s="1607">
        <f>'Revenues 9-14'!E170</f>
        <v>0</v>
      </c>
      <c r="F6" s="1607">
        <f>'Revenues 9-14'!F170</f>
        <v>15929424</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47994424</v>
      </c>
      <c r="D7" s="1607">
        <f>'Revenues 9-14'!D267</f>
        <v>0</v>
      </c>
      <c r="E7" s="1607">
        <f>'Revenues 9-14'!E267</f>
        <v>0</v>
      </c>
      <c r="F7" s="1607">
        <f>'Revenues 9-14'!F267</f>
        <v>227442</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456643337</v>
      </c>
      <c r="D8" s="1594">
        <f t="shared" ref="D8:K8" si="0">SUM(D4:D7)</f>
        <v>54642188</v>
      </c>
      <c r="E8" s="1594">
        <f t="shared" si="0"/>
        <v>33004953</v>
      </c>
      <c r="F8" s="1594">
        <f t="shared" si="0"/>
        <v>32006739</v>
      </c>
      <c r="G8" s="1594">
        <f t="shared" si="0"/>
        <v>17067484</v>
      </c>
      <c r="H8" s="1594">
        <f t="shared" si="0"/>
        <v>1495918</v>
      </c>
      <c r="I8" s="1594">
        <f t="shared" si="0"/>
        <v>6325232</v>
      </c>
      <c r="J8" s="1594">
        <f t="shared" si="0"/>
        <v>5357785</v>
      </c>
      <c r="K8" s="1594">
        <f t="shared" si="0"/>
        <v>4351312</v>
      </c>
      <c r="L8" s="325"/>
    </row>
    <row r="9" spans="1:13" ht="15.75" thickTop="1" x14ac:dyDescent="0.2">
      <c r="A9" s="449" t="s">
        <v>1633</v>
      </c>
      <c r="B9" s="450">
        <v>3998</v>
      </c>
      <c r="C9" s="1586">
        <v>104503036</v>
      </c>
      <c r="D9" s="1613"/>
      <c r="E9" s="1586"/>
      <c r="F9" s="1586"/>
      <c r="G9" s="1614"/>
      <c r="H9" s="1586"/>
      <c r="I9" s="1609" t="s">
        <v>1158</v>
      </c>
      <c r="J9" s="1583"/>
      <c r="K9" s="1586"/>
      <c r="L9" s="325"/>
    </row>
    <row r="10" spans="1:13" s="452" customFormat="1" ht="13.5" thickBot="1" x14ac:dyDescent="0.25">
      <c r="A10" s="1426" t="s">
        <v>1162</v>
      </c>
      <c r="B10" s="1407"/>
      <c r="C10" s="1594">
        <f>SUM(C8:C9)</f>
        <v>561146373</v>
      </c>
      <c r="D10" s="1594">
        <f t="shared" ref="D10:K10" si="1">SUM(D8:D9)</f>
        <v>54642188</v>
      </c>
      <c r="E10" s="1594">
        <f t="shared" si="1"/>
        <v>33004953</v>
      </c>
      <c r="F10" s="1594">
        <f t="shared" si="1"/>
        <v>32006739</v>
      </c>
      <c r="G10" s="1594">
        <f t="shared" si="1"/>
        <v>17067484</v>
      </c>
      <c r="H10" s="1594">
        <f t="shared" si="1"/>
        <v>1495918</v>
      </c>
      <c r="I10" s="1594">
        <f t="shared" si="1"/>
        <v>6325232</v>
      </c>
      <c r="J10" s="1594">
        <f t="shared" si="1"/>
        <v>5357785</v>
      </c>
      <c r="K10" s="1594">
        <f t="shared" si="1"/>
        <v>4351312</v>
      </c>
      <c r="L10" s="451"/>
    </row>
    <row r="11" spans="1:13" s="452" customFormat="1" ht="16.899999999999999" customHeight="1" thickTop="1" x14ac:dyDescent="0.2">
      <c r="A11" s="2329" t="s">
        <v>1165</v>
      </c>
      <c r="B11" s="2330"/>
      <c r="C11" s="1602"/>
      <c r="D11" s="1603"/>
      <c r="E11" s="1603"/>
      <c r="F11" s="1603"/>
      <c r="G11" s="1603"/>
      <c r="H11" s="1603"/>
      <c r="I11" s="1603"/>
      <c r="J11" s="1603"/>
      <c r="K11" s="1615"/>
      <c r="L11" s="451"/>
    </row>
    <row r="12" spans="1:13" ht="15.75" customHeight="1" x14ac:dyDescent="0.2">
      <c r="A12" s="1314" t="s">
        <v>452</v>
      </c>
      <c r="B12" s="1316">
        <v>1000</v>
      </c>
      <c r="C12" s="1606">
        <f>'Expenditures 15-22'!K33</f>
        <v>268894400</v>
      </c>
      <c r="D12" s="1616" t="s">
        <v>1158</v>
      </c>
      <c r="E12" s="1575" t="s">
        <v>1158</v>
      </c>
      <c r="F12" s="1575" t="s">
        <v>1158</v>
      </c>
      <c r="G12" s="1606">
        <f>'Expenditures 15-22'!K229</f>
        <v>5383645</v>
      </c>
      <c r="H12" s="1617"/>
      <c r="I12" s="1575" t="s">
        <v>1158</v>
      </c>
      <c r="J12" s="1575" t="s">
        <v>1158</v>
      </c>
      <c r="K12" s="1617" t="s">
        <v>1158</v>
      </c>
      <c r="L12" s="325"/>
    </row>
    <row r="13" spans="1:13" ht="15.75" customHeight="1" x14ac:dyDescent="0.2">
      <c r="A13" s="1314" t="s">
        <v>453</v>
      </c>
      <c r="B13" s="1316">
        <v>2000</v>
      </c>
      <c r="C13" s="1607">
        <f>'Expenditures 15-22'!K74</f>
        <v>134770545</v>
      </c>
      <c r="D13" s="1607">
        <f>'Expenditures 15-22'!K129</f>
        <v>74828757</v>
      </c>
      <c r="E13" s="1576" t="s">
        <v>1158</v>
      </c>
      <c r="F13" s="1607">
        <f>'Expenditures 15-22'!K184</f>
        <v>28145571</v>
      </c>
      <c r="G13" s="1607">
        <f>'Expenditures 15-22'!K279</f>
        <v>10942284</v>
      </c>
      <c r="H13" s="1607">
        <f>'Expenditures 15-22'!K303</f>
        <v>0</v>
      </c>
      <c r="I13" s="1575" t="s">
        <v>1158</v>
      </c>
      <c r="J13" s="1607">
        <f>'Expenditures 15-22'!K330</f>
        <v>6718375</v>
      </c>
      <c r="K13" s="1618">
        <f>'Expenditures 15-22'!K352</f>
        <v>1496746</v>
      </c>
      <c r="L13" s="325"/>
    </row>
    <row r="14" spans="1:13" ht="15.75" customHeight="1" x14ac:dyDescent="0.2">
      <c r="A14" s="1314" t="s">
        <v>445</v>
      </c>
      <c r="B14" s="1316">
        <v>3000</v>
      </c>
      <c r="C14" s="1607">
        <f>'Expenditures 15-22'!K75</f>
        <v>3036373</v>
      </c>
      <c r="D14" s="1607">
        <f>'Expenditures 15-22'!K130</f>
        <v>0</v>
      </c>
      <c r="E14" s="1616" t="s">
        <v>1158</v>
      </c>
      <c r="F14" s="1607">
        <f>'Expenditures 15-22'!K185</f>
        <v>0</v>
      </c>
      <c r="G14" s="1607">
        <f>'Expenditures 15-22'!K280</f>
        <v>199716</v>
      </c>
      <c r="H14" s="1612"/>
      <c r="I14" s="1575" t="s">
        <v>1158</v>
      </c>
      <c r="J14" s="1575" t="s">
        <v>1158</v>
      </c>
      <c r="K14" s="1612" t="s">
        <v>1158</v>
      </c>
      <c r="L14" s="325"/>
    </row>
    <row r="15" spans="1:13" ht="15.75" customHeight="1" x14ac:dyDescent="0.2">
      <c r="A15" s="1314" t="s">
        <v>107</v>
      </c>
      <c r="B15" s="1316">
        <v>4000</v>
      </c>
      <c r="C15" s="1607">
        <f>'Expenditures 15-22'!K102</f>
        <v>9581182</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42701672</v>
      </c>
      <c r="F16" s="1607">
        <f>'Expenditures 15-22'!K208</f>
        <v>1373245</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416282500</v>
      </c>
      <c r="D17" s="1594">
        <f t="shared" si="2"/>
        <v>74828757</v>
      </c>
      <c r="E17" s="1594">
        <f t="shared" si="2"/>
        <v>42701672</v>
      </c>
      <c r="F17" s="1594">
        <f t="shared" si="2"/>
        <v>29518816</v>
      </c>
      <c r="G17" s="1594">
        <f t="shared" si="2"/>
        <v>16525645</v>
      </c>
      <c r="H17" s="1594">
        <f t="shared" si="2"/>
        <v>0</v>
      </c>
      <c r="I17" s="1575"/>
      <c r="J17" s="1594">
        <f>SUM(J12:J16)</f>
        <v>6718375</v>
      </c>
      <c r="K17" s="1594">
        <f>SUM(K12:K16)</f>
        <v>1496746</v>
      </c>
      <c r="L17" s="325"/>
    </row>
    <row r="18" spans="1:12" ht="15" customHeight="1" thickTop="1" x14ac:dyDescent="0.2">
      <c r="A18" s="1430" t="s">
        <v>1634</v>
      </c>
      <c r="B18" s="1431">
        <v>4180</v>
      </c>
      <c r="C18" s="1606">
        <f t="shared" ref="C18:H18" si="3">C9</f>
        <v>104503036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520785536</v>
      </c>
      <c r="D19" s="1594">
        <f t="shared" si="4"/>
        <v>74828757</v>
      </c>
      <c r="E19" s="1594">
        <f t="shared" si="4"/>
        <v>42701672</v>
      </c>
      <c r="F19" s="1594">
        <f t="shared" si="4"/>
        <v>29518816</v>
      </c>
      <c r="G19" s="1594">
        <f t="shared" si="4"/>
        <v>16525645</v>
      </c>
      <c r="H19" s="1594">
        <f t="shared" si="4"/>
        <v>0</v>
      </c>
      <c r="I19" s="1575"/>
      <c r="J19" s="1594">
        <f>SUM(J17:J18)</f>
        <v>6718375</v>
      </c>
      <c r="K19" s="1594">
        <f>SUM(K17:K18)</f>
        <v>1496746</v>
      </c>
      <c r="L19" s="325"/>
    </row>
    <row r="20" spans="1:12" ht="16.5" thickTop="1" thickBot="1" x14ac:dyDescent="0.25">
      <c r="A20" s="2345" t="s">
        <v>1635</v>
      </c>
      <c r="B20" s="2346"/>
      <c r="C20" s="1622">
        <f>C8-C17</f>
        <v>40360837</v>
      </c>
      <c r="D20" s="1622">
        <f t="shared" ref="D20:K20" si="5">D8-D17</f>
        <v>-20186569</v>
      </c>
      <c r="E20" s="1622">
        <f t="shared" si="5"/>
        <v>-9696719</v>
      </c>
      <c r="F20" s="1622">
        <f t="shared" si="5"/>
        <v>2487923</v>
      </c>
      <c r="G20" s="1622">
        <f t="shared" si="5"/>
        <v>541839</v>
      </c>
      <c r="H20" s="1622">
        <f t="shared" si="5"/>
        <v>1495918</v>
      </c>
      <c r="I20" s="1622">
        <f t="shared" si="5"/>
        <v>6325232</v>
      </c>
      <c r="J20" s="1622">
        <f t="shared" si="5"/>
        <v>-1360590</v>
      </c>
      <c r="K20" s="1622">
        <f t="shared" si="5"/>
        <v>2854566</v>
      </c>
      <c r="L20" s="325"/>
    </row>
    <row r="21" spans="1:12" ht="16.899999999999999" customHeight="1" thickTop="1" x14ac:dyDescent="0.2">
      <c r="A21" s="2357" t="s">
        <v>590</v>
      </c>
      <c r="B21" s="2358"/>
      <c r="C21" s="1602"/>
      <c r="D21" s="1603"/>
      <c r="E21" s="1603"/>
      <c r="F21" s="1603"/>
      <c r="G21" s="1603"/>
      <c r="H21" s="1603"/>
      <c r="I21" s="1603"/>
      <c r="J21" s="1603"/>
      <c r="K21" s="1615"/>
      <c r="L21" s="453"/>
    </row>
    <row r="22" spans="1:12" ht="15.75" customHeight="1" collapsed="1" x14ac:dyDescent="0.2">
      <c r="A22" s="2353" t="s">
        <v>591</v>
      </c>
      <c r="B22" s="2354"/>
      <c r="C22" s="1582"/>
      <c r="D22" s="1582"/>
      <c r="E22" s="1582"/>
      <c r="F22" s="1582"/>
      <c r="G22" s="1582"/>
      <c r="H22" s="1582"/>
      <c r="I22" s="1582"/>
      <c r="J22" s="1582"/>
      <c r="K22" s="1582"/>
      <c r="L22" s="325"/>
    </row>
    <row r="23" spans="1:12" s="433" customFormat="1" ht="15.75" customHeight="1" x14ac:dyDescent="0.2">
      <c r="A23" s="2349" t="s">
        <v>289</v>
      </c>
      <c r="B23" s="2350"/>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v>6200000</v>
      </c>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1767</v>
      </c>
      <c r="B30" s="455">
        <v>7160</v>
      </c>
      <c r="C30" s="1582"/>
      <c r="D30" s="1574"/>
      <c r="E30" s="1582"/>
      <c r="F30" s="1582"/>
      <c r="G30" s="1582"/>
      <c r="H30" s="1582"/>
      <c r="I30" s="1582"/>
      <c r="J30" s="1582"/>
      <c r="K30" s="1582"/>
      <c r="L30" s="453"/>
    </row>
    <row r="31" spans="1:12" s="433" customFormat="1" ht="26.25" x14ac:dyDescent="0.2">
      <c r="A31" s="1260" t="s">
        <v>1771</v>
      </c>
      <c r="B31" s="455">
        <v>7170</v>
      </c>
      <c r="C31" s="1582"/>
      <c r="D31" s="1582"/>
      <c r="E31" s="1579"/>
      <c r="F31" s="1582"/>
      <c r="G31" s="1582"/>
      <c r="H31" s="1582"/>
      <c r="I31" s="1582"/>
      <c r="J31" s="1582"/>
      <c r="K31" s="1582"/>
      <c r="L31" s="453"/>
    </row>
    <row r="32" spans="1:12" s="433" customFormat="1" ht="15.75" customHeight="1" x14ac:dyDescent="0.2">
      <c r="A32" s="2351" t="s">
        <v>973</v>
      </c>
      <c r="B32" s="2352"/>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717291</v>
      </c>
      <c r="F39" s="1582"/>
      <c r="G39" s="1582"/>
      <c r="H39" s="1582"/>
      <c r="I39" s="1582"/>
      <c r="J39" s="1582"/>
      <c r="K39" s="1582"/>
      <c r="L39" s="453"/>
    </row>
    <row r="40" spans="1:12" s="433" customFormat="1" ht="13.5" customHeight="1" x14ac:dyDescent="0.2">
      <c r="A40" s="1260" t="s">
        <v>636</v>
      </c>
      <c r="B40" s="432">
        <v>7700</v>
      </c>
      <c r="C40" s="1582"/>
      <c r="D40" s="1582"/>
      <c r="E40" s="1607">
        <f>SUM(C66:D69)</f>
        <v>14744</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v>9605212</v>
      </c>
      <c r="F43" s="1574"/>
      <c r="G43" s="1574"/>
      <c r="H43" s="1574"/>
      <c r="I43" s="1574"/>
      <c r="J43" s="1574"/>
      <c r="K43" s="1574"/>
      <c r="L43" s="453"/>
    </row>
    <row r="44" spans="1:12" s="433" customFormat="1" ht="13.5" customHeight="1" thickBot="1" x14ac:dyDescent="0.25">
      <c r="A44" s="2359" t="s">
        <v>370</v>
      </c>
      <c r="B44" s="2360"/>
      <c r="C44" s="1624">
        <f>SUM(C24:C43)</f>
        <v>0</v>
      </c>
      <c r="D44" s="1624">
        <f t="shared" ref="D44:K44" si="6">SUM(D24:D43)</f>
        <v>6200000</v>
      </c>
      <c r="E44" s="1624">
        <f t="shared" si="6"/>
        <v>10337247</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353" t="s">
        <v>108</v>
      </c>
      <c r="B45" s="2354"/>
      <c r="C45" s="1625"/>
      <c r="D45" s="1625"/>
      <c r="E45" s="1625"/>
      <c r="F45" s="1625"/>
      <c r="G45" s="1625"/>
      <c r="H45" s="1625"/>
      <c r="I45" s="1625"/>
      <c r="J45" s="1625"/>
      <c r="K45" s="1625"/>
      <c r="L45" s="325"/>
    </row>
    <row r="46" spans="1:12" s="433" customFormat="1" ht="15.75" customHeight="1" x14ac:dyDescent="0.2">
      <c r="A46" s="2361" t="s">
        <v>109</v>
      </c>
      <c r="B46" s="2362"/>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6200000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7">
        <f>D30</f>
        <v>0</v>
      </c>
      <c r="L52" s="453"/>
    </row>
    <row r="53" spans="1:12" s="433" customFormat="1" ht="26.25" x14ac:dyDescent="0.2">
      <c r="A53" s="1261" t="s">
        <v>1769</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v>717291</v>
      </c>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v>14744</v>
      </c>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v>9605212</v>
      </c>
      <c r="D75" s="1627"/>
      <c r="E75" s="1626"/>
      <c r="F75" s="1628"/>
      <c r="G75" s="1628"/>
      <c r="H75" s="1628"/>
      <c r="I75" s="1626"/>
      <c r="J75" s="1626"/>
      <c r="K75" s="1628"/>
      <c r="L75" s="453"/>
    </row>
    <row r="76" spans="1:12" s="433" customFormat="1" ht="14.25" thickTop="1" thickBot="1" x14ac:dyDescent="0.25">
      <c r="A76" s="2335" t="s">
        <v>436</v>
      </c>
      <c r="B76" s="2336"/>
      <c r="C76" s="1624">
        <f t="shared" ref="C76:K76" si="7">SUM(C47:C75)</f>
        <v>9605212</v>
      </c>
      <c r="D76" s="1624">
        <f t="shared" si="7"/>
        <v>732035</v>
      </c>
      <c r="E76" s="1624">
        <f t="shared" si="7"/>
        <v>0</v>
      </c>
      <c r="F76" s="1624">
        <f t="shared" si="7"/>
        <v>0</v>
      </c>
      <c r="G76" s="1624">
        <f t="shared" si="7"/>
        <v>0</v>
      </c>
      <c r="H76" s="1624">
        <f t="shared" si="7"/>
        <v>0</v>
      </c>
      <c r="I76" s="1624">
        <f t="shared" si="7"/>
        <v>6200000</v>
      </c>
      <c r="J76" s="1624">
        <f t="shared" si="7"/>
        <v>0</v>
      </c>
      <c r="K76" s="1624">
        <f t="shared" si="7"/>
        <v>0</v>
      </c>
      <c r="L76" s="453"/>
    </row>
    <row r="77" spans="1:12" ht="14.25" thickTop="1" thickBot="1" x14ac:dyDescent="0.25">
      <c r="A77" s="2337" t="s">
        <v>1166</v>
      </c>
      <c r="B77" s="2338"/>
      <c r="C77" s="1624">
        <f t="shared" ref="C77:K77" si="8">C44-C76</f>
        <v>-9605212</v>
      </c>
      <c r="D77" s="1624">
        <f t="shared" si="8"/>
        <v>5467965</v>
      </c>
      <c r="E77" s="1624">
        <f t="shared" si="8"/>
        <v>10337247</v>
      </c>
      <c r="F77" s="1624">
        <f t="shared" si="8"/>
        <v>0</v>
      </c>
      <c r="G77" s="1624">
        <f t="shared" si="8"/>
        <v>0</v>
      </c>
      <c r="H77" s="1624">
        <f t="shared" si="8"/>
        <v>0</v>
      </c>
      <c r="I77" s="1624">
        <f t="shared" si="8"/>
        <v>-6200000</v>
      </c>
      <c r="J77" s="1624">
        <f t="shared" si="8"/>
        <v>0</v>
      </c>
      <c r="K77" s="1624">
        <f t="shared" si="8"/>
        <v>0</v>
      </c>
      <c r="L77" s="325"/>
    </row>
    <row r="78" spans="1:12" ht="21.75" customHeight="1" thickTop="1" thickBot="1" x14ac:dyDescent="0.25">
      <c r="A78" s="2341" t="s">
        <v>592</v>
      </c>
      <c r="B78" s="2342"/>
      <c r="C78" s="1629">
        <f t="shared" ref="C78:K78" si="9">C20+C77</f>
        <v>30755625</v>
      </c>
      <c r="D78" s="1629">
        <f t="shared" si="9"/>
        <v>-14718604</v>
      </c>
      <c r="E78" s="1629">
        <f t="shared" si="9"/>
        <v>640528</v>
      </c>
      <c r="F78" s="1629">
        <f t="shared" si="9"/>
        <v>2487923</v>
      </c>
      <c r="G78" s="1629">
        <f t="shared" si="9"/>
        <v>541839</v>
      </c>
      <c r="H78" s="1629">
        <f t="shared" si="9"/>
        <v>1495918</v>
      </c>
      <c r="I78" s="1629">
        <f t="shared" si="9"/>
        <v>125232</v>
      </c>
      <c r="J78" s="1629">
        <f t="shared" si="9"/>
        <v>-1360590</v>
      </c>
      <c r="K78" s="1629">
        <f t="shared" si="9"/>
        <v>2854566</v>
      </c>
      <c r="L78" s="457"/>
    </row>
    <row r="79" spans="1:12" ht="13.5" thickTop="1" x14ac:dyDescent="0.2">
      <c r="A79" s="1844" t="str">
        <f>"Fund Balances - July 1, "&amp;'AFR20'!E2-1</f>
        <v>Fund Balances - July 1, 2019</v>
      </c>
      <c r="B79" s="458"/>
      <c r="C79" s="1583">
        <v>159426186</v>
      </c>
      <c r="D79" s="1630">
        <v>6366110</v>
      </c>
      <c r="E79" s="1630">
        <v>31984880</v>
      </c>
      <c r="F79" s="1630">
        <v>18312779</v>
      </c>
      <c r="G79" s="1630">
        <v>1344729</v>
      </c>
      <c r="H79" s="1630">
        <v>3492792</v>
      </c>
      <c r="I79" s="1630">
        <v>112594923</v>
      </c>
      <c r="J79" s="1630">
        <v>964343</v>
      </c>
      <c r="K79" s="1630">
        <v>524951</v>
      </c>
      <c r="L79" s="325"/>
    </row>
    <row r="80" spans="1:12" x14ac:dyDescent="0.2">
      <c r="A80" s="2347" t="s">
        <v>1768</v>
      </c>
      <c r="B80" s="2348"/>
      <c r="C80" s="1574"/>
      <c r="D80" s="1574"/>
      <c r="E80" s="1574"/>
      <c r="F80" s="1574"/>
      <c r="G80" s="1574"/>
      <c r="H80" s="1574"/>
      <c r="I80" s="1574"/>
      <c r="J80" s="1574"/>
      <c r="K80" s="1574"/>
      <c r="L80" s="325"/>
    </row>
    <row r="81" spans="1:12" ht="13.5" thickBot="1" x14ac:dyDescent="0.25">
      <c r="A81" s="2339" t="str">
        <f>"Fund Balances - June 30, "&amp;'AFR20'!E2</f>
        <v>Fund Balances - June 30, 2020</v>
      </c>
      <c r="B81" s="2340"/>
      <c r="C81" s="1594">
        <f>(SUM(C78:C80))</f>
        <v>190181811</v>
      </c>
      <c r="D81" s="1594">
        <f>SUM(D78:D80)</f>
        <v>-8352494</v>
      </c>
      <c r="E81" s="1594">
        <f t="shared" ref="E81:K81" si="10">SUM(E78:E80)</f>
        <v>32625408</v>
      </c>
      <c r="F81" s="1594">
        <f t="shared" si="10"/>
        <v>20800702</v>
      </c>
      <c r="G81" s="1594">
        <f t="shared" si="10"/>
        <v>1886568</v>
      </c>
      <c r="H81" s="1594">
        <f t="shared" si="10"/>
        <v>4988710</v>
      </c>
      <c r="I81" s="1594">
        <f t="shared" si="10"/>
        <v>112720155</v>
      </c>
      <c r="J81" s="1594">
        <f t="shared" si="10"/>
        <v>-396247</v>
      </c>
      <c r="K81" s="1594">
        <f t="shared" si="10"/>
        <v>3379517</v>
      </c>
      <c r="L81" s="325"/>
    </row>
    <row r="82" spans="1:12" ht="0.75" customHeight="1" thickTop="1" thickBot="1" x14ac:dyDescent="0.25">
      <c r="A82" s="459" t="s">
        <v>339</v>
      </c>
      <c r="B82" s="460"/>
      <c r="C82" s="461">
        <f>(C81-C79)</f>
        <v>30755625</v>
      </c>
      <c r="D82" s="461">
        <f t="shared" ref="D82:K82" si="11">(D81-D79)</f>
        <v>-14718604</v>
      </c>
      <c r="E82" s="461">
        <f t="shared" si="11"/>
        <v>640528</v>
      </c>
      <c r="F82" s="461">
        <f t="shared" si="11"/>
        <v>2487923</v>
      </c>
      <c r="G82" s="461">
        <f t="shared" si="11"/>
        <v>541839</v>
      </c>
      <c r="H82" s="461">
        <f t="shared" si="11"/>
        <v>1495918</v>
      </c>
      <c r="I82" s="461">
        <f t="shared" si="11"/>
        <v>125232</v>
      </c>
      <c r="J82" s="461">
        <f t="shared" si="11"/>
        <v>-1360590</v>
      </c>
      <c r="K82" s="461">
        <f t="shared" si="11"/>
        <v>2854566</v>
      </c>
    </row>
    <row r="83" spans="1:12" ht="14.25" hidden="1" thickTop="1" thickBot="1" x14ac:dyDescent="0.25">
      <c r="A83" s="462" t="s">
        <v>340</v>
      </c>
      <c r="B83" s="428"/>
      <c r="C83" s="463">
        <f>C82/C81</f>
        <v>0.16171696356388152</v>
      </c>
      <c r="D83" s="463">
        <f t="shared" ref="D83:K83" si="12">D82/D81</f>
        <v>1.7621807330840344</v>
      </c>
      <c r="E83" s="463">
        <f t="shared" si="12"/>
        <v>1.9632796622803921E-2</v>
      </c>
      <c r="F83" s="463">
        <f t="shared" si="12"/>
        <v>0.11960764593425741</v>
      </c>
      <c r="G83" s="463">
        <f t="shared" si="12"/>
        <v>0.28720883636317374</v>
      </c>
      <c r="H83" s="463">
        <f t="shared" si="12"/>
        <v>0.29986068542769573</v>
      </c>
      <c r="I83" s="463">
        <f t="shared" si="12"/>
        <v>1.11099918200077E-3</v>
      </c>
      <c r="J83" s="463">
        <f t="shared" si="12"/>
        <v>3.4336916115453242</v>
      </c>
      <c r="K83" s="463">
        <f t="shared" si="12"/>
        <v>0.84466685624010773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34998626667073579"/>
  </sheetPr>
  <dimension ref="A1:L279"/>
  <sheetViews>
    <sheetView showGridLines="0" defaultGridColor="0" colorId="8" zoomScale="110" zoomScaleNormal="110" zoomScaleSheetLayoutView="75" workbookViewId="0">
      <pane ySplit="2" topLeftCell="A3" activePane="bottomLeft" state="frozen"/>
      <selection sqref="A1:C1"/>
      <selection pane="bottomLeft" activeCell="C15" sqref="C15"/>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343" t="s">
        <v>1775</v>
      </c>
      <c r="B1" s="416"/>
      <c r="C1" s="417" t="s">
        <v>421</v>
      </c>
      <c r="D1" s="417" t="s">
        <v>422</v>
      </c>
      <c r="E1" s="417" t="s">
        <v>423</v>
      </c>
      <c r="F1" s="417" t="s">
        <v>424</v>
      </c>
      <c r="G1" s="417" t="s">
        <v>425</v>
      </c>
      <c r="H1" s="417" t="s">
        <v>426</v>
      </c>
      <c r="I1" s="417" t="s">
        <v>427</v>
      </c>
      <c r="J1" s="417" t="s">
        <v>428</v>
      </c>
      <c r="K1" s="417" t="s">
        <v>750</v>
      </c>
    </row>
    <row r="2" spans="1:12" ht="36" x14ac:dyDescent="0.2">
      <c r="A2" s="2344"/>
      <c r="B2" s="464" t="s">
        <v>374</v>
      </c>
      <c r="C2" s="465" t="s">
        <v>1144</v>
      </c>
      <c r="D2" s="465" t="s">
        <v>864</v>
      </c>
      <c r="E2" s="465" t="s">
        <v>434</v>
      </c>
      <c r="F2" s="465" t="s">
        <v>154</v>
      </c>
      <c r="G2" s="465" t="s">
        <v>981</v>
      </c>
      <c r="H2" s="465" t="s">
        <v>433</v>
      </c>
      <c r="I2" s="465" t="s">
        <v>403</v>
      </c>
      <c r="J2" s="465" t="s">
        <v>432</v>
      </c>
      <c r="K2" s="465" t="s">
        <v>156</v>
      </c>
    </row>
    <row r="3" spans="1:12" ht="16.899999999999999"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170878537</v>
      </c>
      <c r="D5" s="1586">
        <v>35008672</v>
      </c>
      <c r="E5" s="1573">
        <v>32997333</v>
      </c>
      <c r="F5" s="1631">
        <v>14677912</v>
      </c>
      <c r="G5" s="1573"/>
      <c r="H5" s="1573"/>
      <c r="I5" s="1573"/>
      <c r="J5" s="1574">
        <v>5356607</v>
      </c>
      <c r="K5" s="1573">
        <v>4350371</v>
      </c>
    </row>
    <row r="6" spans="1:12" ht="15" x14ac:dyDescent="0.2">
      <c r="A6" s="427" t="s">
        <v>1642</v>
      </c>
      <c r="B6" s="429">
        <v>1130</v>
      </c>
      <c r="C6" s="1573"/>
      <c r="D6" s="1573"/>
      <c r="E6" s="1580"/>
      <c r="F6" s="1580"/>
      <c r="G6" s="1575"/>
      <c r="H6" s="1575"/>
      <c r="I6" s="1575"/>
      <c r="J6" s="1575"/>
      <c r="K6" s="1575"/>
    </row>
    <row r="7" spans="1:12" x14ac:dyDescent="0.2">
      <c r="A7" s="427" t="s">
        <v>110</v>
      </c>
      <c r="B7" s="471">
        <v>1140</v>
      </c>
      <c r="C7" s="1573">
        <v>34005944</v>
      </c>
      <c r="D7" s="1573"/>
      <c r="E7" s="1575"/>
      <c r="F7" s="1574"/>
      <c r="G7" s="1574"/>
      <c r="H7" s="1574"/>
      <c r="I7" s="1575"/>
      <c r="J7" s="1575"/>
      <c r="K7" s="1575"/>
    </row>
    <row r="8" spans="1:12" x14ac:dyDescent="0.2">
      <c r="A8" s="427" t="s">
        <v>409</v>
      </c>
      <c r="B8" s="429">
        <v>1150</v>
      </c>
      <c r="C8" s="1580"/>
      <c r="D8" s="1580"/>
      <c r="E8" s="1582"/>
      <c r="F8" s="1582"/>
      <c r="G8" s="1586">
        <v>13020880</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204884481</v>
      </c>
      <c r="D12" s="1633">
        <f t="shared" si="0"/>
        <v>35008672</v>
      </c>
      <c r="E12" s="1633">
        <f t="shared" si="0"/>
        <v>32997333</v>
      </c>
      <c r="F12" s="1633">
        <f t="shared" si="0"/>
        <v>14677912</v>
      </c>
      <c r="G12" s="1633">
        <f t="shared" si="0"/>
        <v>13020880</v>
      </c>
      <c r="H12" s="1633">
        <f t="shared" si="0"/>
        <v>0</v>
      </c>
      <c r="I12" s="1633">
        <f t="shared" si="0"/>
        <v>0</v>
      </c>
      <c r="J12" s="1633">
        <f t="shared" si="0"/>
        <v>5356607</v>
      </c>
      <c r="K12" s="1594">
        <f t="shared" si="0"/>
        <v>4350371</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v>18875</v>
      </c>
      <c r="D15" s="1573"/>
      <c r="E15" s="1573"/>
      <c r="F15" s="1573"/>
      <c r="G15" s="1573"/>
      <c r="H15" s="1573"/>
      <c r="I15" s="1573"/>
      <c r="J15" s="1574"/>
      <c r="K15" s="1573"/>
    </row>
    <row r="16" spans="1:12" ht="15" customHeight="1" x14ac:dyDescent="0.2">
      <c r="A16" s="427" t="s">
        <v>1643</v>
      </c>
      <c r="B16" s="471">
        <v>1230</v>
      </c>
      <c r="C16" s="1632"/>
      <c r="D16" s="1573"/>
      <c r="E16" s="1573"/>
      <c r="F16" s="1573"/>
      <c r="G16" s="1573">
        <v>4043592</v>
      </c>
      <c r="H16" s="1573"/>
      <c r="I16" s="1573"/>
      <c r="J16" s="1574"/>
      <c r="K16" s="1573"/>
    </row>
    <row r="17" spans="1:11" ht="12.75" customHeight="1" x14ac:dyDescent="0.2">
      <c r="A17" s="427" t="s">
        <v>801</v>
      </c>
      <c r="B17" s="429">
        <v>1290</v>
      </c>
      <c r="C17" s="1632">
        <v>172200</v>
      </c>
      <c r="D17" s="1573"/>
      <c r="E17" s="1573"/>
      <c r="F17" s="1573"/>
      <c r="G17" s="1573"/>
      <c r="H17" s="1573"/>
      <c r="I17" s="1573"/>
      <c r="J17" s="1574"/>
      <c r="K17" s="1573"/>
    </row>
    <row r="18" spans="1:11" ht="12.75" customHeight="1" thickBot="1" x14ac:dyDescent="0.25">
      <c r="A18" s="1406" t="s">
        <v>533</v>
      </c>
      <c r="B18" s="1407"/>
      <c r="C18" s="1635">
        <f>SUM(C14:C17)</f>
        <v>191075</v>
      </c>
      <c r="D18" s="1635">
        <f t="shared" ref="D18:K18" si="1">SUM(D14:D17)</f>
        <v>0</v>
      </c>
      <c r="E18" s="1635">
        <f t="shared" si="1"/>
        <v>0</v>
      </c>
      <c r="F18" s="1635">
        <f t="shared" si="1"/>
        <v>0</v>
      </c>
      <c r="G18" s="1635">
        <f t="shared" si="1"/>
        <v>4043592</v>
      </c>
      <c r="H18" s="1635">
        <f t="shared" si="1"/>
        <v>0</v>
      </c>
      <c r="I18" s="1635">
        <f t="shared" si="1"/>
        <v>0</v>
      </c>
      <c r="J18" s="1635">
        <f t="shared" si="1"/>
        <v>0</v>
      </c>
      <c r="K18" s="1636">
        <f t="shared" si="1"/>
        <v>0</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v>1920476</v>
      </c>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v>259108</v>
      </c>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v>25279</v>
      </c>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v>-325</v>
      </c>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2204538</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1166393</v>
      </c>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1166393</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46398</v>
      </c>
      <c r="D65" s="1573">
        <v>8061</v>
      </c>
      <c r="E65" s="1573">
        <v>7620</v>
      </c>
      <c r="F65" s="1574">
        <v>4040</v>
      </c>
      <c r="G65" s="1573">
        <v>3012</v>
      </c>
      <c r="H65" s="1573">
        <v>1</v>
      </c>
      <c r="I65" s="1573">
        <v>6325232</v>
      </c>
      <c r="J65" s="1574">
        <v>1178</v>
      </c>
      <c r="K65" s="1573">
        <v>941</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46398</v>
      </c>
      <c r="D67" s="1594">
        <f t="shared" ref="D67:K67" si="2">SUM(D65:D66)</f>
        <v>8061</v>
      </c>
      <c r="E67" s="1594">
        <f t="shared" si="2"/>
        <v>7620</v>
      </c>
      <c r="F67" s="1594">
        <f t="shared" si="2"/>
        <v>4040</v>
      </c>
      <c r="G67" s="1594">
        <f t="shared" si="2"/>
        <v>3012</v>
      </c>
      <c r="H67" s="1594">
        <f t="shared" si="2"/>
        <v>1</v>
      </c>
      <c r="I67" s="1594">
        <f t="shared" si="2"/>
        <v>6325232</v>
      </c>
      <c r="J67" s="1594">
        <f t="shared" si="2"/>
        <v>1178</v>
      </c>
      <c r="K67" s="1594">
        <f t="shared" si="2"/>
        <v>941</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2520934</v>
      </c>
      <c r="D69" s="1575"/>
      <c r="E69" s="1575"/>
      <c r="F69" s="1575"/>
      <c r="G69" s="1575"/>
      <c r="H69" s="1575"/>
      <c r="I69" s="1575"/>
      <c r="J69" s="1575"/>
      <c r="K69" s="1575"/>
    </row>
    <row r="70" spans="1:11" ht="12.75" customHeight="1" x14ac:dyDescent="0.2">
      <c r="A70" s="427" t="s">
        <v>989</v>
      </c>
      <c r="B70" s="429">
        <v>1612</v>
      </c>
      <c r="C70" s="1632"/>
      <c r="D70" s="1575"/>
      <c r="E70" s="1575"/>
      <c r="F70" s="1575"/>
      <c r="G70" s="1575"/>
      <c r="H70" s="1575"/>
      <c r="I70" s="1575"/>
      <c r="J70" s="1575"/>
      <c r="K70" s="1575"/>
    </row>
    <row r="71" spans="1:11" ht="12.75" customHeight="1" x14ac:dyDescent="0.2">
      <c r="A71" s="427" t="s">
        <v>270</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543</v>
      </c>
      <c r="B75" s="1407"/>
      <c r="C75" s="1594">
        <f>SUM(C69:C74)</f>
        <v>2520934</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116308</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v>111291</v>
      </c>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v>652735</v>
      </c>
      <c r="D81" s="1573"/>
      <c r="E81" s="1575"/>
      <c r="F81" s="1575"/>
      <c r="G81" s="1575"/>
      <c r="H81" s="1575"/>
      <c r="I81" s="1575"/>
      <c r="J81" s="1575"/>
      <c r="K81" s="1575"/>
    </row>
    <row r="82" spans="1:11" ht="12.75" customHeight="1" thickBot="1" x14ac:dyDescent="0.25">
      <c r="A82" s="1406" t="s">
        <v>239</v>
      </c>
      <c r="B82" s="1407"/>
      <c r="C82" s="1633">
        <f>SUM(C77:C81)</f>
        <v>880334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2533203</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v>1331</v>
      </c>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v>271</v>
      </c>
      <c r="D92" s="1575"/>
      <c r="E92" s="1575"/>
      <c r="F92" s="1575"/>
      <c r="G92" s="1575"/>
      <c r="H92" s="1575"/>
      <c r="I92" s="1575"/>
      <c r="J92" s="1575"/>
      <c r="K92" s="1575"/>
    </row>
    <row r="93" spans="1:11" ht="12.75" customHeight="1" thickBot="1" x14ac:dyDescent="0.25">
      <c r="A93" s="1406" t="s">
        <v>241</v>
      </c>
      <c r="B93" s="1407"/>
      <c r="C93" s="1594">
        <f>SUM(C84:C92)</f>
        <v>2534805</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v>1472</v>
      </c>
      <c r="D95" s="1632">
        <v>636172</v>
      </c>
      <c r="E95" s="1617"/>
      <c r="F95" s="1617"/>
      <c r="G95" s="1617"/>
      <c r="H95" s="1617"/>
      <c r="I95" s="1617"/>
      <c r="J95" s="1617"/>
      <c r="K95" s="1617"/>
    </row>
    <row r="96" spans="1:11" ht="12.75" customHeight="1" x14ac:dyDescent="0.2">
      <c r="A96" s="427" t="s">
        <v>387</v>
      </c>
      <c r="B96" s="429">
        <v>1920</v>
      </c>
      <c r="C96" s="1632">
        <v>39357</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v>1495917</v>
      </c>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v>74870</v>
      </c>
      <c r="D99" s="1573">
        <v>450</v>
      </c>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79960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c r="I103" s="1575"/>
      <c r="J103" s="1610"/>
      <c r="K103" s="1610"/>
    </row>
    <row r="104" spans="1:12" ht="12.75" customHeight="1" x14ac:dyDescent="0.2">
      <c r="A104" s="427" t="s">
        <v>824</v>
      </c>
      <c r="B104" s="429">
        <v>1991</v>
      </c>
      <c r="C104" s="1598">
        <v>0</v>
      </c>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v>363580</v>
      </c>
      <c r="D106" s="1598">
        <v>315</v>
      </c>
      <c r="E106" s="1574"/>
      <c r="F106" s="1574"/>
      <c r="G106" s="1574"/>
      <c r="H106" s="1574"/>
      <c r="I106" s="1617"/>
      <c r="J106" s="1574"/>
      <c r="K106" s="1574"/>
    </row>
    <row r="107" spans="1:12" ht="12.75" customHeight="1" x14ac:dyDescent="0.2">
      <c r="A107" s="427" t="s">
        <v>78</v>
      </c>
      <c r="B107" s="429">
        <v>1999</v>
      </c>
      <c r="C107" s="1632">
        <v>230616</v>
      </c>
      <c r="D107" s="1573">
        <v>1421870</v>
      </c>
      <c r="E107" s="1573"/>
      <c r="F107" s="1573">
        <v>1528</v>
      </c>
      <c r="G107" s="1573"/>
      <c r="H107" s="1573"/>
      <c r="I107" s="1573"/>
      <c r="J107" s="1574"/>
      <c r="K107" s="1573"/>
    </row>
    <row r="108" spans="1:12" ht="12.75" customHeight="1" thickBot="1" x14ac:dyDescent="0.25">
      <c r="A108" s="1406" t="s">
        <v>483</v>
      </c>
      <c r="B108" s="1408"/>
      <c r="C108" s="1633">
        <f>SUM(C95:C107)</f>
        <v>789855</v>
      </c>
      <c r="D108" s="1633">
        <f t="shared" ref="D108:K108" si="3">SUM(D95:D107)</f>
        <v>2058807</v>
      </c>
      <c r="E108" s="1633">
        <f t="shared" si="3"/>
        <v>0</v>
      </c>
      <c r="F108" s="1633">
        <f t="shared" si="3"/>
        <v>1528</v>
      </c>
      <c r="G108" s="1633">
        <f t="shared" si="3"/>
        <v>0</v>
      </c>
      <c r="H108" s="1633">
        <f t="shared" si="3"/>
        <v>1495917</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214052420</v>
      </c>
      <c r="D109" s="1641">
        <f t="shared" si="4"/>
        <v>37075540</v>
      </c>
      <c r="E109" s="1641">
        <f t="shared" si="4"/>
        <v>33004953</v>
      </c>
      <c r="F109" s="1641">
        <f t="shared" si="4"/>
        <v>15849873</v>
      </c>
      <c r="G109" s="1641">
        <f t="shared" si="4"/>
        <v>17067484</v>
      </c>
      <c r="H109" s="1641">
        <f t="shared" si="4"/>
        <v>1495918</v>
      </c>
      <c r="I109" s="1641">
        <f t="shared" si="4"/>
        <v>6325232</v>
      </c>
      <c r="J109" s="1641">
        <f t="shared" si="4"/>
        <v>5357785</v>
      </c>
      <c r="K109" s="1629">
        <f t="shared" si="4"/>
        <v>4351312</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899999999999999"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180382359</v>
      </c>
      <c r="D117" s="1586">
        <v>17516648</v>
      </c>
      <c r="E117" s="1573"/>
      <c r="F117" s="1586"/>
      <c r="G117" s="1586"/>
      <c r="H117" s="1573"/>
      <c r="I117" s="1575"/>
      <c r="J117" s="1574"/>
      <c r="K117" s="1573"/>
    </row>
    <row r="118" spans="1:11" ht="12.75" customHeight="1" x14ac:dyDescent="0.2">
      <c r="A118" s="427" t="s">
        <v>1772</v>
      </c>
      <c r="B118" s="478">
        <v>3002</v>
      </c>
      <c r="C118" s="1632"/>
      <c r="D118" s="1573"/>
      <c r="E118" s="1573"/>
      <c r="F118" s="1573"/>
      <c r="G118" s="1573"/>
      <c r="H118" s="1573"/>
      <c r="I118" s="1575"/>
      <c r="J118" s="1574"/>
      <c r="K118" s="1573"/>
    </row>
    <row r="119" spans="1:11" ht="12.75" customHeight="1" x14ac:dyDescent="0.2">
      <c r="A119" s="427" t="s">
        <v>1773</v>
      </c>
      <c r="B119" s="478">
        <v>3005</v>
      </c>
      <c r="C119" s="1632"/>
      <c r="D119" s="1573"/>
      <c r="E119" s="1573"/>
      <c r="F119" s="1573"/>
      <c r="G119" s="1573"/>
      <c r="H119" s="1573"/>
      <c r="I119" s="1575"/>
      <c r="J119" s="1574"/>
      <c r="K119" s="1573"/>
    </row>
    <row r="120" spans="1:11" ht="12.75" customHeight="1" x14ac:dyDescent="0.2">
      <c r="A120" s="1539" t="s">
        <v>1891</v>
      </c>
      <c r="B120" s="478">
        <v>3030</v>
      </c>
      <c r="C120" s="1632"/>
      <c r="D120" s="1573"/>
      <c r="E120" s="1573"/>
      <c r="F120" s="1573"/>
      <c r="G120" s="1573"/>
      <c r="H120" s="1573"/>
      <c r="I120" s="1575"/>
      <c r="J120" s="1574"/>
      <c r="K120" s="1573"/>
    </row>
    <row r="121" spans="1:11" x14ac:dyDescent="0.2">
      <c r="A121" s="1266" t="s">
        <v>1774</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180382359</v>
      </c>
      <c r="D122" s="1633">
        <f t="shared" si="5"/>
        <v>17516648</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3957583</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648311</v>
      </c>
      <c r="D128" s="1640"/>
      <c r="E128" s="1575"/>
      <c r="F128" s="1573"/>
      <c r="G128" s="1575"/>
      <c r="H128" s="1575"/>
      <c r="I128" s="1575"/>
      <c r="J128" s="1575"/>
      <c r="K128" s="1575"/>
    </row>
    <row r="129" spans="1:11" ht="12.75" customHeight="1" x14ac:dyDescent="0.2">
      <c r="A129" s="427" t="s">
        <v>1429</v>
      </c>
      <c r="B129" s="478">
        <v>3130</v>
      </c>
      <c r="C129" s="1573">
        <v>55473</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4661367</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v>288995</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288995</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166840</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173401</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7479945</v>
      </c>
      <c r="G152" s="1574"/>
      <c r="H152" s="1575"/>
      <c r="I152" s="1575"/>
      <c r="J152" s="1575"/>
      <c r="K152" s="1575"/>
    </row>
    <row r="153" spans="1:11" ht="12.75" customHeight="1" x14ac:dyDescent="0.2">
      <c r="A153" s="427" t="s">
        <v>1047</v>
      </c>
      <c r="B153" s="478">
        <v>3510</v>
      </c>
      <c r="C153" s="1632"/>
      <c r="D153" s="1573"/>
      <c r="E153" s="1640"/>
      <c r="F153" s="1573">
        <v>8449479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15929424</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v>7011784</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1911747</v>
      </c>
      <c r="D168" s="1655">
        <v>50000</v>
      </c>
      <c r="E168" s="1655"/>
      <c r="F168" s="1655"/>
      <c r="G168" s="1656"/>
      <c r="H168" s="1657"/>
      <c r="I168" s="1656"/>
      <c r="J168" s="1656"/>
      <c r="K168" s="1657"/>
    </row>
    <row r="169" spans="1:11" ht="12.75" customHeight="1" thickTop="1" thickBot="1" x14ac:dyDescent="0.25">
      <c r="A169" s="2363" t="s">
        <v>394</v>
      </c>
      <c r="B169" s="2364"/>
      <c r="C169" s="1658">
        <f t="shared" ref="C169:K169" si="6">SUM(C132,C141,C145,C146:C150,C155,C156:C167,C168)</f>
        <v>14214134</v>
      </c>
      <c r="D169" s="1658">
        <f t="shared" si="6"/>
        <v>50000</v>
      </c>
      <c r="E169" s="1658">
        <f t="shared" si="6"/>
        <v>0</v>
      </c>
      <c r="F169" s="1658">
        <f t="shared" si="6"/>
        <v>15929424</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194596493</v>
      </c>
      <c r="D170" s="1641">
        <f t="shared" si="7"/>
        <v>17566648</v>
      </c>
      <c r="E170" s="1641">
        <f t="shared" si="7"/>
        <v>0</v>
      </c>
      <c r="F170" s="1641">
        <f t="shared" si="7"/>
        <v>15929424</v>
      </c>
      <c r="G170" s="1641">
        <f t="shared" si="7"/>
        <v>0</v>
      </c>
      <c r="H170" s="1641">
        <f t="shared" si="7"/>
        <v>0</v>
      </c>
      <c r="I170" s="1641">
        <f t="shared" si="7"/>
        <v>0</v>
      </c>
      <c r="J170" s="1641">
        <f t="shared" si="7"/>
        <v>0</v>
      </c>
      <c r="K170" s="1629">
        <f t="shared" si="7"/>
        <v>0</v>
      </c>
    </row>
    <row r="171" spans="1:11" ht="16.899999999999999" customHeight="1" thickTop="1" x14ac:dyDescent="0.2">
      <c r="A171" s="1327" t="s">
        <v>798</v>
      </c>
      <c r="B171" s="1310"/>
      <c r="C171" s="1602"/>
      <c r="D171" s="1603"/>
      <c r="E171" s="1603"/>
      <c r="F171" s="1603"/>
      <c r="G171" s="1603"/>
      <c r="H171" s="1603"/>
      <c r="I171" s="1603"/>
      <c r="J171" s="1603"/>
      <c r="K171" s="1615"/>
    </row>
    <row r="172" spans="1:11" ht="15.75" customHeight="1" x14ac:dyDescent="0.2">
      <c r="A172" s="2365" t="s">
        <v>1474</v>
      </c>
      <c r="B172" s="2366"/>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369" t="s">
        <v>1645</v>
      </c>
      <c r="B175" s="237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73" t="s">
        <v>1644</v>
      </c>
      <c r="B176" s="2374"/>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371" t="s">
        <v>779</v>
      </c>
      <c r="B181" s="2372"/>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67" t="s">
        <v>1776</v>
      </c>
      <c r="B182" s="2368"/>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7896257</v>
      </c>
      <c r="D191" s="1575"/>
      <c r="E191" s="1640"/>
      <c r="F191" s="1575"/>
      <c r="G191" s="1664"/>
      <c r="H191" s="1575"/>
      <c r="I191" s="1575"/>
      <c r="J191" s="1575"/>
      <c r="K191" s="1575"/>
    </row>
    <row r="192" spans="1:11" ht="12.75" customHeight="1" x14ac:dyDescent="0.2">
      <c r="A192" s="427" t="s">
        <v>1037</v>
      </c>
      <c r="B192" s="429">
        <v>4215</v>
      </c>
      <c r="C192" s="1632">
        <v>2324</v>
      </c>
      <c r="D192" s="1575"/>
      <c r="E192" s="1640"/>
      <c r="F192" s="1575"/>
      <c r="G192" s="1664"/>
      <c r="H192" s="1575"/>
      <c r="I192" s="1575"/>
      <c r="J192" s="1575"/>
      <c r="K192" s="1575"/>
    </row>
    <row r="193" spans="1:11" ht="12.75" customHeight="1" x14ac:dyDescent="0.2">
      <c r="A193" s="427" t="s">
        <v>1049</v>
      </c>
      <c r="B193" s="429">
        <v>4220</v>
      </c>
      <c r="C193" s="1632">
        <v>2858286</v>
      </c>
      <c r="D193" s="1575"/>
      <c r="E193" s="1640"/>
      <c r="F193" s="1575"/>
      <c r="G193" s="1664"/>
      <c r="H193" s="1575"/>
      <c r="I193" s="1575"/>
      <c r="J193" s="1575"/>
      <c r="K193" s="1575"/>
    </row>
    <row r="194" spans="1:11" ht="12.75" customHeight="1" x14ac:dyDescent="0.2">
      <c r="A194" s="427" t="s">
        <v>1433</v>
      </c>
      <c r="B194" s="429">
        <v>4225</v>
      </c>
      <c r="C194" s="1632">
        <v>3266692</v>
      </c>
      <c r="D194" s="1575"/>
      <c r="E194" s="1640"/>
      <c r="F194" s="1575"/>
      <c r="G194" s="1664"/>
      <c r="H194" s="1575"/>
      <c r="I194" s="1575"/>
      <c r="J194" s="1575"/>
      <c r="K194" s="1575"/>
    </row>
    <row r="195" spans="1:11" ht="12.75" customHeight="1" x14ac:dyDescent="0.2">
      <c r="A195" s="427" t="s">
        <v>1434</v>
      </c>
      <c r="B195" s="429">
        <v>4226</v>
      </c>
      <c r="C195" s="1632">
        <v>2137285</v>
      </c>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c r="H197" s="1575"/>
      <c r="I197" s="1575"/>
      <c r="J197" s="1575"/>
      <c r="K197" s="1575"/>
    </row>
    <row r="198" spans="1:11" ht="12.75" customHeight="1" thickBot="1" x14ac:dyDescent="0.25">
      <c r="A198" s="1406" t="s">
        <v>543</v>
      </c>
      <c r="B198" s="1407"/>
      <c r="C198" s="1594">
        <f>SUM(C190:C197)</f>
        <v>16160844</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9932224</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v>351413</v>
      </c>
      <c r="D203" s="1573"/>
      <c r="E203" s="1575"/>
      <c r="F203" s="1573"/>
      <c r="G203" s="1573"/>
      <c r="H203" s="1575"/>
      <c r="I203" s="1575"/>
      <c r="J203" s="1575"/>
      <c r="K203" s="1575"/>
    </row>
    <row r="204" spans="1:11" ht="12.75" customHeight="1" thickBot="1" x14ac:dyDescent="0.25">
      <c r="A204" s="1406" t="s">
        <v>396</v>
      </c>
      <c r="B204" s="1407"/>
      <c r="C204" s="1633">
        <f>SUM(C200:C203)</f>
        <v>10283637</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c r="D206" s="1573"/>
      <c r="E206" s="1575"/>
      <c r="F206" s="1573"/>
      <c r="G206" s="1573"/>
      <c r="H206" s="1575"/>
      <c r="I206" s="1575"/>
      <c r="J206" s="1575"/>
      <c r="K206" s="1575"/>
    </row>
    <row r="207" spans="1:11" ht="12.75" customHeight="1" x14ac:dyDescent="0.2">
      <c r="A207" s="427" t="s">
        <v>1435</v>
      </c>
      <c r="B207" s="429">
        <v>4421</v>
      </c>
      <c r="C207" s="1632">
        <v>344382</v>
      </c>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344382</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v>163391</v>
      </c>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v>8004248</v>
      </c>
      <c r="D213" s="1573"/>
      <c r="E213" s="1575"/>
      <c r="F213" s="1573"/>
      <c r="G213" s="1573"/>
      <c r="H213" s="1575"/>
      <c r="I213" s="1575"/>
      <c r="J213" s="1575"/>
      <c r="K213" s="1575"/>
    </row>
    <row r="214" spans="1:11" ht="12.75" customHeight="1" x14ac:dyDescent="0.2">
      <c r="A214" s="427" t="s">
        <v>1044</v>
      </c>
      <c r="B214" s="429">
        <v>4625</v>
      </c>
      <c r="C214" s="1632">
        <v>402125</v>
      </c>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8569764</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v>474484</v>
      </c>
      <c r="D220" s="1573"/>
      <c r="E220" s="1575"/>
      <c r="F220" s="1575"/>
      <c r="G220" s="1573"/>
      <c r="H220" s="1575"/>
      <c r="I220" s="1575"/>
      <c r="J220" s="1575"/>
      <c r="K220" s="1575"/>
    </row>
    <row r="221" spans="1:11" ht="12.75" customHeight="1" thickBot="1" x14ac:dyDescent="0.25">
      <c r="A221" s="1415" t="s">
        <v>1075</v>
      </c>
      <c r="B221" s="1416"/>
      <c r="C221" s="1633">
        <f>SUM(C219:C220)</f>
        <v>474484</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v>127722</v>
      </c>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v>1196047</v>
      </c>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2207312</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1892</v>
      </c>
      <c r="B261" s="429">
        <v>4981</v>
      </c>
      <c r="C261" s="1650"/>
      <c r="D261" s="1651"/>
      <c r="E261" s="1575"/>
      <c r="F261" s="1651"/>
      <c r="G261" s="1651"/>
      <c r="H261" s="1575"/>
      <c r="I261" s="1575"/>
      <c r="J261" s="1575"/>
      <c r="K261" s="1575"/>
    </row>
    <row r="262" spans="1:11" ht="12.75" customHeight="1" thickTop="1" thickBot="1" x14ac:dyDescent="0.25">
      <c r="A262" s="1540" t="s">
        <v>1893</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1201571</v>
      </c>
      <c r="D263" s="1651"/>
      <c r="E263" s="1575"/>
      <c r="F263" s="1651"/>
      <c r="G263" s="1651"/>
      <c r="H263" s="1575"/>
      <c r="I263" s="1575"/>
      <c r="J263" s="1575"/>
      <c r="K263" s="1575"/>
    </row>
    <row r="264" spans="1:11" ht="12.75" customHeight="1" thickTop="1" thickBot="1" x14ac:dyDescent="0.25">
      <c r="A264" s="427" t="s">
        <v>373</v>
      </c>
      <c r="B264" s="429">
        <v>4992</v>
      </c>
      <c r="C264" s="1650">
        <v>804054</v>
      </c>
      <c r="D264" s="1651"/>
      <c r="E264" s="1575"/>
      <c r="F264" s="1651">
        <v>227442</v>
      </c>
      <c r="G264" s="1651"/>
      <c r="H264" s="1575"/>
      <c r="I264" s="1575"/>
      <c r="J264" s="1575"/>
      <c r="K264" s="1575"/>
    </row>
    <row r="265" spans="1:11" s="489" customFormat="1" ht="12.75" customHeight="1" thickTop="1" thickBot="1" x14ac:dyDescent="0.25">
      <c r="A265" s="479" t="s">
        <v>75</v>
      </c>
      <c r="B265" s="475">
        <v>4998</v>
      </c>
      <c r="C265" s="1650">
        <v>6624607</v>
      </c>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47994424</v>
      </c>
      <c r="D266" s="1641">
        <f t="shared" si="10"/>
        <v>0</v>
      </c>
      <c r="E266" s="1641">
        <f t="shared" si="10"/>
        <v>0</v>
      </c>
      <c r="F266" s="1641">
        <f t="shared" si="10"/>
        <v>227442</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47994424</v>
      </c>
      <c r="D267" s="1641">
        <f>SUM(D175,D181,D266)</f>
        <v>0</v>
      </c>
      <c r="E267" s="1641">
        <f>SUM(E175,E266)</f>
        <v>0</v>
      </c>
      <c r="F267" s="1641">
        <f t="shared" ref="F267:K267" si="11">SUM(F175,F181,F266)</f>
        <v>227442</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456643337</v>
      </c>
      <c r="D268" s="1641">
        <f t="shared" si="12"/>
        <v>54642188</v>
      </c>
      <c r="E268" s="1641">
        <f t="shared" si="12"/>
        <v>33004953</v>
      </c>
      <c r="F268" s="1641">
        <f t="shared" si="12"/>
        <v>32006739</v>
      </c>
      <c r="G268" s="1641">
        <f t="shared" si="12"/>
        <v>17067484</v>
      </c>
      <c r="H268" s="1641">
        <f t="shared" si="12"/>
        <v>1495918</v>
      </c>
      <c r="I268" s="1641">
        <f t="shared" si="12"/>
        <v>6325232</v>
      </c>
      <c r="J268" s="1641">
        <f t="shared" si="12"/>
        <v>5357785</v>
      </c>
      <c r="K268" s="1629">
        <f t="shared" si="12"/>
        <v>4351312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34998626667073579"/>
  </sheetPr>
  <dimension ref="A1:N368"/>
  <sheetViews>
    <sheetView showGridLines="0" defaultGridColor="0" colorId="8" zoomScale="98" zoomScaleNormal="130" workbookViewId="0">
      <pane ySplit="2" topLeftCell="A196" activePane="bottomLeft" state="frozen"/>
      <selection sqref="A1:C1"/>
      <selection pane="bottomLeft" activeCell="G202" sqref="G202"/>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343"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75"/>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899999999999999" customHeight="1" x14ac:dyDescent="0.2">
      <c r="A3" s="2381" t="s">
        <v>293</v>
      </c>
      <c r="B3" s="2382"/>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99385134</v>
      </c>
      <c r="D5" s="1573">
        <v>27406205</v>
      </c>
      <c r="E5" s="1573">
        <v>1514659</v>
      </c>
      <c r="F5" s="1573">
        <v>11302305</v>
      </c>
      <c r="G5" s="1573">
        <v>109802</v>
      </c>
      <c r="H5" s="1573">
        <v>409027</v>
      </c>
      <c r="I5" s="1574">
        <v>924576</v>
      </c>
      <c r="J5" s="1574"/>
      <c r="K5" s="1672">
        <f>SUM(C5:J5)</f>
        <v>141051708</v>
      </c>
      <c r="L5" s="1573">
        <v>153971256</v>
      </c>
    </row>
    <row r="6" spans="1:14" x14ac:dyDescent="0.2">
      <c r="A6" s="1274" t="s">
        <v>1415</v>
      </c>
      <c r="B6" s="503" t="s">
        <v>1413</v>
      </c>
      <c r="C6" s="1582"/>
      <c r="D6" s="1582"/>
      <c r="E6" s="1573"/>
      <c r="F6" s="1582"/>
      <c r="G6" s="1582"/>
      <c r="H6" s="1582"/>
      <c r="I6" s="1582"/>
      <c r="J6" s="1582"/>
      <c r="K6" s="1672">
        <f>SUM(C6,E6)</f>
        <v>0</v>
      </c>
      <c r="L6" s="1573"/>
    </row>
    <row r="7" spans="1:14" x14ac:dyDescent="0.2">
      <c r="A7" s="1274" t="s">
        <v>162</v>
      </c>
      <c r="B7" s="503" t="s">
        <v>960</v>
      </c>
      <c r="C7" s="1574">
        <v>4437756</v>
      </c>
      <c r="D7" s="1574">
        <v>1566335</v>
      </c>
      <c r="E7" s="1574">
        <v>8119</v>
      </c>
      <c r="F7" s="1574">
        <v>22603</v>
      </c>
      <c r="G7" s="1574">
        <v>321</v>
      </c>
      <c r="H7" s="1574"/>
      <c r="I7" s="1574"/>
      <c r="J7" s="1574"/>
      <c r="K7" s="1672">
        <f t="shared" ref="K7:K32" si="0">SUM(C7:J7)</f>
        <v>6035134</v>
      </c>
      <c r="L7" s="1573">
        <v>6001797</v>
      </c>
    </row>
    <row r="8" spans="1:14" x14ac:dyDescent="0.2">
      <c r="A8" s="1274" t="s">
        <v>163</v>
      </c>
      <c r="B8" s="503">
        <v>1200</v>
      </c>
      <c r="C8" s="1573">
        <f>36803383+62501+72505</f>
        <v>36938389</v>
      </c>
      <c r="D8" s="1573">
        <f>11393185+41564+13286</f>
        <v>11448035</v>
      </c>
      <c r="E8" s="1573">
        <v>339207</v>
      </c>
      <c r="F8" s="1573">
        <v>208730</v>
      </c>
      <c r="G8" s="1573"/>
      <c r="H8" s="1573">
        <v>50</v>
      </c>
      <c r="I8" s="1574">
        <v>184250</v>
      </c>
      <c r="J8" s="1574"/>
      <c r="K8" s="1672">
        <f t="shared" si="0"/>
        <v>49118661</v>
      </c>
      <c r="L8" s="1573">
        <v>44754160</v>
      </c>
    </row>
    <row r="9" spans="1:14" x14ac:dyDescent="0.2">
      <c r="A9" s="1274" t="s">
        <v>715</v>
      </c>
      <c r="B9" s="503" t="s">
        <v>961</v>
      </c>
      <c r="C9" s="1574">
        <v>2184194</v>
      </c>
      <c r="D9" s="1574">
        <v>835484</v>
      </c>
      <c r="E9" s="1574">
        <v>32</v>
      </c>
      <c r="F9" s="1574">
        <f>5545+2355</f>
        <v>7900</v>
      </c>
      <c r="G9" s="1574"/>
      <c r="H9" s="1574"/>
      <c r="I9" s="1574">
        <v>0</v>
      </c>
      <c r="J9" s="1574"/>
      <c r="K9" s="1672">
        <f t="shared" si="0"/>
        <v>3027610</v>
      </c>
      <c r="L9" s="1573">
        <v>2732963</v>
      </c>
    </row>
    <row r="10" spans="1:14" x14ac:dyDescent="0.2">
      <c r="A10" s="1274" t="s">
        <v>716</v>
      </c>
      <c r="B10" s="503">
        <v>1250</v>
      </c>
      <c r="C10" s="1573">
        <v>3504377</v>
      </c>
      <c r="D10" s="1573">
        <v>847117</v>
      </c>
      <c r="E10" s="1573">
        <v>452490</v>
      </c>
      <c r="F10" s="1573">
        <v>267479</v>
      </c>
      <c r="G10" s="1573"/>
      <c r="H10" s="1573">
        <v>0</v>
      </c>
      <c r="I10" s="1574">
        <v>276670</v>
      </c>
      <c r="J10" s="1574"/>
      <c r="K10" s="1672">
        <f t="shared" si="0"/>
        <v>5348133</v>
      </c>
      <c r="L10" s="1573">
        <v>5331527</v>
      </c>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v>4325136</v>
      </c>
      <c r="D13" s="1573">
        <v>1230821</v>
      </c>
      <c r="E13" s="1573">
        <v>263724</v>
      </c>
      <c r="F13" s="1573">
        <v>215657</v>
      </c>
      <c r="G13" s="1573">
        <v>184735</v>
      </c>
      <c r="H13" s="1573"/>
      <c r="I13" s="1574">
        <v>311906</v>
      </c>
      <c r="J13" s="1574"/>
      <c r="K13" s="1672">
        <f t="shared" si="0"/>
        <v>6531979</v>
      </c>
      <c r="L13" s="1573">
        <v>7153332</v>
      </c>
    </row>
    <row r="14" spans="1:14" x14ac:dyDescent="0.2">
      <c r="A14" s="1274" t="s">
        <v>956</v>
      </c>
      <c r="B14" s="503">
        <v>1500</v>
      </c>
      <c r="C14" s="1573">
        <v>2824973</v>
      </c>
      <c r="D14" s="1573">
        <v>400837</v>
      </c>
      <c r="E14" s="1573">
        <v>457268</v>
      </c>
      <c r="F14" s="1573">
        <v>339236</v>
      </c>
      <c r="G14" s="1573">
        <v>9660</v>
      </c>
      <c r="H14" s="1573"/>
      <c r="I14" s="1574"/>
      <c r="J14" s="1574"/>
      <c r="K14" s="1672">
        <f t="shared" si="0"/>
        <v>4031974</v>
      </c>
      <c r="L14" s="1573">
        <v>4895769</v>
      </c>
    </row>
    <row r="15" spans="1:14" x14ac:dyDescent="0.2">
      <c r="A15" s="1274" t="s">
        <v>957</v>
      </c>
      <c r="B15" s="503">
        <v>1600</v>
      </c>
      <c r="C15" s="1573">
        <v>385977</v>
      </c>
      <c r="D15" s="1573">
        <v>50760</v>
      </c>
      <c r="E15" s="1573">
        <v>17768</v>
      </c>
      <c r="F15" s="1573">
        <v>5151</v>
      </c>
      <c r="G15" s="1573"/>
      <c r="H15" s="1573"/>
      <c r="I15" s="1574"/>
      <c r="J15" s="1574"/>
      <c r="K15" s="1672">
        <f t="shared" si="0"/>
        <v>459656</v>
      </c>
      <c r="L15" s="1573">
        <v>462074</v>
      </c>
    </row>
    <row r="16" spans="1:14" x14ac:dyDescent="0.2">
      <c r="A16" s="1274" t="s">
        <v>979</v>
      </c>
      <c r="B16" s="503" t="s">
        <v>420</v>
      </c>
      <c r="C16" s="1573">
        <v>4428849</v>
      </c>
      <c r="D16" s="1573">
        <v>1283585</v>
      </c>
      <c r="E16" s="1573">
        <v>100702</v>
      </c>
      <c r="F16" s="1573">
        <v>10775</v>
      </c>
      <c r="G16" s="1573"/>
      <c r="H16" s="1573">
        <v>219</v>
      </c>
      <c r="I16" s="1574">
        <v>1821</v>
      </c>
      <c r="J16" s="1574"/>
      <c r="K16" s="1672">
        <f t="shared" si="0"/>
        <v>5825951</v>
      </c>
      <c r="L16" s="1573">
        <v>6015387</v>
      </c>
    </row>
    <row r="17" spans="1:12" x14ac:dyDescent="0.2">
      <c r="A17" s="1274" t="s">
        <v>718</v>
      </c>
      <c r="B17" s="503" t="s">
        <v>161</v>
      </c>
      <c r="C17" s="1574">
        <v>461232</v>
      </c>
      <c r="D17" s="1574">
        <v>142442</v>
      </c>
      <c r="E17" s="1574"/>
      <c r="F17" s="1574">
        <v>0</v>
      </c>
      <c r="G17" s="1574"/>
      <c r="H17" s="1574"/>
      <c r="I17" s="1574"/>
      <c r="J17" s="1574"/>
      <c r="K17" s="1672">
        <f t="shared" si="0"/>
        <v>603674</v>
      </c>
      <c r="L17" s="1573">
        <v>859049</v>
      </c>
    </row>
    <row r="18" spans="1:12" x14ac:dyDescent="0.2">
      <c r="A18" s="1274" t="s">
        <v>1077</v>
      </c>
      <c r="B18" s="503">
        <v>1800</v>
      </c>
      <c r="C18" s="1573">
        <v>34138385</v>
      </c>
      <c r="D18" s="1573">
        <v>9938532</v>
      </c>
      <c r="E18" s="1573">
        <v>54521</v>
      </c>
      <c r="F18" s="1573">
        <v>288491</v>
      </c>
      <c r="G18" s="1573"/>
      <c r="H18" s="1573"/>
      <c r="I18" s="1574">
        <v>0</v>
      </c>
      <c r="J18" s="1574"/>
      <c r="K18" s="1672">
        <f t="shared" si="0"/>
        <v>44419929</v>
      </c>
      <c r="L18" s="1573">
        <v>41811626</v>
      </c>
    </row>
    <row r="19" spans="1:12" x14ac:dyDescent="0.2">
      <c r="A19" s="1274" t="s">
        <v>133</v>
      </c>
      <c r="B19" s="503">
        <v>1900</v>
      </c>
      <c r="C19" s="1573">
        <v>1861999</v>
      </c>
      <c r="D19" s="1573">
        <v>532595</v>
      </c>
      <c r="E19" s="1573">
        <v>5642</v>
      </c>
      <c r="F19" s="1573">
        <v>39755</v>
      </c>
      <c r="G19" s="1573"/>
      <c r="H19" s="1573"/>
      <c r="I19" s="1574">
        <v>0</v>
      </c>
      <c r="J19" s="1574"/>
      <c r="K19" s="1672">
        <f t="shared" si="0"/>
        <v>2439991</v>
      </c>
      <c r="L19" s="1573">
        <v>1967238</v>
      </c>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c r="I22" s="1673"/>
      <c r="J22" s="1582"/>
      <c r="K22" s="1672">
        <f t="shared" si="0"/>
        <v>0</v>
      </c>
      <c r="L22" s="1577"/>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row>
    <row r="33" spans="1:14" ht="12.75" customHeight="1" thickBot="1" x14ac:dyDescent="0.25">
      <c r="A33" s="1380" t="s">
        <v>1648</v>
      </c>
      <c r="B33" s="1381" t="s">
        <v>565</v>
      </c>
      <c r="C33" s="1674">
        <f>SUM(C5:C32)</f>
        <v>194876401</v>
      </c>
      <c r="D33" s="1674">
        <f t="shared" ref="D33:L33" si="1">SUM(D5:D32)</f>
        <v>55682748</v>
      </c>
      <c r="E33" s="1674">
        <f t="shared" si="1"/>
        <v>3214132</v>
      </c>
      <c r="F33" s="1674">
        <f t="shared" si="1"/>
        <v>12708082</v>
      </c>
      <c r="G33" s="1674">
        <f t="shared" si="1"/>
        <v>304518</v>
      </c>
      <c r="H33" s="1674">
        <f t="shared" si="1"/>
        <v>409296</v>
      </c>
      <c r="I33" s="1674">
        <f t="shared" si="1"/>
        <v>1699223</v>
      </c>
      <c r="J33" s="1674">
        <f t="shared" si="1"/>
        <v>0</v>
      </c>
      <c r="K33" s="1674">
        <f t="shared" si="1"/>
        <v>268894400</v>
      </c>
      <c r="L33" s="1674">
        <f t="shared" si="1"/>
        <v>275956178</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8544165</v>
      </c>
      <c r="D36" s="1586">
        <v>2632715</v>
      </c>
      <c r="E36" s="1586">
        <v>107214</v>
      </c>
      <c r="F36" s="1586">
        <f>30201+142</f>
        <v>30343</v>
      </c>
      <c r="G36" s="1586"/>
      <c r="H36" s="1586">
        <v>0</v>
      </c>
      <c r="I36" s="1574"/>
      <c r="J36" s="1574"/>
      <c r="K36" s="1672">
        <f t="shared" ref="K36:K41" si="2">SUM(C36:J36)</f>
        <v>11314437</v>
      </c>
      <c r="L36" s="1573">
        <v>10672599</v>
      </c>
    </row>
    <row r="37" spans="1:14" x14ac:dyDescent="0.2">
      <c r="A37" s="1274" t="s">
        <v>1080</v>
      </c>
      <c r="B37" s="503">
        <v>2120</v>
      </c>
      <c r="C37" s="1573">
        <v>4289444</v>
      </c>
      <c r="D37" s="1573">
        <v>1257260</v>
      </c>
      <c r="E37" s="1573">
        <v>160487</v>
      </c>
      <c r="F37" s="1573">
        <v>14662</v>
      </c>
      <c r="G37" s="1573"/>
      <c r="H37" s="1573"/>
      <c r="I37" s="1574"/>
      <c r="J37" s="1574"/>
      <c r="K37" s="1672">
        <f t="shared" si="2"/>
        <v>5721853</v>
      </c>
      <c r="L37" s="1573">
        <v>5607973</v>
      </c>
    </row>
    <row r="38" spans="1:14" x14ac:dyDescent="0.2">
      <c r="A38" s="1274" t="s">
        <v>196</v>
      </c>
      <c r="B38" s="503">
        <v>2130</v>
      </c>
      <c r="C38" s="1573">
        <v>4623209</v>
      </c>
      <c r="D38" s="1573">
        <v>1198984</v>
      </c>
      <c r="E38" s="1573">
        <v>848711</v>
      </c>
      <c r="F38" s="1573">
        <v>84603</v>
      </c>
      <c r="G38" s="1573"/>
      <c r="H38" s="1573"/>
      <c r="I38" s="1574">
        <v>55697</v>
      </c>
      <c r="J38" s="1574"/>
      <c r="K38" s="1672">
        <f t="shared" si="2"/>
        <v>6811204</v>
      </c>
      <c r="L38" s="1573">
        <v>9949593</v>
      </c>
    </row>
    <row r="39" spans="1:14" x14ac:dyDescent="0.2">
      <c r="A39" s="1274" t="s">
        <v>197</v>
      </c>
      <c r="B39" s="503">
        <v>2140</v>
      </c>
      <c r="C39" s="1573">
        <v>1612599</v>
      </c>
      <c r="D39" s="1573">
        <v>398801</v>
      </c>
      <c r="E39" s="1573">
        <v>81763</v>
      </c>
      <c r="F39" s="1573">
        <v>31470</v>
      </c>
      <c r="G39" s="1573"/>
      <c r="H39" s="1573"/>
      <c r="I39" s="1574"/>
      <c r="J39" s="1574"/>
      <c r="K39" s="1672">
        <f t="shared" si="2"/>
        <v>2124633</v>
      </c>
      <c r="L39" s="1573"/>
    </row>
    <row r="40" spans="1:14" x14ac:dyDescent="0.2">
      <c r="A40" s="1274" t="s">
        <v>198</v>
      </c>
      <c r="B40" s="503">
        <v>2150</v>
      </c>
      <c r="C40" s="1573">
        <v>4846376</v>
      </c>
      <c r="D40" s="1573">
        <v>1335868</v>
      </c>
      <c r="E40" s="1573">
        <v>2509466</v>
      </c>
      <c r="F40" s="1573">
        <v>44200</v>
      </c>
      <c r="G40" s="1573"/>
      <c r="H40" s="1573"/>
      <c r="I40" s="1574"/>
      <c r="J40" s="1574"/>
      <c r="K40" s="1672">
        <f t="shared" si="2"/>
        <v>8735910</v>
      </c>
      <c r="L40" s="1573">
        <v>7628181</v>
      </c>
    </row>
    <row r="41" spans="1:14" x14ac:dyDescent="0.2">
      <c r="A41" s="1274" t="s">
        <v>1649</v>
      </c>
      <c r="B41" s="503">
        <v>2190</v>
      </c>
      <c r="C41" s="1573">
        <v>2412140</v>
      </c>
      <c r="D41" s="1573">
        <v>34300</v>
      </c>
      <c r="E41" s="1573">
        <v>31641</v>
      </c>
      <c r="F41" s="1573">
        <v>40857</v>
      </c>
      <c r="G41" s="1573"/>
      <c r="H41" s="1573"/>
      <c r="I41" s="1574"/>
      <c r="J41" s="1574"/>
      <c r="K41" s="1672">
        <f t="shared" si="2"/>
        <v>2518938</v>
      </c>
      <c r="L41" s="1573">
        <v>2482268</v>
      </c>
    </row>
    <row r="42" spans="1:14" ht="12.75" customHeight="1" thickBot="1" x14ac:dyDescent="0.25">
      <c r="A42" s="1380" t="s">
        <v>555</v>
      </c>
      <c r="B42" s="1381" t="s">
        <v>710</v>
      </c>
      <c r="C42" s="1674">
        <f>SUM(C36:C41)</f>
        <v>26327933</v>
      </c>
      <c r="D42" s="1674">
        <f t="shared" ref="D42:L42" si="3">SUM(D36:D41)</f>
        <v>6857928</v>
      </c>
      <c r="E42" s="1674">
        <f t="shared" si="3"/>
        <v>3739282</v>
      </c>
      <c r="F42" s="1674">
        <f t="shared" si="3"/>
        <v>246135</v>
      </c>
      <c r="G42" s="1674">
        <f t="shared" si="3"/>
        <v>0</v>
      </c>
      <c r="H42" s="1674">
        <f t="shared" si="3"/>
        <v>0</v>
      </c>
      <c r="I42" s="1674">
        <f t="shared" si="3"/>
        <v>55697</v>
      </c>
      <c r="J42" s="1674">
        <f t="shared" si="3"/>
        <v>0</v>
      </c>
      <c r="K42" s="1674">
        <f t="shared" si="3"/>
        <v>37226975</v>
      </c>
      <c r="L42" s="1674">
        <f t="shared" si="3"/>
        <v>36340614</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7188982</v>
      </c>
      <c r="D44" s="1586">
        <v>2134263</v>
      </c>
      <c r="E44" s="1586">
        <v>2095879</v>
      </c>
      <c r="F44" s="1586">
        <v>302299</v>
      </c>
      <c r="G44" s="1586"/>
      <c r="H44" s="1586">
        <v>53365</v>
      </c>
      <c r="I44" s="1574">
        <v>9543</v>
      </c>
      <c r="J44" s="1574"/>
      <c r="K44" s="1678">
        <f>SUM(C44:J44)</f>
        <v>11784331</v>
      </c>
      <c r="L44" s="1586">
        <v>10097982</v>
      </c>
    </row>
    <row r="45" spans="1:14" x14ac:dyDescent="0.2">
      <c r="A45" s="1274" t="s">
        <v>809</v>
      </c>
      <c r="B45" s="503">
        <v>2220</v>
      </c>
      <c r="C45" s="1573">
        <v>2099813</v>
      </c>
      <c r="D45" s="1573">
        <v>714480</v>
      </c>
      <c r="E45" s="1573">
        <v>911</v>
      </c>
      <c r="F45" s="1573">
        <v>290342</v>
      </c>
      <c r="G45" s="1573"/>
      <c r="H45" s="1573">
        <v>0</v>
      </c>
      <c r="I45" s="1574"/>
      <c r="J45" s="1574"/>
      <c r="K45" s="1678">
        <f>SUM(C45:J45)</f>
        <v>3105546</v>
      </c>
      <c r="L45" s="1573">
        <v>2999994</v>
      </c>
    </row>
    <row r="46" spans="1:14" x14ac:dyDescent="0.2">
      <c r="A46" s="1274" t="s">
        <v>810</v>
      </c>
      <c r="B46" s="503">
        <v>2230</v>
      </c>
      <c r="C46" s="1573">
        <v>1236910</v>
      </c>
      <c r="D46" s="1573">
        <v>215611</v>
      </c>
      <c r="E46" s="1573">
        <v>809688</v>
      </c>
      <c r="F46" s="1573">
        <f>64037</f>
        <v>64037</v>
      </c>
      <c r="G46" s="1573"/>
      <c r="H46" s="1573"/>
      <c r="I46" s="1574"/>
      <c r="J46" s="1574"/>
      <c r="K46" s="1678">
        <f>SUM(C46:J46)</f>
        <v>2326246</v>
      </c>
      <c r="L46" s="1573">
        <v>2533454</v>
      </c>
    </row>
    <row r="47" spans="1:14" ht="12.75" customHeight="1" thickBot="1" x14ac:dyDescent="0.25">
      <c r="A47" s="1380" t="s">
        <v>556</v>
      </c>
      <c r="B47" s="1381" t="s">
        <v>32</v>
      </c>
      <c r="C47" s="1674">
        <f>SUM(C44:C46)</f>
        <v>10525705</v>
      </c>
      <c r="D47" s="1674">
        <f t="shared" ref="D47:K47" si="4">SUM(D44:D46)</f>
        <v>3064354</v>
      </c>
      <c r="E47" s="1674">
        <f t="shared" si="4"/>
        <v>2906478</v>
      </c>
      <c r="F47" s="1674">
        <f t="shared" si="4"/>
        <v>656678</v>
      </c>
      <c r="G47" s="1674">
        <f t="shared" si="4"/>
        <v>0</v>
      </c>
      <c r="H47" s="1674">
        <f t="shared" si="4"/>
        <v>53365</v>
      </c>
      <c r="I47" s="1674">
        <f t="shared" si="4"/>
        <v>9543</v>
      </c>
      <c r="J47" s="1674">
        <f t="shared" si="4"/>
        <v>0</v>
      </c>
      <c r="K47" s="1674">
        <f t="shared" si="4"/>
        <v>17216123</v>
      </c>
      <c r="L47" s="1674">
        <f>SUM(L44:L46)</f>
        <v>15631430</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833</v>
      </c>
      <c r="D49" s="1586">
        <v>4875</v>
      </c>
      <c r="E49" s="1586">
        <v>14187</v>
      </c>
      <c r="F49" s="1586">
        <f>10837+265</f>
        <v>11102</v>
      </c>
      <c r="G49" s="1586"/>
      <c r="H49" s="1586">
        <v>4163</v>
      </c>
      <c r="I49" s="1574">
        <v>525</v>
      </c>
      <c r="J49" s="1574"/>
      <c r="K49" s="1678">
        <f>SUM(C49:J49)</f>
        <v>35685</v>
      </c>
      <c r="L49" s="1586">
        <v>104862</v>
      </c>
    </row>
    <row r="50" spans="1:14" x14ac:dyDescent="0.2">
      <c r="A50" s="1274" t="s">
        <v>812</v>
      </c>
      <c r="B50" s="503">
        <v>2320</v>
      </c>
      <c r="C50" s="1573">
        <v>2668811</v>
      </c>
      <c r="D50" s="1573">
        <v>366546</v>
      </c>
      <c r="E50" s="1573">
        <v>585956</v>
      </c>
      <c r="F50" s="1573">
        <v>55456</v>
      </c>
      <c r="G50" s="1573"/>
      <c r="H50" s="1573">
        <v>72341</v>
      </c>
      <c r="I50" s="1574">
        <v>540</v>
      </c>
      <c r="J50" s="1574"/>
      <c r="K50" s="1678">
        <f>SUM(C50:J50)</f>
        <v>3749650</v>
      </c>
      <c r="L50" s="1573">
        <v>3336056</v>
      </c>
    </row>
    <row r="51" spans="1:14" x14ac:dyDescent="0.2">
      <c r="A51" s="1274" t="s">
        <v>42</v>
      </c>
      <c r="B51" s="503">
        <v>2330</v>
      </c>
      <c r="C51" s="1573">
        <v>3919777</v>
      </c>
      <c r="D51" s="1573">
        <v>851355</v>
      </c>
      <c r="E51" s="1573">
        <v>272769</v>
      </c>
      <c r="F51" s="1573">
        <v>32263</v>
      </c>
      <c r="G51" s="1573"/>
      <c r="H51" s="1573">
        <v>80822</v>
      </c>
      <c r="I51" s="1574">
        <v>5248</v>
      </c>
      <c r="J51" s="1574"/>
      <c r="K51" s="1678">
        <f>SUM(C51:J51)</f>
        <v>5162234</v>
      </c>
      <c r="L51" s="1573">
        <v>5427181</v>
      </c>
    </row>
    <row r="52" spans="1:14" ht="22.5" x14ac:dyDescent="0.2">
      <c r="A52" s="1275" t="s">
        <v>294</v>
      </c>
      <c r="B52" s="511" t="s">
        <v>362</v>
      </c>
      <c r="C52" s="1579"/>
      <c r="D52" s="1579"/>
      <c r="E52" s="1579">
        <v>903386</v>
      </c>
      <c r="F52" s="1579"/>
      <c r="G52" s="1579"/>
      <c r="H52" s="1579"/>
      <c r="I52" s="1579"/>
      <c r="J52" s="1579"/>
      <c r="K52" s="1678">
        <f>SUM(C52:J52)</f>
        <v>903386</v>
      </c>
      <c r="L52" s="1579">
        <v>489000</v>
      </c>
    </row>
    <row r="53" spans="1:14" ht="12.75" customHeight="1" thickBot="1" x14ac:dyDescent="0.25">
      <c r="A53" s="1380" t="s">
        <v>711</v>
      </c>
      <c r="B53" s="1381" t="s">
        <v>33</v>
      </c>
      <c r="C53" s="1674">
        <f>SUM(C49:C52)</f>
        <v>6589421</v>
      </c>
      <c r="D53" s="1674">
        <f t="shared" ref="D53:L53" si="5">SUM(D49:D52)</f>
        <v>1222776</v>
      </c>
      <c r="E53" s="1674">
        <f t="shared" si="5"/>
        <v>1776298</v>
      </c>
      <c r="F53" s="1674">
        <f t="shared" si="5"/>
        <v>98821</v>
      </c>
      <c r="G53" s="1674">
        <f t="shared" si="5"/>
        <v>0</v>
      </c>
      <c r="H53" s="1674">
        <f t="shared" si="5"/>
        <v>157326</v>
      </c>
      <c r="I53" s="1674">
        <f t="shared" si="5"/>
        <v>6313</v>
      </c>
      <c r="J53" s="1674">
        <f t="shared" si="5"/>
        <v>0</v>
      </c>
      <c r="K53" s="1674">
        <f t="shared" si="5"/>
        <v>9850955</v>
      </c>
      <c r="L53" s="1674">
        <f t="shared" si="5"/>
        <v>9357099</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17137352</v>
      </c>
      <c r="D55" s="1586">
        <v>4572323</v>
      </c>
      <c r="E55" s="1586">
        <v>35397</v>
      </c>
      <c r="F55" s="1586">
        <v>31495</v>
      </c>
      <c r="G55" s="1586"/>
      <c r="H55" s="1586">
        <v>4900</v>
      </c>
      <c r="I55" s="1574"/>
      <c r="J55" s="1574">
        <v>385550</v>
      </c>
      <c r="K55" s="1678">
        <f>SUM(C55:J55)</f>
        <v>22167017</v>
      </c>
      <c r="L55" s="1586">
        <v>21109516</v>
      </c>
    </row>
    <row r="56" spans="1:14" ht="12.75" customHeight="1" x14ac:dyDescent="0.2">
      <c r="A56" s="1278" t="s">
        <v>372</v>
      </c>
      <c r="B56" s="512">
        <v>2490</v>
      </c>
      <c r="C56" s="1573">
        <v>4744516</v>
      </c>
      <c r="D56" s="1573">
        <v>1285236</v>
      </c>
      <c r="E56" s="1573">
        <v>5780</v>
      </c>
      <c r="F56" s="1573">
        <v>744</v>
      </c>
      <c r="G56" s="1573"/>
      <c r="H56" s="1573">
        <v>0</v>
      </c>
      <c r="I56" s="1574"/>
      <c r="J56" s="1574"/>
      <c r="K56" s="1678">
        <f>SUM(C56:J56)</f>
        <v>6036276</v>
      </c>
      <c r="L56" s="1573">
        <v>7138453</v>
      </c>
    </row>
    <row r="57" spans="1:14" s="321" customFormat="1" ht="12.75" customHeight="1" thickBot="1" x14ac:dyDescent="0.25">
      <c r="A57" s="1380" t="s">
        <v>261</v>
      </c>
      <c r="B57" s="1382" t="s">
        <v>34</v>
      </c>
      <c r="C57" s="1679">
        <f>SUM(C55:C56)</f>
        <v>21881868</v>
      </c>
      <c r="D57" s="1679">
        <f t="shared" ref="D57:K57" si="6">SUM(D55:D56)</f>
        <v>5857559</v>
      </c>
      <c r="E57" s="1679">
        <f t="shared" si="6"/>
        <v>41177</v>
      </c>
      <c r="F57" s="1679">
        <f t="shared" si="6"/>
        <v>32239</v>
      </c>
      <c r="G57" s="1679">
        <f t="shared" si="6"/>
        <v>0</v>
      </c>
      <c r="H57" s="1679">
        <f t="shared" si="6"/>
        <v>4900</v>
      </c>
      <c r="I57" s="1679">
        <f t="shared" si="6"/>
        <v>0</v>
      </c>
      <c r="J57" s="1679">
        <f t="shared" si="6"/>
        <v>385550</v>
      </c>
      <c r="K57" s="1679">
        <f t="shared" si="6"/>
        <v>28203293</v>
      </c>
      <c r="L57" s="1674">
        <f>SUM(L55:L56)</f>
        <v>28247969</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v>214443</v>
      </c>
      <c r="D59" s="1586">
        <v>40272</v>
      </c>
      <c r="E59" s="1586">
        <v>162389</v>
      </c>
      <c r="F59" s="1586">
        <v>670</v>
      </c>
      <c r="G59" s="1586"/>
      <c r="H59" s="1586">
        <v>829</v>
      </c>
      <c r="I59" s="1574"/>
      <c r="J59" s="1574"/>
      <c r="K59" s="1678">
        <f t="shared" ref="K59:K64" si="7">SUM(C59:J59)</f>
        <v>418603</v>
      </c>
      <c r="L59" s="1586">
        <v>540908</v>
      </c>
      <c r="M59" s="501"/>
      <c r="N59" s="501"/>
    </row>
    <row r="60" spans="1:14" s="321" customFormat="1" x14ac:dyDescent="0.2">
      <c r="A60" s="1274" t="s">
        <v>459</v>
      </c>
      <c r="B60" s="503">
        <v>2520</v>
      </c>
      <c r="C60" s="1573">
        <v>1565517</v>
      </c>
      <c r="D60" s="1573">
        <v>240962</v>
      </c>
      <c r="E60" s="1573">
        <v>258872</v>
      </c>
      <c r="F60" s="1573">
        <v>16272</v>
      </c>
      <c r="G60" s="1573">
        <v>1488294</v>
      </c>
      <c r="H60" s="1573">
        <v>105925</v>
      </c>
      <c r="I60" s="1574">
        <v>2346</v>
      </c>
      <c r="J60" s="1574"/>
      <c r="K60" s="1678">
        <f t="shared" si="7"/>
        <v>3678188</v>
      </c>
      <c r="L60" s="1573">
        <v>2071074</v>
      </c>
      <c r="M60" s="501"/>
      <c r="N60" s="501"/>
    </row>
    <row r="61" spans="1:14" s="321" customFormat="1" x14ac:dyDescent="0.2">
      <c r="A61" s="1274" t="s">
        <v>195</v>
      </c>
      <c r="B61" s="503">
        <v>2540</v>
      </c>
      <c r="C61" s="1573">
        <v>714922</v>
      </c>
      <c r="D61" s="1573">
        <v>56689</v>
      </c>
      <c r="E61" s="1573">
        <v>340585</v>
      </c>
      <c r="F61" s="1573">
        <v>506520</v>
      </c>
      <c r="G61" s="1573">
        <v>1120926</v>
      </c>
      <c r="H61" s="1573"/>
      <c r="I61" s="1574">
        <v>237411</v>
      </c>
      <c r="J61" s="1574"/>
      <c r="K61" s="1678">
        <f t="shared" si="7"/>
        <v>2977053</v>
      </c>
      <c r="L61" s="1573">
        <v>3618995</v>
      </c>
      <c r="M61" s="501"/>
      <c r="N61" s="501"/>
    </row>
    <row r="62" spans="1:14" s="321" customFormat="1" x14ac:dyDescent="0.2">
      <c r="A62" s="1274" t="s">
        <v>946</v>
      </c>
      <c r="B62" s="503">
        <v>2550</v>
      </c>
      <c r="C62" s="1573">
        <v>55929</v>
      </c>
      <c r="D62" s="1573">
        <v>6765</v>
      </c>
      <c r="E62" s="1573">
        <v>1115865</v>
      </c>
      <c r="F62" s="1573"/>
      <c r="G62" s="1573"/>
      <c r="H62" s="1573"/>
      <c r="I62" s="1574"/>
      <c r="J62" s="1574"/>
      <c r="K62" s="1678">
        <f t="shared" si="7"/>
        <v>1178559</v>
      </c>
      <c r="L62" s="1573">
        <v>1701380</v>
      </c>
      <c r="M62" s="501"/>
      <c r="N62" s="501"/>
    </row>
    <row r="63" spans="1:14" s="501" customFormat="1" x14ac:dyDescent="0.2">
      <c r="A63" s="1274" t="s">
        <v>100</v>
      </c>
      <c r="B63" s="503">
        <v>2560</v>
      </c>
      <c r="C63" s="1573">
        <v>5759507</v>
      </c>
      <c r="D63" s="1573">
        <v>2206624</v>
      </c>
      <c r="E63" s="1573">
        <v>702762</v>
      </c>
      <c r="F63" s="1573">
        <v>7224290</v>
      </c>
      <c r="G63" s="1573">
        <v>0</v>
      </c>
      <c r="H63" s="1573">
        <v>31905</v>
      </c>
      <c r="I63" s="1574">
        <v>115722</v>
      </c>
      <c r="J63" s="1574"/>
      <c r="K63" s="1678">
        <f t="shared" si="7"/>
        <v>16040810</v>
      </c>
      <c r="L63" s="1573">
        <v>14872659</v>
      </c>
    </row>
    <row r="64" spans="1:14" s="501" customFormat="1" x14ac:dyDescent="0.2">
      <c r="A64" s="1279" t="s">
        <v>101</v>
      </c>
      <c r="B64" s="513">
        <v>2570</v>
      </c>
      <c r="C64" s="1586">
        <v>1076213</v>
      </c>
      <c r="D64" s="1586">
        <v>236026</v>
      </c>
      <c r="E64" s="1586">
        <v>389424</v>
      </c>
      <c r="F64" s="1586">
        <v>493528</v>
      </c>
      <c r="G64" s="1586">
        <v>118997</v>
      </c>
      <c r="H64" s="1586"/>
      <c r="I64" s="1574">
        <v>274426</v>
      </c>
      <c r="J64" s="1574"/>
      <c r="K64" s="1678">
        <f t="shared" si="7"/>
        <v>2588614</v>
      </c>
      <c r="L64" s="1586">
        <v>2455939</v>
      </c>
    </row>
    <row r="65" spans="1:14" s="321" customFormat="1" ht="12.75" customHeight="1" thickBot="1" x14ac:dyDescent="0.25">
      <c r="A65" s="1380" t="s">
        <v>713</v>
      </c>
      <c r="B65" s="1381" t="s">
        <v>35</v>
      </c>
      <c r="C65" s="1674">
        <f>SUM(C59:C64)</f>
        <v>9386531</v>
      </c>
      <c r="D65" s="1674">
        <f t="shared" ref="D65:L65" si="8">SUM(D59:D64)</f>
        <v>2787338</v>
      </c>
      <c r="E65" s="1674">
        <f t="shared" si="8"/>
        <v>2969897</v>
      </c>
      <c r="F65" s="1674">
        <f t="shared" si="8"/>
        <v>8241280</v>
      </c>
      <c r="G65" s="1674">
        <f t="shared" si="8"/>
        <v>2728217</v>
      </c>
      <c r="H65" s="1674">
        <f t="shared" si="8"/>
        <v>138659</v>
      </c>
      <c r="I65" s="1674">
        <f t="shared" si="8"/>
        <v>629905</v>
      </c>
      <c r="J65" s="1674">
        <f t="shared" si="8"/>
        <v>0</v>
      </c>
      <c r="K65" s="1674">
        <f t="shared" si="8"/>
        <v>26881827</v>
      </c>
      <c r="L65" s="1674">
        <f t="shared" si="8"/>
        <v>25260955</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v>31140</v>
      </c>
      <c r="M67" s="501"/>
      <c r="N67" s="501"/>
    </row>
    <row r="68" spans="1:14" s="321" customFormat="1" x14ac:dyDescent="0.2">
      <c r="A68" s="1274" t="s">
        <v>602</v>
      </c>
      <c r="B68" s="503">
        <v>2620</v>
      </c>
      <c r="C68" s="1573"/>
      <c r="D68" s="1573"/>
      <c r="E68" s="1573">
        <v>52650</v>
      </c>
      <c r="F68" s="1573"/>
      <c r="G68" s="1573"/>
      <c r="H68" s="1573"/>
      <c r="I68" s="1574"/>
      <c r="J68" s="1574"/>
      <c r="K68" s="1678">
        <f>SUM(C68:J68)</f>
        <v>52650</v>
      </c>
      <c r="L68" s="1573">
        <v>33000</v>
      </c>
      <c r="M68" s="501"/>
      <c r="N68" s="501"/>
    </row>
    <row r="69" spans="1:14" s="321" customFormat="1" x14ac:dyDescent="0.2">
      <c r="A69" s="1274" t="s">
        <v>1051</v>
      </c>
      <c r="B69" s="503">
        <v>2630</v>
      </c>
      <c r="C69" s="1573">
        <v>470309</v>
      </c>
      <c r="D69" s="1573">
        <v>86658</v>
      </c>
      <c r="E69" s="1573">
        <v>188801</v>
      </c>
      <c r="F69" s="1573">
        <v>5192</v>
      </c>
      <c r="G69" s="1573"/>
      <c r="H69" s="1573">
        <v>5245</v>
      </c>
      <c r="I69" s="1574"/>
      <c r="J69" s="1574"/>
      <c r="K69" s="1678">
        <f>SUM(C69:J69)</f>
        <v>756205</v>
      </c>
      <c r="L69" s="1573">
        <v>818436</v>
      </c>
      <c r="M69" s="501"/>
      <c r="N69" s="501"/>
    </row>
    <row r="70" spans="1:14" s="321" customFormat="1" x14ac:dyDescent="0.2">
      <c r="A70" s="1274" t="s">
        <v>399</v>
      </c>
      <c r="B70" s="503">
        <v>2640</v>
      </c>
      <c r="C70" s="1573">
        <v>1404568</v>
      </c>
      <c r="D70" s="1573">
        <v>218490</v>
      </c>
      <c r="E70" s="1573">
        <v>1062586</v>
      </c>
      <c r="F70" s="1573">
        <v>14970</v>
      </c>
      <c r="G70" s="1573"/>
      <c r="H70" s="1573">
        <v>33615</v>
      </c>
      <c r="I70" s="1574">
        <v>4270</v>
      </c>
      <c r="J70" s="1574"/>
      <c r="K70" s="1678">
        <f>SUM(C70:J70)</f>
        <v>2738499</v>
      </c>
      <c r="L70" s="1573">
        <v>3015987</v>
      </c>
      <c r="M70" s="501"/>
      <c r="N70" s="501"/>
    </row>
    <row r="71" spans="1:14" s="321" customFormat="1" x14ac:dyDescent="0.2">
      <c r="A71" s="1274" t="s">
        <v>400</v>
      </c>
      <c r="B71" s="503">
        <v>2660</v>
      </c>
      <c r="C71" s="1573">
        <v>3338995</v>
      </c>
      <c r="D71" s="1573">
        <v>479278</v>
      </c>
      <c r="E71" s="1573">
        <v>3429111</v>
      </c>
      <c r="F71" s="1573">
        <v>1044863</v>
      </c>
      <c r="G71" s="1573">
        <v>12163</v>
      </c>
      <c r="H71" s="1573"/>
      <c r="I71" s="1574">
        <v>1331243</v>
      </c>
      <c r="J71" s="1574"/>
      <c r="K71" s="1678">
        <f>SUM(C71:J71)</f>
        <v>9635653</v>
      </c>
      <c r="L71" s="1573">
        <v>16869981</v>
      </c>
      <c r="M71" s="501"/>
      <c r="N71" s="501"/>
    </row>
    <row r="72" spans="1:14" s="321" customFormat="1" ht="12.75" customHeight="1" thickBot="1" x14ac:dyDescent="0.25">
      <c r="A72" s="1380" t="s">
        <v>37</v>
      </c>
      <c r="B72" s="1383" t="s">
        <v>36</v>
      </c>
      <c r="C72" s="1674">
        <f>SUM(C67:C71)</f>
        <v>5213872</v>
      </c>
      <c r="D72" s="1674">
        <f t="shared" ref="D72:K72" si="9">SUM(D67:D71)</f>
        <v>784426</v>
      </c>
      <c r="E72" s="1674">
        <f t="shared" si="9"/>
        <v>4733148</v>
      </c>
      <c r="F72" s="1674">
        <f t="shared" si="9"/>
        <v>1065025</v>
      </c>
      <c r="G72" s="1674">
        <f t="shared" si="9"/>
        <v>12163</v>
      </c>
      <c r="H72" s="1674">
        <f t="shared" si="9"/>
        <v>38860</v>
      </c>
      <c r="I72" s="1674">
        <f t="shared" si="9"/>
        <v>1335513</v>
      </c>
      <c r="J72" s="1674">
        <f t="shared" si="9"/>
        <v>0</v>
      </c>
      <c r="K72" s="1674">
        <f t="shared" si="9"/>
        <v>13183007</v>
      </c>
      <c r="L72" s="1674">
        <f>SUM(L67:L71)</f>
        <v>20768544</v>
      </c>
      <c r="M72" s="501"/>
      <c r="N72" s="501"/>
    </row>
    <row r="73" spans="1:14" s="321" customFormat="1" ht="14.25" thickTop="1" thickBot="1" x14ac:dyDescent="0.25">
      <c r="A73" s="1280" t="s">
        <v>972</v>
      </c>
      <c r="B73" s="515" t="s">
        <v>569</v>
      </c>
      <c r="C73" s="1649">
        <v>400730</v>
      </c>
      <c r="D73" s="1649">
        <v>80621</v>
      </c>
      <c r="E73" s="1649">
        <v>32189</v>
      </c>
      <c r="F73" s="1649">
        <v>1694825</v>
      </c>
      <c r="G73" s="1649"/>
      <c r="H73" s="1649"/>
      <c r="I73" s="1627"/>
      <c r="J73" s="1627"/>
      <c r="K73" s="1674">
        <f>SUM(C73:J73)</f>
        <v>2208365</v>
      </c>
      <c r="L73" s="1651">
        <v>1772012</v>
      </c>
      <c r="M73" s="501"/>
      <c r="N73" s="501"/>
    </row>
    <row r="74" spans="1:14" ht="12.75" customHeight="1" thickTop="1" thickBot="1" x14ac:dyDescent="0.25">
      <c r="A74" s="1380" t="s">
        <v>805</v>
      </c>
      <c r="B74" s="1384">
        <v>2000</v>
      </c>
      <c r="C74" s="1681">
        <f>SUM(C42,C47,C53,C57,C65,C72,C73)</f>
        <v>80326060</v>
      </c>
      <c r="D74" s="1681">
        <f t="shared" ref="D74:K74" si="10">SUM(D42,D47,D53,D57,D65,D72,D73)</f>
        <v>20655002</v>
      </c>
      <c r="E74" s="1681">
        <f t="shared" si="10"/>
        <v>16198469</v>
      </c>
      <c r="F74" s="1681">
        <f t="shared" si="10"/>
        <v>12035003</v>
      </c>
      <c r="G74" s="1681">
        <f t="shared" si="10"/>
        <v>2740380</v>
      </c>
      <c r="H74" s="1681">
        <f t="shared" si="10"/>
        <v>393110</v>
      </c>
      <c r="I74" s="1681">
        <f t="shared" si="10"/>
        <v>2036971</v>
      </c>
      <c r="J74" s="1681">
        <f t="shared" si="10"/>
        <v>385550</v>
      </c>
      <c r="K74" s="1681">
        <f t="shared" si="10"/>
        <v>134770545</v>
      </c>
      <c r="L74" s="1681">
        <f>SUM(L42,L47,L53,L57,L65,L72,L73)</f>
        <v>137378623</v>
      </c>
    </row>
    <row r="75" spans="1:14" s="254" customFormat="1" ht="15.75" customHeight="1" thickTop="1" thickBot="1" x14ac:dyDescent="0.25">
      <c r="A75" s="1348" t="s">
        <v>47</v>
      </c>
      <c r="B75" s="1349" t="s">
        <v>570</v>
      </c>
      <c r="C75" s="1649">
        <v>2047877</v>
      </c>
      <c r="D75" s="1649">
        <v>374473</v>
      </c>
      <c r="E75" s="1649">
        <v>491013</v>
      </c>
      <c r="F75" s="1649">
        <v>120783</v>
      </c>
      <c r="G75" s="1649">
        <v>129</v>
      </c>
      <c r="H75" s="1649">
        <v>0</v>
      </c>
      <c r="I75" s="1627">
        <v>2098</v>
      </c>
      <c r="J75" s="1627"/>
      <c r="K75" s="1674">
        <f>SUM(C75:J75)</f>
        <v>3036373</v>
      </c>
      <c r="L75" s="1651">
        <v>3366937</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v>126154</v>
      </c>
      <c r="F78" s="1673"/>
      <c r="G78" s="1673"/>
      <c r="H78" s="1682"/>
      <c r="I78" s="1582"/>
      <c r="J78" s="1582"/>
      <c r="K78" s="1672">
        <f t="shared" ref="K78:K83" si="11">SUM(C78:J78)</f>
        <v>126154</v>
      </c>
      <c r="L78" s="1586">
        <v>100000</v>
      </c>
    </row>
    <row r="79" spans="1:14" x14ac:dyDescent="0.2">
      <c r="A79" s="1274" t="s">
        <v>300</v>
      </c>
      <c r="B79" s="503">
        <v>4120</v>
      </c>
      <c r="C79" s="1673"/>
      <c r="D79" s="1673"/>
      <c r="E79" s="1573">
        <v>180301</v>
      </c>
      <c r="F79" s="1673"/>
      <c r="G79" s="1673"/>
      <c r="H79" s="1573">
        <v>81778</v>
      </c>
      <c r="I79" s="1582"/>
      <c r="J79" s="1582"/>
      <c r="K79" s="1672">
        <f t="shared" si="11"/>
        <v>262079</v>
      </c>
      <c r="L79" s="1573">
        <v>125000</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v>96000</v>
      </c>
      <c r="F83" s="1673"/>
      <c r="G83" s="1673"/>
      <c r="H83" s="1573"/>
      <c r="I83" s="1582"/>
      <c r="J83" s="1582"/>
      <c r="K83" s="1672">
        <f t="shared" si="11"/>
        <v>96000</v>
      </c>
      <c r="L83" s="1573"/>
    </row>
    <row r="84" spans="1:12" ht="13.5" thickBot="1" x14ac:dyDescent="0.25">
      <c r="A84" s="1380" t="s">
        <v>1467</v>
      </c>
      <c r="B84" s="1385">
        <v>4100</v>
      </c>
      <c r="C84" s="1673"/>
      <c r="D84" s="1673"/>
      <c r="E84" s="1674">
        <f>SUM(E78:E83)</f>
        <v>402455</v>
      </c>
      <c r="F84" s="1673"/>
      <c r="G84" s="1673"/>
      <c r="H84" s="1674">
        <f>SUM(H78:H83)</f>
        <v>81778</v>
      </c>
      <c r="I84" s="1582"/>
      <c r="J84" s="1582"/>
      <c r="K84" s="1674">
        <f>SUM(K78:K83)</f>
        <v>484233</v>
      </c>
      <c r="L84" s="1674">
        <f>SUM(L78:L83)</f>
        <v>225000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v>9096949</v>
      </c>
      <c r="I86" s="1582"/>
      <c r="J86" s="1582"/>
      <c r="K86" s="1681">
        <f t="shared" ref="K86:K98" si="12">H86</f>
        <v>9096949</v>
      </c>
      <c r="L86" s="1626">
        <v>11000000</v>
      </c>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9096949</v>
      </c>
      <c r="I92" s="1582"/>
      <c r="J92" s="1582"/>
      <c r="K92" s="1681">
        <f t="shared" si="12"/>
        <v>9096949</v>
      </c>
      <c r="L92" s="1674">
        <f>SUM(L85:L91)</f>
        <v>11000000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402455</v>
      </c>
      <c r="F102" s="1673"/>
      <c r="G102" s="1673"/>
      <c r="H102" s="1681">
        <f>SUM(H84,H92,H100,H101)</f>
        <v>9178727</v>
      </c>
      <c r="I102" s="1582"/>
      <c r="J102" s="1582"/>
      <c r="K102" s="1681">
        <f>SUM(K84,K92,K100,K101)</f>
        <v>9581182</v>
      </c>
      <c r="L102" s="1681">
        <f>SUM(L84,L92,L100,L101)</f>
        <v>11225000</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277250338</v>
      </c>
      <c r="D114" s="1674">
        <f t="shared" ref="D114:K114" si="13">SUM(D33,D74,D75,D102,D112,D113)</f>
        <v>76712223</v>
      </c>
      <c r="E114" s="1674">
        <f t="shared" si="13"/>
        <v>20306069</v>
      </c>
      <c r="F114" s="1674">
        <f t="shared" si="13"/>
        <v>24863868</v>
      </c>
      <c r="G114" s="1674">
        <f t="shared" si="13"/>
        <v>3045027</v>
      </c>
      <c r="H114" s="1674">
        <f>SUM(H33,H74,H75,H102,H112,H113)</f>
        <v>9981133</v>
      </c>
      <c r="I114" s="1674">
        <f t="shared" si="13"/>
        <v>3738292</v>
      </c>
      <c r="J114" s="1674">
        <f t="shared" si="13"/>
        <v>385550</v>
      </c>
      <c r="K114" s="1674">
        <f t="shared" si="13"/>
        <v>416282500</v>
      </c>
      <c r="L114" s="1674">
        <f>SUM(L33,L74,L75,L102,L112,L113)</f>
        <v>427926738</v>
      </c>
    </row>
    <row r="115" spans="1:14" ht="13.5" thickTop="1" x14ac:dyDescent="0.2">
      <c r="A115" s="2400" t="s">
        <v>988</v>
      </c>
      <c r="B115" s="2401"/>
      <c r="C115" s="1675"/>
      <c r="D115" s="1675"/>
      <c r="E115" s="1675"/>
      <c r="F115" s="1675"/>
      <c r="G115" s="1675"/>
      <c r="H115" s="1675"/>
      <c r="I115" s="1675"/>
      <c r="J115" s="1675"/>
      <c r="K115" s="1689">
        <f>'Revenues 9-14'!C268-'Expenditures 15-22'!K114</f>
        <v>40360837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899999999999999" customHeight="1" x14ac:dyDescent="0.2">
      <c r="A117" s="2378" t="s">
        <v>292</v>
      </c>
      <c r="B117" s="2379"/>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1959</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v>601288</v>
      </c>
      <c r="F123" s="1573">
        <v>741</v>
      </c>
      <c r="G123" s="1573">
        <v>41834061</v>
      </c>
      <c r="H123" s="1573"/>
      <c r="I123" s="1574"/>
      <c r="J123" s="1574"/>
      <c r="K123" s="1674">
        <f>SUM(C123:J123)</f>
        <v>42436090</v>
      </c>
      <c r="L123" s="1573">
        <v>34100835</v>
      </c>
    </row>
    <row r="124" spans="1:14" ht="14.25" thickTop="1" thickBot="1" x14ac:dyDescent="0.25">
      <c r="A124" s="1274" t="s">
        <v>195</v>
      </c>
      <c r="B124" s="503">
        <v>2540</v>
      </c>
      <c r="C124" s="1573">
        <v>9854664</v>
      </c>
      <c r="D124" s="1573">
        <v>1739976</v>
      </c>
      <c r="E124" s="1573">
        <v>13997006</v>
      </c>
      <c r="F124" s="1573">
        <v>6721443</v>
      </c>
      <c r="G124" s="1573">
        <v>59521</v>
      </c>
      <c r="H124" s="1573">
        <v>8611</v>
      </c>
      <c r="I124" s="1574">
        <v>11446</v>
      </c>
      <c r="J124" s="1574"/>
      <c r="K124" s="1674">
        <f>SUM(C124:J124)</f>
        <v>32392667</v>
      </c>
      <c r="L124" s="1573">
        <v>33168125</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9854664</v>
      </c>
      <c r="D127" s="1674">
        <f t="shared" ref="D127:L127" si="14">SUM(D122:D126)</f>
        <v>1739976</v>
      </c>
      <c r="E127" s="1674">
        <f t="shared" si="14"/>
        <v>14598294</v>
      </c>
      <c r="F127" s="1674">
        <f t="shared" si="14"/>
        <v>6722184</v>
      </c>
      <c r="G127" s="1674">
        <f t="shared" si="14"/>
        <v>41893582</v>
      </c>
      <c r="H127" s="1674">
        <f t="shared" si="14"/>
        <v>8611</v>
      </c>
      <c r="I127" s="1674">
        <f t="shared" si="14"/>
        <v>11446</v>
      </c>
      <c r="J127" s="1674">
        <f t="shared" si="14"/>
        <v>0</v>
      </c>
      <c r="K127" s="1674">
        <f t="shared" si="14"/>
        <v>74828757</v>
      </c>
      <c r="L127" s="1674">
        <f t="shared" si="14"/>
        <v>67268960</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9854664</v>
      </c>
      <c r="D129" s="1681">
        <f t="shared" ref="D129:L129" si="15">SUM(D120,D127,D128)</f>
        <v>1739976</v>
      </c>
      <c r="E129" s="1681">
        <f t="shared" si="15"/>
        <v>14598294</v>
      </c>
      <c r="F129" s="1681">
        <f t="shared" si="15"/>
        <v>6722184</v>
      </c>
      <c r="G129" s="1681">
        <f t="shared" si="15"/>
        <v>41893582</v>
      </c>
      <c r="H129" s="1681">
        <f t="shared" si="15"/>
        <v>8611</v>
      </c>
      <c r="I129" s="1681">
        <f t="shared" si="15"/>
        <v>11446</v>
      </c>
      <c r="J129" s="1681">
        <f t="shared" si="15"/>
        <v>0</v>
      </c>
      <c r="K129" s="1681">
        <f t="shared" si="15"/>
        <v>74828757</v>
      </c>
      <c r="L129" s="1681">
        <f t="shared" si="15"/>
        <v>67268960</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1812</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390" t="s">
        <v>615</v>
      </c>
      <c r="B151" s="2372"/>
      <c r="C151" s="1674">
        <f>SUM(C129,C130,C139,C149,C150)</f>
        <v>9854664</v>
      </c>
      <c r="D151" s="1674">
        <f t="shared" ref="D151:K151" si="16">SUM(D129,D130,D139,D149,D150)</f>
        <v>1739976</v>
      </c>
      <c r="E151" s="1674">
        <f t="shared" si="16"/>
        <v>14598294</v>
      </c>
      <c r="F151" s="1674">
        <f t="shared" si="16"/>
        <v>6722184</v>
      </c>
      <c r="G151" s="1674">
        <f t="shared" si="16"/>
        <v>41893582</v>
      </c>
      <c r="H151" s="1674">
        <f t="shared" si="16"/>
        <v>8611</v>
      </c>
      <c r="I151" s="1674">
        <f t="shared" si="16"/>
        <v>11446</v>
      </c>
      <c r="J151" s="1674">
        <f t="shared" si="16"/>
        <v>0</v>
      </c>
      <c r="K151" s="1674">
        <f t="shared" si="16"/>
        <v>74828757</v>
      </c>
      <c r="L151" s="1674">
        <f>SUM(L129,L130,L139,L149,L150)</f>
        <v>67268960</v>
      </c>
    </row>
    <row r="152" spans="1:14" ht="12.75" customHeight="1" thickTop="1" x14ac:dyDescent="0.2">
      <c r="A152" s="2393" t="s">
        <v>1167</v>
      </c>
      <c r="B152" s="2394"/>
      <c r="C152" s="1675"/>
      <c r="D152" s="1675"/>
      <c r="E152" s="1675"/>
      <c r="F152" s="1675"/>
      <c r="G152" s="1675"/>
      <c r="H152" s="1675"/>
      <c r="I152" s="1675"/>
      <c r="J152" s="1673"/>
      <c r="K152" s="1689">
        <f>'Revenues 9-14'!D268-'Expenditures 15-22'!K151</f>
        <v>-20186569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899999999999999" customHeight="1" x14ac:dyDescent="0.2">
      <c r="A154" s="2378" t="s">
        <v>616</v>
      </c>
      <c r="B154" s="238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1813</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1812</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1814</v>
      </c>
      <c r="C158" s="1673"/>
      <c r="D158" s="1673"/>
      <c r="E158" s="1673"/>
      <c r="F158" s="1673"/>
      <c r="G158" s="1673"/>
      <c r="H158" s="1574"/>
      <c r="I158" s="1673"/>
      <c r="J158" s="1673"/>
      <c r="K158" s="1672">
        <f>H158</f>
        <v>0</v>
      </c>
      <c r="L158" s="1574"/>
      <c r="M158" s="505"/>
      <c r="N158" s="505"/>
    </row>
    <row r="159" spans="1:14" s="506" customFormat="1" ht="12" x14ac:dyDescent="0.2">
      <c r="A159" s="1462" t="s">
        <v>1815</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1816</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22955715</v>
      </c>
      <c r="I169" s="1673"/>
      <c r="J169" s="1673"/>
      <c r="K169" s="1672">
        <f>SUM(C169:H169)</f>
        <v>22955715</v>
      </c>
      <c r="L169" s="1695">
        <v>22955715</v>
      </c>
    </row>
    <row r="170" spans="1:14" ht="33.75" customHeight="1" x14ac:dyDescent="0.2">
      <c r="A170" s="543" t="s">
        <v>1650</v>
      </c>
      <c r="B170" s="545" t="s">
        <v>31</v>
      </c>
      <c r="C170" s="1673"/>
      <c r="D170" s="1673"/>
      <c r="E170" s="1673"/>
      <c r="F170" s="1673"/>
      <c r="G170" s="1673"/>
      <c r="H170" s="1646">
        <v>19745957</v>
      </c>
      <c r="I170" s="1673"/>
      <c r="J170" s="1673"/>
      <c r="K170" s="1672">
        <f>SUM(C170:J170)</f>
        <v>19745957</v>
      </c>
      <c r="L170" s="1646">
        <v>19745957</v>
      </c>
    </row>
    <row r="171" spans="1:14" ht="15.75" customHeight="1" x14ac:dyDescent="0.2">
      <c r="A171" s="507" t="s">
        <v>760</v>
      </c>
      <c r="B171" s="546" t="s">
        <v>84</v>
      </c>
      <c r="C171" s="1673"/>
      <c r="D171" s="1673"/>
      <c r="E171" s="1573"/>
      <c r="F171" s="1673"/>
      <c r="G171" s="1673"/>
      <c r="H171" s="1646"/>
      <c r="I171" s="1582"/>
      <c r="J171" s="1673"/>
      <c r="K171" s="1672">
        <f>SUM(C171:J171)</f>
        <v>0</v>
      </c>
      <c r="L171" s="1646"/>
    </row>
    <row r="172" spans="1:14" ht="12.75" customHeight="1" thickBot="1" x14ac:dyDescent="0.25">
      <c r="A172" s="1380" t="s">
        <v>632</v>
      </c>
      <c r="B172" s="1381" t="s">
        <v>488</v>
      </c>
      <c r="C172" s="1673"/>
      <c r="D172" s="1673"/>
      <c r="E172" s="1681">
        <f>SUM(E168,E169,E170,E171)</f>
        <v>0</v>
      </c>
      <c r="F172" s="1673"/>
      <c r="G172" s="1673"/>
      <c r="H172" s="1681">
        <f>SUM(H168,H169,H170,H171)</f>
        <v>42701672</v>
      </c>
      <c r="I172" s="1684"/>
      <c r="J172" s="1673"/>
      <c r="K172" s="1681">
        <f>SUM(K168,K169,K170,K171)</f>
        <v>42701672</v>
      </c>
      <c r="L172" s="1681">
        <f>SUM(L168,L169,L170,L171)</f>
        <v>42701672</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42701672</v>
      </c>
      <c r="I174" s="1684"/>
      <c r="J174" s="1673"/>
      <c r="K174" s="1681">
        <f>SUM(K160,K172,K173)</f>
        <v>42701672</v>
      </c>
      <c r="L174" s="1681">
        <f>SUM(L160,L172,L173)</f>
        <v>42701672</v>
      </c>
    </row>
    <row r="175" spans="1:14" ht="13.5" thickTop="1" x14ac:dyDescent="0.2">
      <c r="A175" s="2400" t="s">
        <v>988</v>
      </c>
      <c r="B175" s="2401"/>
      <c r="C175" s="1673"/>
      <c r="D175" s="1673"/>
      <c r="E175" s="1673"/>
      <c r="F175" s="1673"/>
      <c r="G175" s="1673"/>
      <c r="H175" s="1675"/>
      <c r="I175" s="1673"/>
      <c r="J175" s="1673"/>
      <c r="K175" s="1689">
        <f>'Revenues 9-14'!E268-'Expenditures 15-22'!K174</f>
        <v>-9696719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899999999999999"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1959</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14646805</v>
      </c>
      <c r="D182" s="1573">
        <v>4598724</v>
      </c>
      <c r="E182" s="1573">
        <v>1139974</v>
      </c>
      <c r="F182" s="1573">
        <v>2435804</v>
      </c>
      <c r="G182" s="1573">
        <v>5319966</v>
      </c>
      <c r="H182" s="1573">
        <v>4298</v>
      </c>
      <c r="I182" s="1574"/>
      <c r="J182" s="1574"/>
      <c r="K182" s="1672">
        <f>SUM(C182:J182)</f>
        <v>28145571</v>
      </c>
      <c r="L182" s="1573">
        <v>28589295</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14646805</v>
      </c>
      <c r="D184" s="1681">
        <f t="shared" ref="D184:J184" si="17">SUM(D180,D182,D183)</f>
        <v>4598724</v>
      </c>
      <c r="E184" s="1681">
        <f t="shared" si="17"/>
        <v>1139974</v>
      </c>
      <c r="F184" s="1681">
        <f t="shared" si="17"/>
        <v>2435804</v>
      </c>
      <c r="G184" s="1681">
        <f t="shared" si="17"/>
        <v>5319966</v>
      </c>
      <c r="H184" s="1681">
        <f t="shared" si="17"/>
        <v>4298</v>
      </c>
      <c r="I184" s="1681">
        <f t="shared" si="17"/>
        <v>0</v>
      </c>
      <c r="J184" s="1681">
        <f t="shared" si="17"/>
        <v>0</v>
      </c>
      <c r="K184" s="1681">
        <f>SUM(K180,K182,K183)</f>
        <v>28145571</v>
      </c>
      <c r="L184" s="1681">
        <f>SUM(L180, L182:L183)</f>
        <v>28589295</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v>0</v>
      </c>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f>19894-177</f>
        <v>19717</v>
      </c>
      <c r="I205" s="1673"/>
      <c r="J205" s="1673"/>
      <c r="K205" s="1696">
        <f>SUM(H205)</f>
        <v>19717</v>
      </c>
      <c r="L205" s="1630"/>
    </row>
    <row r="206" spans="1:14" ht="30" customHeight="1" x14ac:dyDescent="0.2">
      <c r="A206" s="555" t="s">
        <v>1651</v>
      </c>
      <c r="B206" s="546" t="s">
        <v>31</v>
      </c>
      <c r="C206" s="1673"/>
      <c r="D206" s="1673"/>
      <c r="E206" s="1673"/>
      <c r="F206" s="1673"/>
      <c r="G206" s="1673"/>
      <c r="H206" s="1573">
        <f>1353351+177</f>
        <v>1353528</v>
      </c>
      <c r="I206" s="1673"/>
      <c r="J206" s="1673"/>
      <c r="K206" s="1672">
        <f>SUM(H206)</f>
        <v>1353528</v>
      </c>
      <c r="L206" s="1573">
        <v>1373245</v>
      </c>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1373245</v>
      </c>
      <c r="I208" s="1673"/>
      <c r="J208" s="1673"/>
      <c r="K208" s="1681">
        <f>SUM(K204,K205,K206,K207)</f>
        <v>1373245</v>
      </c>
      <c r="L208" s="1681">
        <f>SUM(L204,L205,L206,L207)</f>
        <v>1373245</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14646805</v>
      </c>
      <c r="D210" s="1674">
        <f>SUM(D184,D185)</f>
        <v>4598724</v>
      </c>
      <c r="E210" s="1674">
        <f>SUM(E184,E185,E196)</f>
        <v>1139974</v>
      </c>
      <c r="F210" s="1674">
        <f>SUM(F184,F185)</f>
        <v>2435804</v>
      </c>
      <c r="G210" s="1674">
        <f>SUM(G184,G185)</f>
        <v>5319966</v>
      </c>
      <c r="H210" s="1674">
        <f>SUM(H184,H185,H196,H208,H209)</f>
        <v>1377543</v>
      </c>
      <c r="I210" s="1674">
        <f>SUM(I184,I185)</f>
        <v>0</v>
      </c>
      <c r="J210" s="1674">
        <f>SUM(J184,J185)</f>
        <v>0</v>
      </c>
      <c r="K210" s="1672">
        <f>SUM(K184,K185,K196,K208,K209)</f>
        <v>29518816</v>
      </c>
      <c r="L210" s="1674">
        <f>SUM(L184,L185,L196,L208,L209)</f>
        <v>29962540</v>
      </c>
    </row>
    <row r="211" spans="1:14" ht="13.5" thickTop="1" x14ac:dyDescent="0.2">
      <c r="A211" s="2400" t="s">
        <v>988</v>
      </c>
      <c r="B211" s="2401"/>
      <c r="C211" s="1675"/>
      <c r="D211" s="1675"/>
      <c r="E211" s="1675"/>
      <c r="F211" s="1675"/>
      <c r="G211" s="1675"/>
      <c r="H211" s="1675"/>
      <c r="I211" s="1673"/>
      <c r="J211" s="1673"/>
      <c r="K211" s="1689">
        <f>'Revenues 9-14'!F268-'Expenditures 15-22'!K210</f>
        <v>2487923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899999999999999" customHeight="1" x14ac:dyDescent="0.2">
      <c r="A213" s="2395" t="s">
        <v>958</v>
      </c>
      <c r="B213" s="2396"/>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1407042</v>
      </c>
      <c r="E215" s="1673"/>
      <c r="F215" s="1673"/>
      <c r="G215" s="1673"/>
      <c r="H215" s="1673"/>
      <c r="I215" s="1673"/>
      <c r="J215" s="1673"/>
      <c r="K215" s="1672">
        <f>D215</f>
        <v>1407042</v>
      </c>
      <c r="L215" s="1573">
        <v>1166266</v>
      </c>
    </row>
    <row r="216" spans="1:14" x14ac:dyDescent="0.2">
      <c r="A216" s="1274" t="s">
        <v>162</v>
      </c>
      <c r="B216" s="503" t="s">
        <v>960</v>
      </c>
      <c r="C216" s="1673"/>
      <c r="D216" s="1574">
        <v>243603</v>
      </c>
      <c r="E216" s="1673"/>
      <c r="F216" s="1673"/>
      <c r="G216" s="1673"/>
      <c r="H216" s="1673"/>
      <c r="I216" s="1673"/>
      <c r="J216" s="1673"/>
      <c r="K216" s="1672">
        <f t="shared" ref="K216:K228" si="19">D216</f>
        <v>243603</v>
      </c>
      <c r="L216" s="1573">
        <v>246925</v>
      </c>
    </row>
    <row r="217" spans="1:14" x14ac:dyDescent="0.2">
      <c r="A217" s="1274" t="s">
        <v>163</v>
      </c>
      <c r="B217" s="503">
        <v>1200</v>
      </c>
      <c r="C217" s="1673"/>
      <c r="D217" s="1573">
        <v>2536102</v>
      </c>
      <c r="E217" s="1673"/>
      <c r="F217" s="1673"/>
      <c r="G217" s="1673"/>
      <c r="H217" s="1673"/>
      <c r="I217" s="1673"/>
      <c r="J217" s="1673"/>
      <c r="K217" s="1672">
        <f t="shared" si="19"/>
        <v>2536102</v>
      </c>
      <c r="L217" s="1573">
        <v>2332955</v>
      </c>
    </row>
    <row r="218" spans="1:14" x14ac:dyDescent="0.2">
      <c r="A218" s="1274" t="s">
        <v>275</v>
      </c>
      <c r="B218" s="503" t="s">
        <v>961</v>
      </c>
      <c r="C218" s="1673"/>
      <c r="D218" s="1574">
        <v>116470</v>
      </c>
      <c r="E218" s="1673"/>
      <c r="F218" s="1673"/>
      <c r="G218" s="1673"/>
      <c r="H218" s="1673"/>
      <c r="I218" s="1673"/>
      <c r="J218" s="1673"/>
      <c r="K218" s="1672">
        <f t="shared" si="19"/>
        <v>116470</v>
      </c>
      <c r="L218" s="1573">
        <v>110422</v>
      </c>
    </row>
    <row r="219" spans="1:14" x14ac:dyDescent="0.2">
      <c r="A219" s="1274" t="s">
        <v>276</v>
      </c>
      <c r="B219" s="503">
        <v>1250</v>
      </c>
      <c r="C219" s="1673"/>
      <c r="D219" s="1573">
        <v>217106</v>
      </c>
      <c r="E219" s="1673"/>
      <c r="F219" s="1673"/>
      <c r="G219" s="1673"/>
      <c r="H219" s="1673"/>
      <c r="I219" s="1673"/>
      <c r="J219" s="1673"/>
      <c r="K219" s="1672">
        <f t="shared" si="19"/>
        <v>217106</v>
      </c>
      <c r="L219" s="1573">
        <v>214491</v>
      </c>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v>55951</v>
      </c>
      <c r="E222" s="1673"/>
      <c r="F222" s="1673"/>
      <c r="G222" s="1673"/>
      <c r="H222" s="1673"/>
      <c r="I222" s="1673"/>
      <c r="J222" s="1673"/>
      <c r="K222" s="1672">
        <f t="shared" si="19"/>
        <v>55951</v>
      </c>
      <c r="L222" s="1573">
        <v>104150</v>
      </c>
    </row>
    <row r="223" spans="1:14" x14ac:dyDescent="0.2">
      <c r="A223" s="1274" t="s">
        <v>956</v>
      </c>
      <c r="B223" s="503">
        <v>1500</v>
      </c>
      <c r="C223" s="1673"/>
      <c r="D223" s="1573">
        <v>153787</v>
      </c>
      <c r="E223" s="1673"/>
      <c r="F223" s="1673"/>
      <c r="G223" s="1673"/>
      <c r="H223" s="1673"/>
      <c r="I223" s="1673"/>
      <c r="J223" s="1673"/>
      <c r="K223" s="1672">
        <f t="shared" si="19"/>
        <v>153787</v>
      </c>
      <c r="L223" s="1573">
        <v>157063</v>
      </c>
    </row>
    <row r="224" spans="1:14" x14ac:dyDescent="0.2">
      <c r="A224" s="1274" t="s">
        <v>957</v>
      </c>
      <c r="B224" s="503">
        <v>1600</v>
      </c>
      <c r="C224" s="1673"/>
      <c r="D224" s="1573">
        <v>38289</v>
      </c>
      <c r="E224" s="1673"/>
      <c r="F224" s="1673"/>
      <c r="G224" s="1673"/>
      <c r="H224" s="1673"/>
      <c r="I224" s="1673"/>
      <c r="J224" s="1673"/>
      <c r="K224" s="1672">
        <f t="shared" si="19"/>
        <v>38289</v>
      </c>
      <c r="L224" s="1573">
        <v>29840</v>
      </c>
    </row>
    <row r="225" spans="1:12" x14ac:dyDescent="0.2">
      <c r="A225" s="1274" t="s">
        <v>979</v>
      </c>
      <c r="B225" s="503">
        <v>1650</v>
      </c>
      <c r="C225" s="1673"/>
      <c r="D225" s="1573">
        <v>60271</v>
      </c>
      <c r="E225" s="1673"/>
      <c r="F225" s="1673"/>
      <c r="G225" s="1673"/>
      <c r="H225" s="1673"/>
      <c r="I225" s="1673"/>
      <c r="J225" s="1673"/>
      <c r="K225" s="1672">
        <f t="shared" si="19"/>
        <v>60271</v>
      </c>
      <c r="L225" s="1573">
        <v>58346</v>
      </c>
    </row>
    <row r="226" spans="1:12" x14ac:dyDescent="0.2">
      <c r="A226" s="1274" t="s">
        <v>718</v>
      </c>
      <c r="B226" s="503" t="s">
        <v>161</v>
      </c>
      <c r="C226" s="1673"/>
      <c r="D226" s="1574">
        <v>6913</v>
      </c>
      <c r="E226" s="1673"/>
      <c r="F226" s="1673"/>
      <c r="G226" s="1673"/>
      <c r="H226" s="1673"/>
      <c r="I226" s="1673"/>
      <c r="J226" s="1673"/>
      <c r="K226" s="1672">
        <f t="shared" si="19"/>
        <v>6913</v>
      </c>
      <c r="L226" s="1573">
        <v>8918</v>
      </c>
    </row>
    <row r="227" spans="1:12" x14ac:dyDescent="0.2">
      <c r="A227" s="1274" t="s">
        <v>1077</v>
      </c>
      <c r="B227" s="503">
        <v>1800</v>
      </c>
      <c r="C227" s="1673"/>
      <c r="D227" s="1573">
        <v>513473</v>
      </c>
      <c r="E227" s="1673"/>
      <c r="F227" s="1673"/>
      <c r="G227" s="1673"/>
      <c r="H227" s="1673"/>
      <c r="I227" s="1673"/>
      <c r="J227" s="1673"/>
      <c r="K227" s="1672">
        <f t="shared" si="19"/>
        <v>513473</v>
      </c>
      <c r="L227" s="1573">
        <v>477833</v>
      </c>
    </row>
    <row r="228" spans="1:12" x14ac:dyDescent="0.2">
      <c r="A228" s="1274" t="s">
        <v>1078</v>
      </c>
      <c r="B228" s="503">
        <v>1900</v>
      </c>
      <c r="C228" s="1673"/>
      <c r="D228" s="1573">
        <v>34638</v>
      </c>
      <c r="E228" s="1673"/>
      <c r="F228" s="1673"/>
      <c r="G228" s="1673"/>
      <c r="H228" s="1673"/>
      <c r="I228" s="1673"/>
      <c r="J228" s="1673"/>
      <c r="K228" s="1672">
        <f t="shared" si="19"/>
        <v>34638</v>
      </c>
      <c r="L228" s="1573">
        <v>23799</v>
      </c>
    </row>
    <row r="229" spans="1:12" ht="12.75" customHeight="1" thickBot="1" x14ac:dyDescent="0.25">
      <c r="A229" s="1380" t="s">
        <v>709</v>
      </c>
      <c r="B229" s="1383" t="s">
        <v>565</v>
      </c>
      <c r="C229" s="1673"/>
      <c r="D229" s="1674">
        <f>SUM(D215:D228)</f>
        <v>5383645</v>
      </c>
      <c r="E229" s="1673"/>
      <c r="F229" s="1673"/>
      <c r="G229" s="1673"/>
      <c r="H229" s="1673"/>
      <c r="I229" s="1673"/>
      <c r="J229" s="1673"/>
      <c r="K229" s="1674">
        <f>SUM(K215:K228)</f>
        <v>5383645</v>
      </c>
      <c r="L229" s="1674">
        <f>SUM(L215:L228)</f>
        <v>4931008</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444713</v>
      </c>
      <c r="E232" s="1673"/>
      <c r="F232" s="1673"/>
      <c r="G232" s="1673"/>
      <c r="H232" s="1673"/>
      <c r="I232" s="1673"/>
      <c r="J232" s="1673"/>
      <c r="K232" s="1672">
        <f t="shared" ref="K232:K237" si="20">D232</f>
        <v>444713</v>
      </c>
      <c r="L232" s="1573">
        <v>597208</v>
      </c>
    </row>
    <row r="233" spans="1:12" x14ac:dyDescent="0.2">
      <c r="A233" s="1274" t="s">
        <v>1080</v>
      </c>
      <c r="B233" s="503">
        <v>2120</v>
      </c>
      <c r="C233" s="1673"/>
      <c r="D233" s="1573">
        <v>201974</v>
      </c>
      <c r="E233" s="1673"/>
      <c r="F233" s="1673"/>
      <c r="G233" s="1673"/>
      <c r="H233" s="1673"/>
      <c r="I233" s="1673"/>
      <c r="J233" s="1673"/>
      <c r="K233" s="1672">
        <f t="shared" si="20"/>
        <v>201974</v>
      </c>
      <c r="L233" s="1573">
        <v>208696</v>
      </c>
    </row>
    <row r="234" spans="1:12" x14ac:dyDescent="0.2">
      <c r="A234" s="1274" t="s">
        <v>196</v>
      </c>
      <c r="B234" s="503">
        <v>2130</v>
      </c>
      <c r="C234" s="1673"/>
      <c r="D234" s="1573">
        <v>547156</v>
      </c>
      <c r="E234" s="1673"/>
      <c r="F234" s="1673"/>
      <c r="G234" s="1673"/>
      <c r="H234" s="1673"/>
      <c r="I234" s="1673"/>
      <c r="J234" s="1673"/>
      <c r="K234" s="1672">
        <f t="shared" si="20"/>
        <v>547156</v>
      </c>
      <c r="L234" s="1573">
        <v>562151</v>
      </c>
    </row>
    <row r="235" spans="1:12" x14ac:dyDescent="0.2">
      <c r="A235" s="1274" t="s">
        <v>197</v>
      </c>
      <c r="B235" s="503">
        <v>2140</v>
      </c>
      <c r="C235" s="1673"/>
      <c r="D235" s="1573">
        <v>22786</v>
      </c>
      <c r="E235" s="1673"/>
      <c r="F235" s="1673"/>
      <c r="G235" s="1673"/>
      <c r="H235" s="1673"/>
      <c r="I235" s="1673"/>
      <c r="J235" s="1673"/>
      <c r="K235" s="1672">
        <f t="shared" si="20"/>
        <v>22786</v>
      </c>
      <c r="L235" s="1573"/>
    </row>
    <row r="236" spans="1:12" x14ac:dyDescent="0.2">
      <c r="A236" s="1274" t="s">
        <v>198</v>
      </c>
      <c r="B236" s="503">
        <v>2150</v>
      </c>
      <c r="C236" s="1673"/>
      <c r="D236" s="1573">
        <v>67893</v>
      </c>
      <c r="E236" s="1673"/>
      <c r="F236" s="1673"/>
      <c r="G236" s="1673"/>
      <c r="H236" s="1673"/>
      <c r="I236" s="1673"/>
      <c r="J236" s="1673"/>
      <c r="K236" s="1672">
        <f t="shared" si="20"/>
        <v>67893</v>
      </c>
      <c r="L236" s="1573">
        <v>59056</v>
      </c>
    </row>
    <row r="237" spans="1:12" x14ac:dyDescent="0.2">
      <c r="A237" s="1274" t="s">
        <v>164</v>
      </c>
      <c r="B237" s="503">
        <v>2190</v>
      </c>
      <c r="C237" s="1673"/>
      <c r="D237" s="1573">
        <v>188959</v>
      </c>
      <c r="E237" s="1673"/>
      <c r="F237" s="1673"/>
      <c r="G237" s="1673"/>
      <c r="H237" s="1673"/>
      <c r="I237" s="1673"/>
      <c r="J237" s="1673"/>
      <c r="K237" s="1672">
        <f t="shared" si="20"/>
        <v>188959</v>
      </c>
      <c r="L237" s="1573">
        <v>226917</v>
      </c>
    </row>
    <row r="238" spans="1:12" ht="12.75" customHeight="1" thickBot="1" x14ac:dyDescent="0.25">
      <c r="A238" s="1380" t="s">
        <v>555</v>
      </c>
      <c r="B238" s="1383" t="s">
        <v>710</v>
      </c>
      <c r="C238" s="1673"/>
      <c r="D238" s="1674">
        <f>SUM(D232:D237)</f>
        <v>1473481</v>
      </c>
      <c r="E238" s="1673"/>
      <c r="F238" s="1673"/>
      <c r="G238" s="1673"/>
      <c r="H238" s="1673"/>
      <c r="I238" s="1673"/>
      <c r="J238" s="1673"/>
      <c r="K238" s="1674">
        <f>SUM(K232:K237)</f>
        <v>1473481</v>
      </c>
      <c r="L238" s="1674">
        <f>SUM(L232:L237)</f>
        <v>1654028</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186444</v>
      </c>
      <c r="E240" s="1673"/>
      <c r="F240" s="1673"/>
      <c r="G240" s="1673"/>
      <c r="H240" s="1673"/>
      <c r="I240" s="1673"/>
      <c r="J240" s="1673"/>
      <c r="K240" s="1678">
        <f>D240</f>
        <v>186444</v>
      </c>
      <c r="L240" s="1586">
        <v>149072</v>
      </c>
    </row>
    <row r="241" spans="1:12" x14ac:dyDescent="0.2">
      <c r="A241" s="1274" t="s">
        <v>809</v>
      </c>
      <c r="B241" s="503">
        <v>2220</v>
      </c>
      <c r="C241" s="1673"/>
      <c r="D241" s="1573">
        <v>251080</v>
      </c>
      <c r="E241" s="1673"/>
      <c r="F241" s="1673"/>
      <c r="G241" s="1673"/>
      <c r="H241" s="1673"/>
      <c r="I241" s="1673"/>
      <c r="J241" s="1673"/>
      <c r="K241" s="1678">
        <f>D241</f>
        <v>251080</v>
      </c>
      <c r="L241" s="1573">
        <v>246625</v>
      </c>
    </row>
    <row r="242" spans="1:12" x14ac:dyDescent="0.2">
      <c r="A242" s="1274" t="s">
        <v>810</v>
      </c>
      <c r="B242" s="503">
        <v>2230</v>
      </c>
      <c r="C242" s="1673"/>
      <c r="D242" s="1573">
        <v>90929</v>
      </c>
      <c r="E242" s="1673"/>
      <c r="F242" s="1673"/>
      <c r="G242" s="1673"/>
      <c r="H242" s="1673"/>
      <c r="I242" s="1673"/>
      <c r="J242" s="1673"/>
      <c r="K242" s="1678">
        <f>D242</f>
        <v>90929</v>
      </c>
      <c r="L242" s="1573">
        <v>97730</v>
      </c>
    </row>
    <row r="243" spans="1:12" ht="12.75" customHeight="1" thickBot="1" x14ac:dyDescent="0.25">
      <c r="A243" s="1396" t="s">
        <v>556</v>
      </c>
      <c r="B243" s="1397">
        <v>2200</v>
      </c>
      <c r="C243" s="1673"/>
      <c r="D243" s="1674">
        <f>SUM(D240:D242)</f>
        <v>528453</v>
      </c>
      <c r="E243" s="1673"/>
      <c r="F243" s="1673"/>
      <c r="G243" s="1673"/>
      <c r="H243" s="1673"/>
      <c r="I243" s="1673"/>
      <c r="J243" s="1673"/>
      <c r="K243" s="1674">
        <f>SUM(K240:K242)</f>
        <v>528453</v>
      </c>
      <c r="L243" s="1674">
        <f>SUM(L240:L242)</f>
        <v>493427</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220</v>
      </c>
      <c r="E245" s="1673"/>
      <c r="F245" s="1673"/>
      <c r="G245" s="1673"/>
      <c r="H245" s="1673"/>
      <c r="I245" s="1673"/>
      <c r="J245" s="1673"/>
      <c r="K245" s="1678">
        <f>D245</f>
        <v>220</v>
      </c>
      <c r="L245" s="1586">
        <v>1955</v>
      </c>
    </row>
    <row r="246" spans="1:12" x14ac:dyDescent="0.2">
      <c r="A246" s="1274" t="s">
        <v>812</v>
      </c>
      <c r="B246" s="503">
        <v>2320</v>
      </c>
      <c r="C246" s="1673"/>
      <c r="D246" s="1573">
        <v>190388</v>
      </c>
      <c r="E246" s="1673"/>
      <c r="F246" s="1673"/>
      <c r="G246" s="1673"/>
      <c r="H246" s="1673"/>
      <c r="I246" s="1673"/>
      <c r="J246" s="1673"/>
      <c r="K246" s="1678">
        <f t="shared" ref="K246:K256" si="21">D246</f>
        <v>190388</v>
      </c>
      <c r="L246" s="1573">
        <v>170396</v>
      </c>
    </row>
    <row r="247" spans="1:12" x14ac:dyDescent="0.2">
      <c r="A247" s="1274" t="s">
        <v>813</v>
      </c>
      <c r="B247" s="503">
        <v>2330</v>
      </c>
      <c r="C247" s="1673"/>
      <c r="D247" s="1573">
        <v>239924</v>
      </c>
      <c r="E247" s="1673"/>
      <c r="F247" s="1673"/>
      <c r="G247" s="1673"/>
      <c r="H247" s="1673"/>
      <c r="I247" s="1673"/>
      <c r="J247" s="1673"/>
      <c r="K247" s="1678">
        <f t="shared" si="21"/>
        <v>239924</v>
      </c>
      <c r="L247" s="1573">
        <v>246057</v>
      </c>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1778</v>
      </c>
      <c r="B249" s="557" t="s">
        <v>279</v>
      </c>
      <c r="C249" s="1673"/>
      <c r="D249" s="1579"/>
      <c r="E249" s="1673"/>
      <c r="F249" s="1673"/>
      <c r="G249" s="1673"/>
      <c r="H249" s="1673"/>
      <c r="I249" s="1673"/>
      <c r="J249" s="1673"/>
      <c r="K249" s="1678">
        <f t="shared" si="21"/>
        <v>0</v>
      </c>
      <c r="L249" s="1573"/>
    </row>
    <row r="250" spans="1:12" x14ac:dyDescent="0.2">
      <c r="A250" s="1275" t="s">
        <v>1779</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v>77612</v>
      </c>
      <c r="E254" s="1673"/>
      <c r="F254" s="1673"/>
      <c r="G254" s="1673"/>
      <c r="H254" s="1673"/>
      <c r="I254" s="1673"/>
      <c r="J254" s="1673"/>
      <c r="K254" s="1678">
        <f t="shared" si="21"/>
        <v>77612</v>
      </c>
      <c r="L254" s="1573">
        <v>90321</v>
      </c>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508144</v>
      </c>
      <c r="E257" s="1673"/>
      <c r="F257" s="1673"/>
      <c r="G257" s="1673"/>
      <c r="H257" s="1673"/>
      <c r="I257" s="1673"/>
      <c r="J257" s="1673"/>
      <c r="K257" s="1674">
        <f>SUM(K245:K256)</f>
        <v>508144</v>
      </c>
      <c r="L257" s="1674">
        <f>SUM(L245:L256)</f>
        <v>508729</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955876</v>
      </c>
      <c r="E259" s="1673"/>
      <c r="F259" s="1673"/>
      <c r="G259" s="1673"/>
      <c r="H259" s="1673"/>
      <c r="I259" s="1673"/>
      <c r="J259" s="1673"/>
      <c r="K259" s="1678">
        <f>D259</f>
        <v>955876</v>
      </c>
      <c r="L259" s="1586">
        <v>937548</v>
      </c>
    </row>
    <row r="260" spans="1:14" s="493" customFormat="1" x14ac:dyDescent="0.2">
      <c r="A260" s="1292" t="s">
        <v>1777</v>
      </c>
      <c r="B260" s="512">
        <v>2490</v>
      </c>
      <c r="C260" s="1673"/>
      <c r="D260" s="1573">
        <v>434134</v>
      </c>
      <c r="E260" s="1673"/>
      <c r="F260" s="1673"/>
      <c r="G260" s="1673"/>
      <c r="H260" s="1673"/>
      <c r="I260" s="1673"/>
      <c r="J260" s="1673"/>
      <c r="K260" s="1678">
        <f>D260</f>
        <v>434134</v>
      </c>
      <c r="L260" s="1573">
        <v>447119</v>
      </c>
      <c r="M260" s="205"/>
      <c r="N260" s="205"/>
    </row>
    <row r="261" spans="1:14" ht="12.75" customHeight="1" thickBot="1" x14ac:dyDescent="0.25">
      <c r="A261" s="1394" t="s">
        <v>261</v>
      </c>
      <c r="B261" s="1399" t="s">
        <v>34</v>
      </c>
      <c r="C261" s="1673"/>
      <c r="D261" s="1674">
        <f>SUM(D259:D260)</f>
        <v>1390010</v>
      </c>
      <c r="E261" s="1673"/>
      <c r="F261" s="1673"/>
      <c r="G261" s="1673"/>
      <c r="H261" s="1673"/>
      <c r="I261" s="1673"/>
      <c r="J261" s="1673"/>
      <c r="K261" s="1674">
        <f>SUM(K259:K260)</f>
        <v>1390010</v>
      </c>
      <c r="L261" s="1674">
        <f>SUM(L259:L260)</f>
        <v>1384667</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v>3331</v>
      </c>
      <c r="E263" s="1673"/>
      <c r="F263" s="1673"/>
      <c r="G263" s="1673"/>
      <c r="H263" s="1673"/>
      <c r="I263" s="1673"/>
      <c r="J263" s="1673"/>
      <c r="K263" s="1678">
        <f>D263</f>
        <v>3331</v>
      </c>
      <c r="L263" s="1586">
        <v>8506</v>
      </c>
    </row>
    <row r="264" spans="1:14" x14ac:dyDescent="0.2">
      <c r="A264" s="1274" t="s">
        <v>459</v>
      </c>
      <c r="B264" s="559">
        <v>2520</v>
      </c>
      <c r="C264" s="1673"/>
      <c r="D264" s="1573">
        <v>291646</v>
      </c>
      <c r="E264" s="1673"/>
      <c r="F264" s="1673"/>
      <c r="G264" s="1673"/>
      <c r="H264" s="1673"/>
      <c r="I264" s="1673"/>
      <c r="J264" s="1673"/>
      <c r="K264" s="1678">
        <f t="shared" ref="K264:K269" si="22">D264</f>
        <v>291646</v>
      </c>
      <c r="L264" s="1573">
        <v>286050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2260611</v>
      </c>
      <c r="E266" s="1673"/>
      <c r="F266" s="1673"/>
      <c r="G266" s="1673"/>
      <c r="H266" s="1673"/>
      <c r="I266" s="1673"/>
      <c r="J266" s="1673"/>
      <c r="K266" s="1678">
        <f t="shared" si="22"/>
        <v>2260611</v>
      </c>
      <c r="L266" s="1573">
        <v>2041577</v>
      </c>
    </row>
    <row r="267" spans="1:14" x14ac:dyDescent="0.2">
      <c r="A267" s="1274" t="s">
        <v>946</v>
      </c>
      <c r="B267" s="503">
        <v>2550</v>
      </c>
      <c r="C267" s="1673"/>
      <c r="D267" s="1573">
        <v>3120436</v>
      </c>
      <c r="E267" s="1673"/>
      <c r="F267" s="1673"/>
      <c r="G267" s="1673"/>
      <c r="H267" s="1673"/>
      <c r="I267" s="1673"/>
      <c r="J267" s="1673"/>
      <c r="K267" s="1678">
        <f t="shared" si="22"/>
        <v>3120436</v>
      </c>
      <c r="L267" s="1573">
        <v>3161486</v>
      </c>
    </row>
    <row r="268" spans="1:14" x14ac:dyDescent="0.2">
      <c r="A268" s="1274" t="s">
        <v>100</v>
      </c>
      <c r="B268" s="503">
        <v>2560</v>
      </c>
      <c r="C268" s="1673"/>
      <c r="D268" s="1573">
        <v>314913</v>
      </c>
      <c r="E268" s="1673"/>
      <c r="F268" s="1673"/>
      <c r="G268" s="1673"/>
      <c r="H268" s="1673"/>
      <c r="I268" s="1673"/>
      <c r="J268" s="1673"/>
      <c r="K268" s="1678">
        <f t="shared" si="22"/>
        <v>314913</v>
      </c>
      <c r="L268" s="1573">
        <v>163605</v>
      </c>
    </row>
    <row r="269" spans="1:14" x14ac:dyDescent="0.2">
      <c r="A269" s="1274" t="s">
        <v>101</v>
      </c>
      <c r="B269" s="503">
        <v>2570</v>
      </c>
      <c r="C269" s="1673"/>
      <c r="D269" s="1573">
        <v>34362</v>
      </c>
      <c r="E269" s="1673"/>
      <c r="F269" s="1673"/>
      <c r="G269" s="1673"/>
      <c r="H269" s="1673"/>
      <c r="I269" s="1673"/>
      <c r="J269" s="1673"/>
      <c r="K269" s="1678">
        <f t="shared" si="22"/>
        <v>34362</v>
      </c>
      <c r="L269" s="1573">
        <v>223375</v>
      </c>
    </row>
    <row r="270" spans="1:14" ht="12.75" customHeight="1" thickBot="1" x14ac:dyDescent="0.25">
      <c r="A270" s="1380" t="s">
        <v>713</v>
      </c>
      <c r="B270" s="1383" t="s">
        <v>35</v>
      </c>
      <c r="C270" s="1673"/>
      <c r="D270" s="1674">
        <f>SUM(D263:D269)</f>
        <v>6025299</v>
      </c>
      <c r="E270" s="1673"/>
      <c r="F270" s="1673"/>
      <c r="G270" s="1673"/>
      <c r="H270" s="1673"/>
      <c r="I270" s="1673"/>
      <c r="J270" s="1673"/>
      <c r="K270" s="1674">
        <f>SUM(K263:K269)</f>
        <v>6025299</v>
      </c>
      <c r="L270" s="1674">
        <f>SUM(L263:L269)</f>
        <v>5884599</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v>11209</v>
      </c>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v>90644</v>
      </c>
      <c r="E274" s="1673"/>
      <c r="F274" s="1673"/>
      <c r="G274" s="1673"/>
      <c r="H274" s="1673"/>
      <c r="I274" s="1673"/>
      <c r="J274" s="1673"/>
      <c r="K274" s="1678">
        <f>D274</f>
        <v>90644</v>
      </c>
      <c r="L274" s="1573">
        <v>96414</v>
      </c>
    </row>
    <row r="275" spans="1:12" x14ac:dyDescent="0.2">
      <c r="A275" s="1274" t="s">
        <v>399</v>
      </c>
      <c r="B275" s="503">
        <v>2640</v>
      </c>
      <c r="C275" s="1673"/>
      <c r="D275" s="1573">
        <v>262001</v>
      </c>
      <c r="E275" s="1673"/>
      <c r="F275" s="1673"/>
      <c r="G275" s="1673"/>
      <c r="H275" s="1673"/>
      <c r="I275" s="1673"/>
      <c r="J275" s="1673"/>
      <c r="K275" s="1678">
        <f>D275</f>
        <v>262001</v>
      </c>
      <c r="L275" s="1573">
        <v>297984</v>
      </c>
    </row>
    <row r="276" spans="1:12" x14ac:dyDescent="0.2">
      <c r="A276" s="1274" t="s">
        <v>400</v>
      </c>
      <c r="B276" s="503">
        <v>2660</v>
      </c>
      <c r="C276" s="1673"/>
      <c r="D276" s="1573">
        <v>590965</v>
      </c>
      <c r="E276" s="1673"/>
      <c r="F276" s="1673"/>
      <c r="G276" s="1673"/>
      <c r="H276" s="1673"/>
      <c r="I276" s="1673"/>
      <c r="J276" s="1673"/>
      <c r="K276" s="1678">
        <f>D276</f>
        <v>590965</v>
      </c>
      <c r="L276" s="1573">
        <v>581698</v>
      </c>
    </row>
    <row r="277" spans="1:12" ht="12.75" customHeight="1" thickBot="1" x14ac:dyDescent="0.25">
      <c r="A277" s="1393" t="s">
        <v>37</v>
      </c>
      <c r="B277" s="1381" t="s">
        <v>36</v>
      </c>
      <c r="C277" s="1673"/>
      <c r="D277" s="1674">
        <f>SUM(D272:D276)</f>
        <v>943610</v>
      </c>
      <c r="E277" s="1673"/>
      <c r="F277" s="1673"/>
      <c r="G277" s="1673"/>
      <c r="H277" s="1673"/>
      <c r="I277" s="1673"/>
      <c r="J277" s="1673"/>
      <c r="K277" s="1674">
        <f>SUM(K272:K276)</f>
        <v>943610</v>
      </c>
      <c r="L277" s="1674">
        <f>SUM(L272:L276)</f>
        <v>987305</v>
      </c>
    </row>
    <row r="278" spans="1:12" ht="13.5" customHeight="1" thickTop="1" x14ac:dyDescent="0.2">
      <c r="A278" s="1280" t="s">
        <v>972</v>
      </c>
      <c r="B278" s="531" t="s">
        <v>569</v>
      </c>
      <c r="C278" s="1673"/>
      <c r="D278" s="1695">
        <v>73287</v>
      </c>
      <c r="E278" s="1673"/>
      <c r="F278" s="1673"/>
      <c r="G278" s="1673"/>
      <c r="H278" s="1673"/>
      <c r="I278" s="1673"/>
      <c r="J278" s="1673"/>
      <c r="K278" s="1696">
        <f>D278</f>
        <v>73287</v>
      </c>
      <c r="L278" s="1695">
        <v>62291</v>
      </c>
    </row>
    <row r="279" spans="1:12" ht="12.75" customHeight="1" thickBot="1" x14ac:dyDescent="0.25">
      <c r="A279" s="1400" t="s">
        <v>805</v>
      </c>
      <c r="B279" s="1387">
        <v>2000</v>
      </c>
      <c r="C279" s="1673"/>
      <c r="D279" s="1681">
        <f>SUM(D238,D243,D257,D261,D270,D277,D278)</f>
        <v>10942284</v>
      </c>
      <c r="E279" s="1673"/>
      <c r="F279" s="1673"/>
      <c r="G279" s="1673"/>
      <c r="H279" s="1673"/>
      <c r="I279" s="1673"/>
      <c r="J279" s="1673"/>
      <c r="K279" s="1681">
        <f>SUM(K238,K243,K257,K261,K270,K277,K278)</f>
        <v>10942284</v>
      </c>
      <c r="L279" s="1681">
        <f>SUM(L238,L243,L257,L261,L270,L277,L278)</f>
        <v>10975046</v>
      </c>
    </row>
    <row r="280" spans="1:12" ht="15.75" customHeight="1" thickTop="1" thickBot="1" x14ac:dyDescent="0.25">
      <c r="A280" s="1362" t="s">
        <v>869</v>
      </c>
      <c r="B280" s="1351">
        <v>3000</v>
      </c>
      <c r="C280" s="1673"/>
      <c r="D280" s="1651">
        <v>199716</v>
      </c>
      <c r="E280" s="1673"/>
      <c r="F280" s="1673"/>
      <c r="G280" s="1673"/>
      <c r="H280" s="1673"/>
      <c r="I280" s="1673"/>
      <c r="J280" s="1673"/>
      <c r="K280" s="1687">
        <f>D280</f>
        <v>199716</v>
      </c>
      <c r="L280" s="1651">
        <v>185974</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1812</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391" t="s">
        <v>501</v>
      </c>
      <c r="B295" s="2392"/>
      <c r="C295" s="1673"/>
      <c r="D295" s="1674">
        <f>SUM(D229,D279,D280,D285)</f>
        <v>16525645</v>
      </c>
      <c r="E295" s="1673"/>
      <c r="F295" s="1673"/>
      <c r="G295" s="1673"/>
      <c r="H295" s="1674">
        <f>H293</f>
        <v>0</v>
      </c>
      <c r="I295" s="1673"/>
      <c r="J295" s="1673"/>
      <c r="K295" s="1674">
        <f>SUM(K229,K279,K280,K285,K293,K294)</f>
        <v>16525645</v>
      </c>
      <c r="L295" s="1674">
        <f>SUM(L229,L279,L280,L285,L293,L294)</f>
        <v>16092028</v>
      </c>
    </row>
    <row r="296" spans="1:14" ht="13.5" thickTop="1" x14ac:dyDescent="0.2">
      <c r="A296" s="2400" t="s">
        <v>988</v>
      </c>
      <c r="B296" s="2401"/>
      <c r="C296" s="1673"/>
      <c r="D296" s="1675"/>
      <c r="E296" s="1673"/>
      <c r="F296" s="1673"/>
      <c r="G296" s="1673"/>
      <c r="H296" s="1707"/>
      <c r="I296" s="1673"/>
      <c r="J296" s="1673"/>
      <c r="K296" s="1689">
        <f>'Revenues 9-14'!G268-'Expenditures 15-22'!K295</f>
        <v>541839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899999999999999" customHeight="1" x14ac:dyDescent="0.2">
      <c r="A298" s="2383" t="s">
        <v>142</v>
      </c>
      <c r="B298" s="2377"/>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c r="F301" s="1573"/>
      <c r="G301" s="1573"/>
      <c r="H301" s="1573"/>
      <c r="I301" s="1574"/>
      <c r="J301" s="1574"/>
      <c r="K301" s="1672">
        <f>SUM(C301:J301)</f>
        <v>0</v>
      </c>
      <c r="L301" s="1574">
        <v>300000</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300000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1817</v>
      </c>
      <c r="B306" s="562" t="s">
        <v>1812</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388" t="s">
        <v>274</v>
      </c>
      <c r="B312" s="2389"/>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300000</v>
      </c>
      <c r="M312" s="539"/>
      <c r="N312" s="539"/>
    </row>
    <row r="313" spans="1:14" ht="13.5" thickTop="1" x14ac:dyDescent="0.2">
      <c r="A313" s="2384" t="s">
        <v>988</v>
      </c>
      <c r="B313" s="2385"/>
      <c r="C313" s="1677"/>
      <c r="D313" s="1677"/>
      <c r="E313" s="1677"/>
      <c r="F313" s="1677"/>
      <c r="G313" s="1677"/>
      <c r="H313" s="1677"/>
      <c r="I313" s="1677"/>
      <c r="J313" s="1677"/>
      <c r="K313" s="1696">
        <f>'Revenues 9-14'!H268-'Expenditures 15-22'!K312</f>
        <v>1495918</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899999999999999" customHeight="1" x14ac:dyDescent="0.2">
      <c r="A315" s="2397" t="s">
        <v>148</v>
      </c>
      <c r="B315" s="239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899999999999999" customHeight="1" x14ac:dyDescent="0.2">
      <c r="A317" s="2399" t="s">
        <v>891</v>
      </c>
      <c r="B317" s="2398"/>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v>24356</v>
      </c>
      <c r="F319" s="1574"/>
      <c r="G319" s="1574"/>
      <c r="H319" s="1574"/>
      <c r="I319" s="1574"/>
      <c r="J319" s="1574"/>
      <c r="K319" s="1672">
        <f>SUM(C319:J319)</f>
        <v>24356</v>
      </c>
      <c r="L319" s="1574">
        <v>10000</v>
      </c>
      <c r="M319" s="539"/>
      <c r="N319" s="539"/>
    </row>
    <row r="320" spans="1:14" s="548" customFormat="1" x14ac:dyDescent="0.2">
      <c r="A320" s="1293" t="s">
        <v>1778</v>
      </c>
      <c r="B320" s="568" t="s">
        <v>279</v>
      </c>
      <c r="C320" s="1574"/>
      <c r="D320" s="1574"/>
      <c r="E320" s="1574">
        <v>2656830</v>
      </c>
      <c r="F320" s="1574"/>
      <c r="G320" s="1574"/>
      <c r="H320" s="1574"/>
      <c r="I320" s="1574"/>
      <c r="J320" s="1574"/>
      <c r="K320" s="1672">
        <f t="shared" ref="K320:K327" si="24">SUM(C320:J320)</f>
        <v>2656830</v>
      </c>
      <c r="L320" s="1574">
        <v>3500000</v>
      </c>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281</v>
      </c>
      <c r="C322" s="1574"/>
      <c r="D322" s="1574"/>
      <c r="E322" s="1574">
        <v>106287</v>
      </c>
      <c r="F322" s="1574"/>
      <c r="G322" s="1574"/>
      <c r="H322" s="1574"/>
      <c r="I322" s="1574"/>
      <c r="J322" s="1574"/>
      <c r="K322" s="1672">
        <f t="shared" si="24"/>
        <v>106287</v>
      </c>
      <c r="L322" s="1574">
        <v>140000</v>
      </c>
      <c r="M322" s="539"/>
      <c r="N322" s="539"/>
    </row>
    <row r="323" spans="1:14" s="548" customFormat="1" x14ac:dyDescent="0.2">
      <c r="A323" s="1289" t="s">
        <v>696</v>
      </c>
      <c r="B323" s="567" t="s">
        <v>282</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283</v>
      </c>
      <c r="C324" s="1574"/>
      <c r="D324" s="1574"/>
      <c r="E324" s="1574">
        <v>1784684</v>
      </c>
      <c r="F324" s="1574"/>
      <c r="G324" s="1574"/>
      <c r="H324" s="1574"/>
      <c r="I324" s="1574"/>
      <c r="J324" s="1574"/>
      <c r="K324" s="1672">
        <f t="shared" si="24"/>
        <v>1784684</v>
      </c>
      <c r="L324" s="1574">
        <v>50000</v>
      </c>
      <c r="M324" s="539"/>
      <c r="N324" s="539"/>
    </row>
    <row r="325" spans="1:14" s="548" customFormat="1" ht="22.5" x14ac:dyDescent="0.2">
      <c r="A325" s="1289" t="s">
        <v>1021</v>
      </c>
      <c r="B325" s="568" t="s">
        <v>284</v>
      </c>
      <c r="C325" s="1574">
        <v>375104</v>
      </c>
      <c r="D325" s="1574">
        <v>40361</v>
      </c>
      <c r="E325" s="1574">
        <v>1155357</v>
      </c>
      <c r="F325" s="1574"/>
      <c r="G325" s="1574"/>
      <c r="H325" s="1574"/>
      <c r="I325" s="1574"/>
      <c r="J325" s="1574"/>
      <c r="K325" s="1672">
        <f t="shared" si="24"/>
        <v>1570822</v>
      </c>
      <c r="L325" s="1574">
        <v>1598138</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168649</v>
      </c>
      <c r="F327" s="1574"/>
      <c r="G327" s="1574"/>
      <c r="H327" s="1574"/>
      <c r="I327" s="1574"/>
      <c r="J327" s="1574"/>
      <c r="K327" s="1672">
        <f t="shared" si="24"/>
        <v>168649</v>
      </c>
      <c r="L327" s="1574">
        <v>300000</v>
      </c>
      <c r="M327" s="539"/>
      <c r="N327" s="539"/>
    </row>
    <row r="328" spans="1:14" s="548" customFormat="1" x14ac:dyDescent="0.2">
      <c r="A328" s="1290" t="s">
        <v>468</v>
      </c>
      <c r="B328" s="562" t="s">
        <v>1121</v>
      </c>
      <c r="C328" s="1579"/>
      <c r="D328" s="1579"/>
      <c r="E328" s="1579">
        <v>406747</v>
      </c>
      <c r="F328" s="1579"/>
      <c r="G328" s="1579"/>
      <c r="H328" s="1579"/>
      <c r="I328" s="1579"/>
      <c r="J328" s="1579"/>
      <c r="K328" s="1713">
        <f>SUM(C328:J328)</f>
        <v>406747</v>
      </c>
      <c r="L328" s="1579">
        <v>400000</v>
      </c>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711</v>
      </c>
      <c r="B330" s="1381" t="s">
        <v>564</v>
      </c>
      <c r="C330" s="1674">
        <f>SUM(C319:C329)</f>
        <v>375104</v>
      </c>
      <c r="D330" s="1674">
        <f t="shared" ref="D330:J330" si="25">SUM(D319:D329)</f>
        <v>40361</v>
      </c>
      <c r="E330" s="1674">
        <f t="shared" si="25"/>
        <v>6302910</v>
      </c>
      <c r="F330" s="1674">
        <f t="shared" si="25"/>
        <v>0</v>
      </c>
      <c r="G330" s="1674">
        <f t="shared" si="25"/>
        <v>0</v>
      </c>
      <c r="H330" s="1674">
        <f t="shared" si="25"/>
        <v>0</v>
      </c>
      <c r="I330" s="1674">
        <f t="shared" si="25"/>
        <v>0</v>
      </c>
      <c r="J330" s="1674">
        <f t="shared" si="25"/>
        <v>0</v>
      </c>
      <c r="K330" s="1674">
        <f>SUM(K319:K329)</f>
        <v>6718375</v>
      </c>
      <c r="L330" s="1674">
        <f>SUM(L319:L329)</f>
        <v>5998138</v>
      </c>
      <c r="M330" s="539"/>
      <c r="N330" s="539"/>
    </row>
    <row r="331" spans="1:14" s="548" customFormat="1" ht="12.75" customHeight="1" thickTop="1" x14ac:dyDescent="0.2">
      <c r="A331" s="1467" t="s">
        <v>1818</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1812</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1814</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1819</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375104</v>
      </c>
      <c r="D342" s="1674">
        <f>SUM(D330)</f>
        <v>40361</v>
      </c>
      <c r="E342" s="1674">
        <f>SUM(E330)</f>
        <v>6302910</v>
      </c>
      <c r="F342" s="1674">
        <f>SUM(F330)</f>
        <v>0</v>
      </c>
      <c r="G342" s="1674">
        <f>SUM(G330)</f>
        <v>0</v>
      </c>
      <c r="H342" s="1674">
        <f>SUM(H330,H334,H340)</f>
        <v>0</v>
      </c>
      <c r="I342" s="1674">
        <f>SUM(I330)</f>
        <v>0</v>
      </c>
      <c r="J342" s="1674">
        <f>SUM(J330)</f>
        <v>0</v>
      </c>
      <c r="K342" s="1674">
        <f>SUM(K330,K334,K340)</f>
        <v>6718375</v>
      </c>
      <c r="L342" s="1681">
        <f>SUM(L330,L334,L340,L341)</f>
        <v>5998138</v>
      </c>
    </row>
    <row r="343" spans="1:14" ht="12.75" customHeight="1" thickTop="1" x14ac:dyDescent="0.2">
      <c r="A343" s="2386" t="s">
        <v>988</v>
      </c>
      <c r="B343" s="2387"/>
      <c r="C343" s="1673"/>
      <c r="D343" s="1673"/>
      <c r="E343" s="1673"/>
      <c r="F343" s="1673"/>
      <c r="G343" s="1673"/>
      <c r="H343" s="1673"/>
      <c r="I343" s="1673"/>
      <c r="J343" s="1673"/>
      <c r="K343" s="1689">
        <f>'Revenues 9-14'!J268-'Expenditures 15-22'!K342</f>
        <v>-1360590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899999999999999" customHeight="1" x14ac:dyDescent="0.2">
      <c r="A345" s="2376" t="s">
        <v>959</v>
      </c>
      <c r="B345" s="2377"/>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0</v>
      </c>
      <c r="F348" s="1573"/>
      <c r="G348" s="1573">
        <v>1496746</v>
      </c>
      <c r="H348" s="1573"/>
      <c r="I348" s="1574"/>
      <c r="J348" s="1574"/>
      <c r="K348" s="1672">
        <f>SUM(C348:J348)</f>
        <v>1496746</v>
      </c>
      <c r="L348" s="1573">
        <v>4000000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1496746</v>
      </c>
      <c r="H350" s="1674">
        <f t="shared" si="26"/>
        <v>0</v>
      </c>
      <c r="I350" s="1674">
        <f t="shared" si="26"/>
        <v>0</v>
      </c>
      <c r="J350" s="1674">
        <f t="shared" si="26"/>
        <v>0</v>
      </c>
      <c r="K350" s="1674">
        <f t="shared" si="26"/>
        <v>1496746</v>
      </c>
      <c r="L350" s="1674">
        <f t="shared" si="26"/>
        <v>4000000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1496746</v>
      </c>
      <c r="H352" s="1674">
        <f t="shared" si="27"/>
        <v>0</v>
      </c>
      <c r="I352" s="1674">
        <f t="shared" si="27"/>
        <v>0</v>
      </c>
      <c r="J352" s="1674">
        <f t="shared" si="27"/>
        <v>0</v>
      </c>
      <c r="K352" s="1674">
        <f t="shared" si="27"/>
        <v>1496746</v>
      </c>
      <c r="L352" s="1674">
        <f t="shared" si="27"/>
        <v>4000000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1820</v>
      </c>
      <c r="B354" s="557" t="s">
        <v>1812</v>
      </c>
      <c r="C354" s="1673"/>
      <c r="D354" s="1673"/>
      <c r="E354" s="1673"/>
      <c r="F354" s="1673"/>
      <c r="G354" s="1673"/>
      <c r="H354" s="1579"/>
      <c r="I354" s="1716"/>
      <c r="J354" s="1673"/>
      <c r="K354" s="1713">
        <f>H354</f>
        <v>0</v>
      </c>
      <c r="L354" s="1577"/>
    </row>
    <row r="355" spans="1:14" ht="12.75" customHeight="1" x14ac:dyDescent="0.2">
      <c r="A355" s="1283" t="s">
        <v>1821</v>
      </c>
      <c r="B355" s="562" t="s">
        <v>1814</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1496746</v>
      </c>
      <c r="H367" s="1674">
        <f t="shared" si="28"/>
        <v>0</v>
      </c>
      <c r="I367" s="1674">
        <f t="shared" si="28"/>
        <v>0</v>
      </c>
      <c r="J367" s="1674">
        <f t="shared" si="28"/>
        <v>0</v>
      </c>
      <c r="K367" s="1674">
        <f t="shared" si="28"/>
        <v>1496746</v>
      </c>
      <c r="L367" s="1674">
        <f t="shared" si="28"/>
        <v>4000000</v>
      </c>
    </row>
    <row r="368" spans="1:14" ht="13.5" thickTop="1" x14ac:dyDescent="0.2">
      <c r="A368" s="2400" t="s">
        <v>988</v>
      </c>
      <c r="B368" s="2401"/>
      <c r="C368" s="1694"/>
      <c r="D368" s="1694"/>
      <c r="E368" s="1677"/>
      <c r="F368" s="1677"/>
      <c r="G368" s="1677"/>
      <c r="H368" s="1677"/>
      <c r="I368" s="1677"/>
      <c r="J368" s="1676"/>
      <c r="K368" s="1672">
        <f>'Revenues 9-14'!K268-'Expenditures 15-22'!K367</f>
        <v>2854566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34998626667073579"/>
  </sheetPr>
  <dimension ref="A1:H36"/>
  <sheetViews>
    <sheetView showGridLines="0" defaultGridColor="0" colorId="8" zoomScale="110" zoomScaleNormal="110" workbookViewId="0">
      <selection sqref="A1:F1"/>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12" t="s">
        <v>104</v>
      </c>
      <c r="B1" s="307"/>
      <c r="C1" s="307"/>
      <c r="D1" s="307"/>
      <c r="E1" s="307"/>
    </row>
    <row r="2" spans="1:8" ht="39.75" customHeight="1" x14ac:dyDescent="0.2">
      <c r="A2" s="2402" t="s">
        <v>1775</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403"/>
      <c r="B3" s="1294"/>
      <c r="C3" s="1295"/>
      <c r="D3" s="1296" t="s">
        <v>254</v>
      </c>
      <c r="E3" s="1295"/>
      <c r="F3" s="1296" t="s">
        <v>255</v>
      </c>
    </row>
    <row r="4" spans="1:8" ht="13.9" customHeight="1" x14ac:dyDescent="0.2">
      <c r="A4" s="579" t="s">
        <v>1144</v>
      </c>
      <c r="B4" s="1721">
        <f>'Revenues 9-14'!C5</f>
        <v>170878537</v>
      </c>
      <c r="C4" s="1722">
        <v>83943779</v>
      </c>
      <c r="D4" s="1723">
        <f>B4-C4</f>
        <v>86934758</v>
      </c>
      <c r="E4" s="1722">
        <v>175561526</v>
      </c>
      <c r="F4" s="1723">
        <f>E4-C4</f>
        <v>91617747</v>
      </c>
    </row>
    <row r="5" spans="1:8" ht="13.9" customHeight="1" x14ac:dyDescent="0.2">
      <c r="A5" s="579" t="s">
        <v>864</v>
      </c>
      <c r="B5" s="1724">
        <f>'Revenues 9-14'!D5</f>
        <v>35008672</v>
      </c>
      <c r="C5" s="1664">
        <v>16937913</v>
      </c>
      <c r="D5" s="1725">
        <f t="shared" ref="D5:D18" si="0">B5-C5</f>
        <v>18070759</v>
      </c>
      <c r="E5" s="1664">
        <v>35424255</v>
      </c>
      <c r="F5" s="1725">
        <f>E5-C5</f>
        <v>18486342</v>
      </c>
    </row>
    <row r="6" spans="1:8" ht="13.9" customHeight="1" x14ac:dyDescent="0.2">
      <c r="A6" s="579" t="s">
        <v>407</v>
      </c>
      <c r="B6" s="1724">
        <f>'Revenues 9-14'!E5</f>
        <v>32997333</v>
      </c>
      <c r="C6" s="1664">
        <v>15875909</v>
      </c>
      <c r="D6" s="1725">
        <f t="shared" si="0"/>
        <v>17121424</v>
      </c>
      <c r="E6" s="1664">
        <v>33203161</v>
      </c>
      <c r="F6" s="1725">
        <f t="shared" ref="F6:F18" si="1">E6-C6</f>
        <v>17327252</v>
      </c>
    </row>
    <row r="7" spans="1:8" ht="13.9" customHeight="1" x14ac:dyDescent="0.2">
      <c r="A7" s="579" t="s">
        <v>154</v>
      </c>
      <c r="B7" s="1724">
        <f>'Revenues 9-14'!F5</f>
        <v>14677912</v>
      </c>
      <c r="C7" s="1664">
        <v>5744638</v>
      </c>
      <c r="D7" s="1725">
        <f t="shared" si="0"/>
        <v>8933274</v>
      </c>
      <c r="E7" s="1664">
        <v>12014439</v>
      </c>
      <c r="F7" s="1725">
        <f t="shared" si="1"/>
        <v>6269801</v>
      </c>
    </row>
    <row r="8" spans="1:8" ht="13.9" customHeight="1" x14ac:dyDescent="0.2">
      <c r="A8" s="579" t="s">
        <v>1168</v>
      </c>
      <c r="B8" s="1724">
        <f>'Revenues 9-14'!G5</f>
        <v>0</v>
      </c>
      <c r="C8" s="1664"/>
      <c r="D8" s="1725">
        <f t="shared" si="0"/>
        <v>0</v>
      </c>
      <c r="E8" s="1664"/>
      <c r="F8" s="1725">
        <f t="shared" si="1"/>
        <v>0</v>
      </c>
    </row>
    <row r="9" spans="1:8" ht="13.9" customHeight="1" x14ac:dyDescent="0.2">
      <c r="A9" s="579" t="s">
        <v>404</v>
      </c>
      <c r="B9" s="1724">
        <f>'Revenues 9-14'!H5</f>
        <v>0</v>
      </c>
      <c r="C9" s="1664"/>
      <c r="D9" s="1725">
        <f t="shared" si="0"/>
        <v>0</v>
      </c>
      <c r="E9" s="1664"/>
      <c r="F9" s="1725">
        <f t="shared" si="1"/>
        <v>0</v>
      </c>
    </row>
    <row r="10" spans="1:8" ht="13.9" customHeight="1" x14ac:dyDescent="0.2">
      <c r="A10" s="579" t="s">
        <v>403</v>
      </c>
      <c r="B10" s="1724">
        <f>'Revenues 9-14'!I5</f>
        <v>0</v>
      </c>
      <c r="C10" s="1664"/>
      <c r="D10" s="1725">
        <f t="shared" si="0"/>
        <v>0</v>
      </c>
      <c r="E10" s="1664"/>
      <c r="F10" s="1725">
        <f t="shared" si="1"/>
        <v>0</v>
      </c>
    </row>
    <row r="11" spans="1:8" x14ac:dyDescent="0.2">
      <c r="A11" s="579" t="s">
        <v>405</v>
      </c>
      <c r="B11" s="1724">
        <f>'Revenues 9-14'!J5</f>
        <v>5356607</v>
      </c>
      <c r="C11" s="1664">
        <v>2727744</v>
      </c>
      <c r="D11" s="1725">
        <f t="shared" si="0"/>
        <v>2628863</v>
      </c>
      <c r="E11" s="1664">
        <v>5704853</v>
      </c>
      <c r="F11" s="1725">
        <f t="shared" si="1"/>
        <v>2977109</v>
      </c>
    </row>
    <row r="12" spans="1:8" ht="13.9" customHeight="1" x14ac:dyDescent="0.2">
      <c r="A12" s="579" t="s">
        <v>156</v>
      </c>
      <c r="B12" s="1724">
        <f>'Revenues 9-14'!K5</f>
        <v>4350371</v>
      </c>
      <c r="C12" s="1664">
        <v>2229861</v>
      </c>
      <c r="D12" s="1725">
        <f t="shared" si="0"/>
        <v>2120510</v>
      </c>
      <c r="E12" s="1664">
        <v>4663572</v>
      </c>
      <c r="F12" s="1725">
        <f t="shared" si="1"/>
        <v>2433711</v>
      </c>
    </row>
    <row r="13" spans="1:8" ht="13.9" customHeight="1" x14ac:dyDescent="0.2">
      <c r="A13" s="579" t="s">
        <v>929</v>
      </c>
      <c r="B13" s="1724">
        <f>SUM('Revenues 9-14'!C6:D6)</f>
        <v>0</v>
      </c>
      <c r="C13" s="1664"/>
      <c r="D13" s="1725">
        <f t="shared" si="0"/>
        <v>0</v>
      </c>
      <c r="E13" s="1664"/>
      <c r="F13" s="1725">
        <f t="shared" si="1"/>
        <v>0</v>
      </c>
    </row>
    <row r="14" spans="1:8" ht="13.9" customHeight="1" x14ac:dyDescent="0.2">
      <c r="A14" s="579" t="s">
        <v>406</v>
      </c>
      <c r="B14" s="1724">
        <f>SUM('Revenues 9-14'!C7:D7,'Revenues 9-14'!F7:H7)</f>
        <v>34005944</v>
      </c>
      <c r="C14" s="1664">
        <v>16754915</v>
      </c>
      <c r="D14" s="1725">
        <f t="shared" si="0"/>
        <v>17251029</v>
      </c>
      <c r="E14" s="1664">
        <v>35041530</v>
      </c>
      <c r="F14" s="1725">
        <f t="shared" si="1"/>
        <v>18286615</v>
      </c>
    </row>
    <row r="15" spans="1:8" ht="13.9" customHeight="1" x14ac:dyDescent="0.2">
      <c r="A15" s="579" t="s">
        <v>1147</v>
      </c>
      <c r="B15" s="1724">
        <f>SUM('Revenues 9-14'!D9:E9,'Revenues 9-14'!H9)</f>
        <v>0</v>
      </c>
      <c r="C15" s="1664"/>
      <c r="D15" s="1725">
        <f t="shared" si="0"/>
        <v>0</v>
      </c>
      <c r="E15" s="1664"/>
      <c r="F15" s="1725">
        <f t="shared" si="1"/>
        <v>0</v>
      </c>
    </row>
    <row r="16" spans="1:8" ht="13.9" customHeight="1" x14ac:dyDescent="0.2">
      <c r="A16" s="579" t="s">
        <v>1148</v>
      </c>
      <c r="B16" s="1724">
        <f>'Revenues 9-14'!G8</f>
        <v>13020880</v>
      </c>
      <c r="C16" s="1664">
        <f>3039789+3282587</f>
        <v>6322376</v>
      </c>
      <c r="D16" s="1725">
        <f t="shared" si="0"/>
        <v>6698504</v>
      </c>
      <c r="E16" s="1664">
        <f>6357469+6865262</f>
        <v>13222731</v>
      </c>
      <c r="F16" s="1725">
        <f t="shared" si="1"/>
        <v>6900355</v>
      </c>
    </row>
    <row r="17" spans="1:6" ht="13.9" customHeight="1" x14ac:dyDescent="0.2">
      <c r="A17" s="579" t="s">
        <v>1149</v>
      </c>
      <c r="B17" s="1724">
        <f>'Revenues 9-14'!C10</f>
        <v>0</v>
      </c>
      <c r="C17" s="1664"/>
      <c r="D17" s="1725">
        <f t="shared" si="0"/>
        <v>0</v>
      </c>
      <c r="E17" s="1664"/>
      <c r="F17" s="1725">
        <f t="shared" si="1"/>
        <v>0</v>
      </c>
    </row>
    <row r="18" spans="1:6" ht="13.9" customHeight="1" x14ac:dyDescent="0.2">
      <c r="A18" s="579" t="s">
        <v>756</v>
      </c>
      <c r="B18" s="1724">
        <f>SUM('Revenues 9-14'!C11:K11)</f>
        <v>0</v>
      </c>
      <c r="C18" s="1664"/>
      <c r="D18" s="1725">
        <f t="shared" si="0"/>
        <v>0</v>
      </c>
      <c r="E18" s="1664"/>
      <c r="F18" s="1725">
        <f t="shared" si="1"/>
        <v>0</v>
      </c>
    </row>
    <row r="19" spans="1:6" ht="13.9" customHeight="1" thickBot="1" x14ac:dyDescent="0.25">
      <c r="A19" s="1432" t="s">
        <v>1150</v>
      </c>
      <c r="B19" s="1726">
        <f>SUM(B4:B18)</f>
        <v>310296256</v>
      </c>
      <c r="C19" s="1726">
        <f>SUM(C4:C18)</f>
        <v>150537135</v>
      </c>
      <c r="D19" s="1726">
        <f>SUM(D4:D18)</f>
        <v>159759121</v>
      </c>
      <c r="E19" s="1726">
        <f>SUM(E4:E18)</f>
        <v>314836067</v>
      </c>
      <c r="F19" s="1726">
        <f>SUM(F4:F18)</f>
        <v>164298932</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34998626667073579"/>
    <pageSetUpPr fitToPage="1"/>
  </sheetPr>
  <dimension ref="A1:K59"/>
  <sheetViews>
    <sheetView showGridLines="0" defaultGridColor="0" topLeftCell="A26" colorId="8" zoomScale="110" zoomScaleNormal="110" workbookViewId="0">
      <selection sqref="A1:F1"/>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408" t="s">
        <v>624</v>
      </c>
      <c r="B1" s="2409"/>
      <c r="C1" s="585"/>
    </row>
    <row r="2" spans="1:7" ht="33.75" x14ac:dyDescent="0.2">
      <c r="A2" s="2417" t="s">
        <v>1775</v>
      </c>
      <c r="B2" s="24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421" t="s">
        <v>1103</v>
      </c>
      <c r="B3" s="2422"/>
      <c r="C3" s="2410"/>
      <c r="D3" s="2411"/>
      <c r="E3" s="2411"/>
      <c r="F3" s="2412"/>
    </row>
    <row r="4" spans="1:7" ht="12.75" customHeight="1" thickBot="1" x14ac:dyDescent="0.25">
      <c r="A4" s="2419" t="s">
        <v>625</v>
      </c>
      <c r="B4" s="2420"/>
      <c r="C4" s="1656"/>
      <c r="D4" s="1656"/>
      <c r="E4" s="1656"/>
      <c r="F4" s="1732">
        <f>SUM(C4+D4)-E4</f>
        <v>0</v>
      </c>
    </row>
    <row r="5" spans="1:7" ht="15.75" customHeight="1" thickTop="1" x14ac:dyDescent="0.2">
      <c r="A5" s="2404" t="s">
        <v>1100</v>
      </c>
      <c r="B5" s="2405"/>
      <c r="C5" s="2413"/>
      <c r="D5" s="2414"/>
      <c r="E5" s="2414"/>
      <c r="F5" s="2415"/>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406" t="s">
        <v>626</v>
      </c>
      <c r="B15" s="2407"/>
      <c r="C15" s="1732">
        <f>SUM(C6:C14)</f>
        <v>0</v>
      </c>
      <c r="D15" s="1732">
        <f>SUM(D6:D14)</f>
        <v>0</v>
      </c>
      <c r="E15" s="1732">
        <f>SUM(E6:E14)</f>
        <v>0</v>
      </c>
      <c r="F15" s="1732">
        <f>SUM(F6:F14)</f>
        <v>0</v>
      </c>
      <c r="G15" s="473"/>
    </row>
    <row r="16" spans="1:7" s="197" customFormat="1" ht="15.75" customHeight="1" thickTop="1" x14ac:dyDescent="0.2">
      <c r="A16" s="2416" t="s">
        <v>1101</v>
      </c>
      <c r="B16" s="2405"/>
      <c r="C16" s="2413"/>
      <c r="D16" s="2414"/>
      <c r="E16" s="2414"/>
      <c r="F16" s="2415"/>
    </row>
    <row r="17" spans="1:11" ht="12.75" customHeight="1" thickBot="1" x14ac:dyDescent="0.25">
      <c r="A17" s="2429" t="s">
        <v>64</v>
      </c>
      <c r="B17" s="2430"/>
      <c r="C17" s="1733"/>
      <c r="D17" s="1664"/>
      <c r="E17" s="1733"/>
      <c r="F17" s="1732">
        <f>SUM(C17+D17)-E17</f>
        <v>0</v>
      </c>
    </row>
    <row r="18" spans="1:11" ht="12.75" customHeight="1" thickTop="1" thickBot="1" x14ac:dyDescent="0.25">
      <c r="A18" s="2429" t="s">
        <v>6</v>
      </c>
      <c r="B18" s="2430"/>
      <c r="C18" s="1733"/>
      <c r="D18" s="1664"/>
      <c r="E18" s="1733"/>
      <c r="F18" s="1732">
        <f>SUM(C18+D18)-E18</f>
        <v>0</v>
      </c>
    </row>
    <row r="19" spans="1:11" ht="12.75" customHeight="1" thickTop="1" thickBot="1" x14ac:dyDescent="0.25">
      <c r="A19" s="2429" t="s">
        <v>384</v>
      </c>
      <c r="B19" s="2430"/>
      <c r="C19" s="1733"/>
      <c r="D19" s="1664"/>
      <c r="E19" s="1733"/>
      <c r="F19" s="1732">
        <f>SUM(C19+D19)-E19</f>
        <v>0</v>
      </c>
    </row>
    <row r="20" spans="1:11" ht="12.75" customHeight="1" thickTop="1" thickBot="1" x14ac:dyDescent="0.25">
      <c r="A20" s="2429" t="s">
        <v>444</v>
      </c>
      <c r="B20" s="2430"/>
      <c r="C20" s="1733"/>
      <c r="D20" s="1664"/>
      <c r="E20" s="1733"/>
      <c r="F20" s="1732">
        <f>SUM(C20+D20)-E20</f>
        <v>0</v>
      </c>
    </row>
    <row r="21" spans="1:11" ht="14.25" thickTop="1" thickBot="1" x14ac:dyDescent="0.25">
      <c r="A21" s="2406" t="s">
        <v>627</v>
      </c>
      <c r="B21" s="2407"/>
      <c r="C21" s="1732">
        <f>SUM(C17:C20)</f>
        <v>0</v>
      </c>
      <c r="D21" s="1732">
        <f>SUM(D17:D20)</f>
        <v>0</v>
      </c>
      <c r="E21" s="1732">
        <f>SUM(E17:E20)</f>
        <v>0</v>
      </c>
      <c r="F21" s="1732">
        <f>SUM(F17:F20)</f>
        <v>0</v>
      </c>
      <c r="G21" s="473"/>
    </row>
    <row r="22" spans="1:11" ht="15.75" customHeight="1" thickTop="1" x14ac:dyDescent="0.2">
      <c r="A22" s="2431" t="s">
        <v>1102</v>
      </c>
      <c r="B22" s="2405"/>
      <c r="C22" s="2413"/>
      <c r="D22" s="2414"/>
      <c r="E22" s="2414"/>
      <c r="F22" s="2415"/>
    </row>
    <row r="23" spans="1:11" ht="13.5" thickBot="1" x14ac:dyDescent="0.25">
      <c r="A23" s="2419" t="s">
        <v>628</v>
      </c>
      <c r="B23" s="2420"/>
      <c r="C23" s="1656"/>
      <c r="D23" s="1656"/>
      <c r="E23" s="1656"/>
      <c r="F23" s="1732">
        <f>SUM(C23+D23)-E23</f>
        <v>0</v>
      </c>
      <c r="G23" s="473"/>
    </row>
    <row r="24" spans="1:11" ht="15.75" customHeight="1" thickTop="1" x14ac:dyDescent="0.2">
      <c r="A24" s="2431" t="s">
        <v>2002</v>
      </c>
      <c r="B24" s="2405"/>
      <c r="C24" s="2413"/>
      <c r="D24" s="2414"/>
      <c r="E24" s="2414"/>
      <c r="F24" s="2415"/>
    </row>
    <row r="25" spans="1:11" ht="13.5" thickBot="1" x14ac:dyDescent="0.25">
      <c r="A25" s="2419" t="s">
        <v>2003</v>
      </c>
      <c r="B25" s="2420"/>
      <c r="C25" s="1656"/>
      <c r="D25" s="1656"/>
      <c r="E25" s="1656"/>
      <c r="F25" s="1732">
        <f>SUM(C25+D25)-E25</f>
        <v>0</v>
      </c>
      <c r="G25" s="473"/>
    </row>
    <row r="26" spans="1:11" ht="15.75" customHeight="1" thickTop="1" x14ac:dyDescent="0.2">
      <c r="A26" s="2404" t="s">
        <v>651</v>
      </c>
      <c r="B26" s="2405"/>
      <c r="C26" s="589"/>
      <c r="D26" s="589"/>
      <c r="E26" s="589"/>
      <c r="F26" s="590"/>
    </row>
    <row r="27" spans="1:11" ht="13.5" thickBot="1" x14ac:dyDescent="0.25">
      <c r="A27" s="2406" t="s">
        <v>1060</v>
      </c>
      <c r="B27" s="2407"/>
      <c r="C27" s="1664"/>
      <c r="D27" s="1664"/>
      <c r="E27" s="1664"/>
      <c r="F27" s="1732">
        <f>SUM(C27+D27)-E27</f>
        <v>0</v>
      </c>
      <c r="G27" s="473"/>
    </row>
    <row r="28" spans="1:11" ht="7.5" customHeight="1" thickTop="1" x14ac:dyDescent="0.2">
      <c r="A28" s="489"/>
    </row>
    <row r="29" spans="1:11" ht="23.25" customHeight="1" x14ac:dyDescent="0.2">
      <c r="A29" s="2432" t="s">
        <v>577</v>
      </c>
      <c r="B29" s="2409"/>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1873</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2062</v>
      </c>
      <c r="B31" s="595">
        <v>37340</v>
      </c>
      <c r="C31" s="1734">
        <v>54499619</v>
      </c>
      <c r="D31" s="1735">
        <v>6</v>
      </c>
      <c r="E31" s="1734">
        <v>8743645</v>
      </c>
      <c r="F31" s="1734"/>
      <c r="G31" s="1734"/>
      <c r="H31" s="1734">
        <v>7678182</v>
      </c>
      <c r="I31" s="1736">
        <f>((E31+F31)-H31)+G31</f>
        <v>1065463</v>
      </c>
      <c r="J31" s="1734">
        <f>+I31/I49*170655113</f>
        <v>826928.19395208068</v>
      </c>
      <c r="K31" s="596"/>
    </row>
    <row r="32" spans="1:11" ht="12" customHeight="1" x14ac:dyDescent="0.2">
      <c r="A32" s="594" t="s">
        <v>2063</v>
      </c>
      <c r="B32" s="595">
        <v>37700</v>
      </c>
      <c r="C32" s="1734">
        <v>65999779</v>
      </c>
      <c r="D32" s="1735">
        <v>6</v>
      </c>
      <c r="E32" s="1734">
        <v>31643838</v>
      </c>
      <c r="F32" s="1734"/>
      <c r="G32" s="1734"/>
      <c r="H32" s="1734">
        <v>960659</v>
      </c>
      <c r="I32" s="1736">
        <f>((E32+F32)-H32)+G32</f>
        <v>30683179</v>
      </c>
      <c r="J32" s="1734">
        <f>+I32/I49*170655113</f>
        <v>23813859.134647012</v>
      </c>
      <c r="K32" s="596"/>
    </row>
    <row r="33" spans="1:11" ht="12" customHeight="1" x14ac:dyDescent="0.2">
      <c r="A33" s="594" t="s">
        <v>2064</v>
      </c>
      <c r="B33" s="595">
        <v>40057</v>
      </c>
      <c r="C33" s="1734">
        <v>34405000</v>
      </c>
      <c r="D33" s="1735" t="s">
        <v>2065</v>
      </c>
      <c r="E33" s="1734">
        <v>5650000</v>
      </c>
      <c r="F33" s="1734"/>
      <c r="G33" s="1734"/>
      <c r="H33" s="1734">
        <v>1350000</v>
      </c>
      <c r="I33" s="1736">
        <f t="shared" ref="I33:I48" si="1">((E33+F33)-H33)+G33</f>
        <v>4300000</v>
      </c>
      <c r="J33" s="1734">
        <f>+I33/I49*170655113</f>
        <v>3337320.2391767213</v>
      </c>
      <c r="K33" s="596"/>
    </row>
    <row r="34" spans="1:11" ht="12" customHeight="1" x14ac:dyDescent="0.2">
      <c r="A34" s="594" t="s">
        <v>2066</v>
      </c>
      <c r="B34" s="595">
        <v>40632</v>
      </c>
      <c r="C34" s="1734">
        <v>25925000</v>
      </c>
      <c r="D34" s="1735" t="s">
        <v>2067</v>
      </c>
      <c r="E34" s="1734">
        <v>7545000</v>
      </c>
      <c r="F34" s="1734"/>
      <c r="G34" s="1734"/>
      <c r="H34" s="1734">
        <v>2945000</v>
      </c>
      <c r="I34" s="1736">
        <f t="shared" si="1"/>
        <v>4600000</v>
      </c>
      <c r="J34" s="1734">
        <f>+I34/I49*170655113</f>
        <v>3570156.5349332369</v>
      </c>
      <c r="K34" s="597"/>
    </row>
    <row r="35" spans="1:11" ht="12" customHeight="1" x14ac:dyDescent="0.2">
      <c r="A35" s="594" t="s">
        <v>2068</v>
      </c>
      <c r="B35" s="595">
        <v>40632</v>
      </c>
      <c r="C35" s="1737">
        <v>2030000</v>
      </c>
      <c r="D35" s="1735">
        <v>6</v>
      </c>
      <c r="E35" s="1737">
        <v>430000</v>
      </c>
      <c r="F35" s="1737"/>
      <c r="G35" s="1737"/>
      <c r="H35" s="1737">
        <v>200000</v>
      </c>
      <c r="I35" s="1736">
        <f t="shared" si="1"/>
        <v>230000</v>
      </c>
      <c r="J35" s="1737">
        <f>+I35/I49*170655113</f>
        <v>178507.82674666186</v>
      </c>
      <c r="K35" s="597"/>
    </row>
    <row r="36" spans="1:11" ht="12" customHeight="1" x14ac:dyDescent="0.2">
      <c r="A36" s="594" t="s">
        <v>2069</v>
      </c>
      <c r="B36" s="595">
        <v>40983</v>
      </c>
      <c r="C36" s="1734">
        <v>31045000</v>
      </c>
      <c r="D36" s="1735" t="s">
        <v>2070</v>
      </c>
      <c r="E36" s="1734">
        <v>20770000</v>
      </c>
      <c r="F36" s="1734"/>
      <c r="G36" s="1734"/>
      <c r="H36" s="1734"/>
      <c r="I36" s="1736">
        <f t="shared" si="1"/>
        <v>20770000</v>
      </c>
      <c r="J36" s="1734">
        <f>+I36/I49*170655113</f>
        <v>16120032.876209419</v>
      </c>
      <c r="K36" s="598"/>
    </row>
    <row r="37" spans="1:11" ht="12" customHeight="1" x14ac:dyDescent="0.2">
      <c r="A37" s="594" t="s">
        <v>2071</v>
      </c>
      <c r="B37" s="595">
        <v>42053</v>
      </c>
      <c r="C37" s="1574">
        <v>44310000</v>
      </c>
      <c r="D37" s="1738" t="s">
        <v>2070</v>
      </c>
      <c r="E37" s="1574">
        <v>44310000</v>
      </c>
      <c r="F37" s="1574"/>
      <c r="G37" s="1574"/>
      <c r="H37" s="1574"/>
      <c r="I37" s="1736">
        <f t="shared" si="1"/>
        <v>44310000</v>
      </c>
      <c r="J37" s="1574">
        <f>+I37/I49*170655113</f>
        <v>34389920.883237332</v>
      </c>
      <c r="K37" s="597"/>
    </row>
    <row r="38" spans="1:11" ht="12" customHeight="1" x14ac:dyDescent="0.2">
      <c r="A38" s="594" t="s">
        <v>2072</v>
      </c>
      <c r="B38" s="595">
        <v>42053</v>
      </c>
      <c r="C38" s="1734">
        <v>10780000</v>
      </c>
      <c r="D38" s="1739">
        <v>3</v>
      </c>
      <c r="E38" s="1740">
        <v>10780000</v>
      </c>
      <c r="F38" s="1740"/>
      <c r="G38" s="1740"/>
      <c r="H38" s="1740"/>
      <c r="I38" s="1736">
        <f t="shared" si="1"/>
        <v>10780000</v>
      </c>
      <c r="J38" s="1741">
        <f>+I38/I49*170655113</f>
        <v>8366584.227517454</v>
      </c>
      <c r="K38" s="599"/>
    </row>
    <row r="39" spans="1:11" ht="12" customHeight="1" x14ac:dyDescent="0.2">
      <c r="A39" s="594" t="s">
        <v>2073</v>
      </c>
      <c r="B39" s="595">
        <v>42053</v>
      </c>
      <c r="C39" s="1734">
        <v>19325000</v>
      </c>
      <c r="D39" s="1739">
        <v>3</v>
      </c>
      <c r="E39" s="1740">
        <v>6095000</v>
      </c>
      <c r="F39" s="1740"/>
      <c r="G39" s="1740"/>
      <c r="H39" s="1740">
        <v>6095000</v>
      </c>
      <c r="I39" s="1736">
        <f t="shared" si="1"/>
        <v>0</v>
      </c>
      <c r="J39" s="1741"/>
      <c r="K39" s="599"/>
    </row>
    <row r="40" spans="1:11" ht="12" customHeight="1" x14ac:dyDescent="0.2">
      <c r="A40" s="594" t="s">
        <v>2074</v>
      </c>
      <c r="B40" s="595">
        <v>42053</v>
      </c>
      <c r="C40" s="1734">
        <v>101575000</v>
      </c>
      <c r="D40" s="1739">
        <v>3</v>
      </c>
      <c r="E40" s="1740">
        <v>101575000</v>
      </c>
      <c r="F40" s="1740"/>
      <c r="G40" s="1740"/>
      <c r="H40" s="1740"/>
      <c r="I40" s="1736">
        <f t="shared" si="1"/>
        <v>101575000</v>
      </c>
      <c r="J40" s="1741">
        <f>+I40/I49*170655113</f>
        <v>78834489.138226852</v>
      </c>
      <c r="K40" s="599"/>
    </row>
    <row r="41" spans="1:11" ht="12" customHeight="1" x14ac:dyDescent="0.2">
      <c r="A41" s="594" t="s">
        <v>2075</v>
      </c>
      <c r="B41" s="595">
        <v>39353</v>
      </c>
      <c r="C41" s="1734">
        <v>6200000</v>
      </c>
      <c r="D41" s="1739">
        <v>7</v>
      </c>
      <c r="E41" s="1740">
        <v>1712734</v>
      </c>
      <c r="F41" s="1740"/>
      <c r="G41" s="1740"/>
      <c r="H41" s="1740">
        <v>424037</v>
      </c>
      <c r="I41" s="1736">
        <f t="shared" si="1"/>
        <v>1288697</v>
      </c>
      <c r="J41" s="1741">
        <f>+I41/I49*170655113</f>
        <v>1000184.7861084472</v>
      </c>
      <c r="K41" s="599"/>
    </row>
    <row r="42" spans="1:11" ht="12" customHeight="1" x14ac:dyDescent="0.2">
      <c r="A42" s="594" t="s">
        <v>2076</v>
      </c>
      <c r="B42" s="595" t="s">
        <v>2077</v>
      </c>
      <c r="C42" s="1734"/>
      <c r="D42" s="1739">
        <v>8</v>
      </c>
      <c r="E42" s="1740">
        <v>1353353</v>
      </c>
      <c r="F42" s="1740"/>
      <c r="G42" s="1740"/>
      <c r="H42" s="1740">
        <v>1353353</v>
      </c>
      <c r="I42" s="1736">
        <f t="shared" si="1"/>
        <v>0</v>
      </c>
      <c r="J42" s="1741"/>
      <c r="K42" s="599"/>
    </row>
    <row r="43" spans="1:11" ht="12" customHeight="1" x14ac:dyDescent="0.2">
      <c r="A43" s="594" t="s">
        <v>2078</v>
      </c>
      <c r="B43" s="595">
        <v>43028</v>
      </c>
      <c r="C43" s="1734">
        <v>466270</v>
      </c>
      <c r="D43" s="1739">
        <v>7</v>
      </c>
      <c r="E43" s="1740">
        <v>373016</v>
      </c>
      <c r="F43" s="1740"/>
      <c r="G43" s="1740"/>
      <c r="H43" s="1740">
        <v>93254</v>
      </c>
      <c r="I43" s="1736">
        <f t="shared" si="1"/>
        <v>279762</v>
      </c>
      <c r="J43" s="1741">
        <f>+I43/I49*170655113</f>
        <v>217129.15924478089</v>
      </c>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396560668</v>
      </c>
      <c r="D49" s="1742"/>
      <c r="E49" s="1736">
        <f t="shared" ref="E49:J49" si="2">SUM(E31:E48)</f>
        <v>240981586</v>
      </c>
      <c r="F49" s="1736">
        <f t="shared" si="2"/>
        <v>0</v>
      </c>
      <c r="G49" s="1736">
        <f t="shared" si="2"/>
        <v>0</v>
      </c>
      <c r="H49" s="1736">
        <f t="shared" si="2"/>
        <v>21099485</v>
      </c>
      <c r="I49" s="1736">
        <f t="shared" si="2"/>
        <v>219882101</v>
      </c>
      <c r="J49" s="1736">
        <f t="shared" si="2"/>
        <v>170655113</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423" t="s">
        <v>579</v>
      </c>
      <c r="C52" s="2424"/>
      <c r="D52" s="2424"/>
      <c r="E52" s="603" t="s">
        <v>839</v>
      </c>
      <c r="F52" s="2425" t="s">
        <v>2079</v>
      </c>
      <c r="G52" s="2426"/>
      <c r="H52" s="596"/>
      <c r="I52" s="596"/>
      <c r="J52" s="600"/>
    </row>
    <row r="53" spans="1:11" ht="11.25" customHeight="1" x14ac:dyDescent="0.2">
      <c r="A53" s="604" t="s">
        <v>906</v>
      </c>
      <c r="B53" s="605" t="s">
        <v>944</v>
      </c>
      <c r="C53" s="600"/>
      <c r="D53" s="597"/>
      <c r="E53" s="603" t="s">
        <v>493</v>
      </c>
      <c r="F53" s="2427" t="s">
        <v>2080</v>
      </c>
      <c r="G53" s="2428"/>
      <c r="H53" s="596"/>
      <c r="I53" s="596"/>
      <c r="J53" s="600"/>
    </row>
    <row r="54" spans="1:11" ht="11.25" customHeight="1" x14ac:dyDescent="0.2">
      <c r="A54" s="606" t="s">
        <v>907</v>
      </c>
      <c r="B54" s="601" t="s">
        <v>945</v>
      </c>
      <c r="C54" s="600"/>
      <c r="D54" s="597"/>
      <c r="E54" s="603" t="s">
        <v>494</v>
      </c>
      <c r="F54" s="2427"/>
      <c r="G54" s="242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tint="-0.34998626667073579"/>
  </sheetPr>
  <dimension ref="A1:O48"/>
  <sheetViews>
    <sheetView showGridLines="0" defaultGridColor="0" colorId="8" zoomScale="110" zoomScaleNormal="110" workbookViewId="0">
      <selection sqref="A1:F1"/>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459" t="s">
        <v>850</v>
      </c>
      <c r="B1" s="2460"/>
      <c r="C1" s="2460"/>
      <c r="D1" s="2460"/>
      <c r="E1" s="2460"/>
      <c r="F1" s="2460"/>
      <c r="G1" s="2461"/>
      <c r="H1" s="1298"/>
      <c r="I1" s="614"/>
      <c r="J1" s="400"/>
    </row>
    <row r="2" spans="1:11" ht="26.25" x14ac:dyDescent="0.2">
      <c r="A2" s="2436" t="s">
        <v>1657</v>
      </c>
      <c r="B2" s="2437"/>
      <c r="C2" s="2437"/>
      <c r="D2" s="2437"/>
      <c r="E2" s="2438"/>
      <c r="F2" s="615" t="s">
        <v>897</v>
      </c>
      <c r="G2" s="616" t="s">
        <v>1654</v>
      </c>
      <c r="H2" s="616" t="s">
        <v>406</v>
      </c>
      <c r="I2" s="616" t="s">
        <v>1147</v>
      </c>
      <c r="J2" s="616" t="s">
        <v>1785</v>
      </c>
      <c r="K2" s="616" t="s">
        <v>137</v>
      </c>
    </row>
    <row r="3" spans="1:11" x14ac:dyDescent="0.2">
      <c r="A3" s="2439" t="str">
        <f>"Cash Basis Fund Balance as of July 1, "&amp;'AFR20'!E2-1</f>
        <v>Cash Basis Fund Balance as of July 1, 2019</v>
      </c>
      <c r="B3" s="2440"/>
      <c r="C3" s="2440"/>
      <c r="D3" s="2440"/>
      <c r="E3" s="2441"/>
      <c r="F3" s="617"/>
      <c r="G3" s="1744"/>
      <c r="H3" s="1744"/>
      <c r="I3" s="1744"/>
      <c r="J3" s="1745"/>
      <c r="K3" s="1745"/>
    </row>
    <row r="4" spans="1:11" x14ac:dyDescent="0.2">
      <c r="A4" s="2442" t="s">
        <v>365</v>
      </c>
      <c r="B4" s="2443"/>
      <c r="C4" s="2443"/>
      <c r="D4" s="2443"/>
      <c r="E4" s="2424"/>
      <c r="F4" s="620"/>
      <c r="G4" s="1746"/>
      <c r="H4" s="1747"/>
      <c r="I4" s="1746"/>
      <c r="J4" s="1748"/>
      <c r="K4" s="1748"/>
    </row>
    <row r="5" spans="1:11" x14ac:dyDescent="0.2">
      <c r="A5" s="2462" t="s">
        <v>1059</v>
      </c>
      <c r="B5" s="2433"/>
      <c r="C5" s="2433"/>
      <c r="D5" s="2433"/>
      <c r="E5" s="2463"/>
      <c r="F5" s="622" t="s">
        <v>842</v>
      </c>
      <c r="G5" s="1749"/>
      <c r="H5" s="1744">
        <f>+'Revenues 9-14'!C7</f>
        <v>34005944</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f>+'Revenues 9-14'!C101</f>
        <v>79960</v>
      </c>
    </row>
    <row r="8" spans="1:11" x14ac:dyDescent="0.2">
      <c r="A8" s="629" t="s">
        <v>341</v>
      </c>
      <c r="B8" s="630"/>
      <c r="C8" s="630"/>
      <c r="D8" s="630"/>
      <c r="E8" s="631"/>
      <c r="F8" s="622" t="s">
        <v>845</v>
      </c>
      <c r="G8" s="1753"/>
      <c r="H8" s="1753"/>
      <c r="I8" s="1753"/>
      <c r="J8" s="1745"/>
      <c r="K8" s="1748"/>
    </row>
    <row r="9" spans="1:11" x14ac:dyDescent="0.2">
      <c r="A9" s="629" t="s">
        <v>137</v>
      </c>
      <c r="B9" s="630"/>
      <c r="C9" s="630"/>
      <c r="D9" s="630"/>
      <c r="E9" s="631"/>
      <c r="F9" s="628" t="s">
        <v>847</v>
      </c>
      <c r="G9" s="1753"/>
      <c r="H9" s="1749"/>
      <c r="I9" s="1749"/>
      <c r="J9" s="1752"/>
      <c r="K9" s="1745">
        <f>+'Revenues 9-14'!C148</f>
        <v>173401</v>
      </c>
    </row>
    <row r="10" spans="1:11" x14ac:dyDescent="0.2">
      <c r="A10" s="2462" t="s">
        <v>1786</v>
      </c>
      <c r="B10" s="2433"/>
      <c r="C10" s="2433"/>
      <c r="D10" s="2433"/>
      <c r="E10" s="2464"/>
      <c r="F10" s="633" t="s">
        <v>856</v>
      </c>
      <c r="G10" s="1753"/>
      <c r="H10" s="1754"/>
      <c r="I10" s="1744"/>
      <c r="J10" s="1745"/>
      <c r="K10" s="1745"/>
    </row>
    <row r="11" spans="1:11" x14ac:dyDescent="0.2">
      <c r="A11" s="2462" t="s">
        <v>159</v>
      </c>
      <c r="B11" s="2433"/>
      <c r="C11" s="2433"/>
      <c r="D11" s="2433"/>
      <c r="E11" s="2463"/>
      <c r="F11" s="622" t="s">
        <v>846</v>
      </c>
      <c r="G11" s="1749"/>
      <c r="H11" s="1744"/>
      <c r="I11" s="1744"/>
      <c r="J11" s="1745"/>
      <c r="K11" s="1751"/>
    </row>
    <row r="12" spans="1:11" ht="13.5" thickBot="1" x14ac:dyDescent="0.25">
      <c r="A12" s="2450" t="s">
        <v>898</v>
      </c>
      <c r="B12" s="2451"/>
      <c r="C12" s="2451"/>
      <c r="D12" s="2451"/>
      <c r="E12" s="2452"/>
      <c r="F12" s="1433"/>
      <c r="G12" s="1755">
        <f>SUM(G5:G11)</f>
        <v>0</v>
      </c>
      <c r="H12" s="1755">
        <f>SUM(H5:H11)</f>
        <v>34005944</v>
      </c>
      <c r="I12" s="1755">
        <f>SUM(I5:I11)</f>
        <v>0</v>
      </c>
      <c r="J12" s="1755">
        <f>SUM(J5:J11)</f>
        <v>0</v>
      </c>
      <c r="K12" s="1755">
        <f>SUM(K5:K11)</f>
        <v>253361</v>
      </c>
    </row>
    <row r="13" spans="1:11" ht="13.5" thickTop="1" x14ac:dyDescent="0.2">
      <c r="A13" s="2444" t="s">
        <v>366</v>
      </c>
      <c r="B13" s="2445"/>
      <c r="C13" s="2445"/>
      <c r="D13" s="2445"/>
      <c r="E13" s="2446"/>
      <c r="F13" s="634"/>
      <c r="G13" s="1756"/>
      <c r="H13" s="1757"/>
      <c r="I13" s="1758"/>
      <c r="J13" s="1758"/>
      <c r="K13" s="1758"/>
    </row>
    <row r="14" spans="1:11" x14ac:dyDescent="0.2">
      <c r="A14" s="2468" t="s">
        <v>452</v>
      </c>
      <c r="B14" s="2468"/>
      <c r="C14" s="2468"/>
      <c r="D14" s="2468"/>
      <c r="E14" s="2469"/>
      <c r="F14" s="635" t="s">
        <v>848</v>
      </c>
      <c r="G14" s="1753"/>
      <c r="H14" s="1744">
        <f>+H12</f>
        <v>34005944</v>
      </c>
      <c r="I14" s="1749"/>
      <c r="J14" s="1751"/>
      <c r="K14" s="1745">
        <f>+K12</f>
        <v>253361</v>
      </c>
    </row>
    <row r="15" spans="1:11" x14ac:dyDescent="0.2">
      <c r="A15" s="2433" t="s">
        <v>4</v>
      </c>
      <c r="B15" s="2433"/>
      <c r="C15" s="2433"/>
      <c r="D15" s="2433"/>
      <c r="E15" s="2463"/>
      <c r="F15" s="635" t="s">
        <v>849</v>
      </c>
      <c r="G15" s="1749"/>
      <c r="H15" s="1744"/>
      <c r="I15" s="1744"/>
      <c r="J15" s="1745"/>
      <c r="K15" s="1745"/>
    </row>
    <row r="16" spans="1:11" x14ac:dyDescent="0.2">
      <c r="A16" s="2433" t="s">
        <v>294</v>
      </c>
      <c r="B16" s="2433"/>
      <c r="C16" s="2433"/>
      <c r="D16" s="2433"/>
      <c r="E16" s="2463"/>
      <c r="F16" s="635" t="s">
        <v>916</v>
      </c>
      <c r="G16" s="1750"/>
      <c r="H16" s="1746"/>
      <c r="I16" s="1746"/>
      <c r="J16" s="1748"/>
      <c r="K16" s="1748"/>
    </row>
    <row r="17" spans="1:15" x14ac:dyDescent="0.2">
      <c r="A17" s="2457" t="s">
        <v>928</v>
      </c>
      <c r="B17" s="2457"/>
      <c r="C17" s="2457"/>
      <c r="D17" s="2457"/>
      <c r="E17" s="2458"/>
      <c r="F17" s="636"/>
      <c r="G17" s="1759"/>
      <c r="H17" s="1760"/>
      <c r="I17" s="1760"/>
      <c r="J17" s="1761"/>
      <c r="K17" s="1762"/>
    </row>
    <row r="18" spans="1:15" x14ac:dyDescent="0.2">
      <c r="A18" s="2447" t="s">
        <v>364</v>
      </c>
      <c r="B18" s="2448"/>
      <c r="C18" s="2448"/>
      <c r="D18" s="2448"/>
      <c r="E18" s="2449"/>
      <c r="F18" s="635" t="s">
        <v>925</v>
      </c>
      <c r="G18" s="1753"/>
      <c r="H18" s="1753"/>
      <c r="I18" s="1753"/>
      <c r="J18" s="1745"/>
      <c r="K18" s="1763"/>
    </row>
    <row r="19" spans="1:15" ht="21.75" customHeight="1" x14ac:dyDescent="0.2">
      <c r="A19" s="2470" t="s">
        <v>1782</v>
      </c>
      <c r="B19" s="2470"/>
      <c r="C19" s="2470"/>
      <c r="D19" s="2470"/>
      <c r="E19" s="2471"/>
      <c r="F19" s="635" t="s">
        <v>926</v>
      </c>
      <c r="G19" s="1753"/>
      <c r="H19" s="1753"/>
      <c r="I19" s="1753"/>
      <c r="J19" s="1745"/>
      <c r="K19" s="1763"/>
    </row>
    <row r="20" spans="1:15" x14ac:dyDescent="0.2">
      <c r="A20" s="2447" t="s">
        <v>1787</v>
      </c>
      <c r="B20" s="2448"/>
      <c r="C20" s="2448"/>
      <c r="D20" s="2448"/>
      <c r="E20" s="2449"/>
      <c r="F20" s="635" t="s">
        <v>927</v>
      </c>
      <c r="G20" s="1753"/>
      <c r="H20" s="1753"/>
      <c r="I20" s="1753"/>
      <c r="J20" s="1745"/>
      <c r="K20" s="1763"/>
    </row>
    <row r="21" spans="1:15" ht="13.5" thickBot="1" x14ac:dyDescent="0.25">
      <c r="A21" s="2453" t="s">
        <v>632</v>
      </c>
      <c r="B21" s="2453"/>
      <c r="C21" s="2453"/>
      <c r="D21" s="2453"/>
      <c r="E21" s="2453"/>
      <c r="F21" s="1434"/>
      <c r="G21" s="1760"/>
      <c r="H21" s="1764"/>
      <c r="I21" s="1764"/>
      <c r="J21" s="1765">
        <f>SUM(J18:J20)</f>
        <v>0</v>
      </c>
      <c r="K21" s="1761"/>
    </row>
    <row r="22" spans="1:15" ht="13.5" thickTop="1" x14ac:dyDescent="0.2">
      <c r="A22" s="2433" t="s">
        <v>1788</v>
      </c>
      <c r="B22" s="2433"/>
      <c r="C22" s="2433"/>
      <c r="D22" s="2433"/>
      <c r="E22" s="2463"/>
      <c r="F22" s="635" t="s">
        <v>856</v>
      </c>
      <c r="G22" s="1753"/>
      <c r="H22" s="1744"/>
      <c r="I22" s="1744"/>
      <c r="J22" s="1766"/>
      <c r="K22" s="1745"/>
    </row>
    <row r="23" spans="1:15" ht="13.5" thickBot="1" x14ac:dyDescent="0.25">
      <c r="A23" s="2454" t="s">
        <v>899</v>
      </c>
      <c r="B23" s="2453"/>
      <c r="C23" s="2453"/>
      <c r="D23" s="2453"/>
      <c r="E23" s="2453"/>
      <c r="F23" s="1436"/>
      <c r="G23" s="1755">
        <f>SUM(G14:G16,G21,G22)</f>
        <v>0</v>
      </c>
      <c r="H23" s="1755">
        <f>SUM(H14:H16,H21,H22)</f>
        <v>34005944</v>
      </c>
      <c r="I23" s="1755">
        <f>SUM(I14:I16,I21,I22)</f>
        <v>0</v>
      </c>
      <c r="J23" s="1755">
        <f>SUM(J14:J16,J21,J22)</f>
        <v>0</v>
      </c>
      <c r="K23" s="1755">
        <f>SUM(K14:K16,K21,K22)</f>
        <v>253361</v>
      </c>
      <c r="M23" s="1846"/>
      <c r="N23" s="1846"/>
      <c r="O23" s="1846"/>
    </row>
    <row r="24" spans="1:15" ht="14.25" thickTop="1" thickBot="1" x14ac:dyDescent="0.25">
      <c r="A24" s="2455" t="str">
        <f>"Ending Cash Basis Fund Balance as of June 30, "&amp;'AFR20'!E2</f>
        <v>Ending Cash Basis Fund Balance as of June 30, 2020</v>
      </c>
      <c r="B24" s="2456"/>
      <c r="C24" s="2456"/>
      <c r="D24" s="2456"/>
      <c r="E24" s="2456"/>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2047</v>
      </c>
      <c r="E30" s="648" t="s">
        <v>762</v>
      </c>
      <c r="F30" s="197"/>
      <c r="G30" s="645"/>
    </row>
    <row r="31" spans="1:15" x14ac:dyDescent="0.2">
      <c r="A31" s="649"/>
      <c r="D31" s="232"/>
      <c r="E31" s="650" t="s">
        <v>763</v>
      </c>
      <c r="F31" s="651" t="s">
        <v>535</v>
      </c>
      <c r="G31" s="618"/>
      <c r="H31" s="2465"/>
      <c r="I31" s="2466"/>
      <c r="J31" s="2466"/>
      <c r="K31" s="2466"/>
    </row>
    <row r="32" spans="1:15" x14ac:dyDescent="0.2">
      <c r="A32" s="649"/>
      <c r="B32" s="232"/>
      <c r="C32" s="232"/>
      <c r="D32" s="232"/>
      <c r="E32" s="645"/>
      <c r="F32" s="651" t="s">
        <v>536</v>
      </c>
      <c r="G32" s="618"/>
      <c r="H32" s="2467"/>
      <c r="I32" s="2466"/>
      <c r="J32" s="2466"/>
      <c r="K32" s="2466"/>
    </row>
    <row r="33" spans="1:11" ht="1.5" customHeight="1" x14ac:dyDescent="0.2">
      <c r="A33" s="652" t="s">
        <v>1158</v>
      </c>
      <c r="B33" s="341"/>
      <c r="C33" s="341"/>
      <c r="D33" s="341"/>
      <c r="E33" s="341"/>
      <c r="F33" s="341"/>
      <c r="G33" s="653"/>
      <c r="H33" s="2467"/>
      <c r="I33" s="2466"/>
      <c r="J33" s="2466"/>
      <c r="K33" s="2466"/>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433" t="s">
        <v>537</v>
      </c>
      <c r="B41" s="2434"/>
      <c r="C41" s="2434"/>
      <c r="D41" s="2434"/>
      <c r="E41" s="2434"/>
      <c r="F41" s="243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0" tint="-0.34998626667073579"/>
  </sheetPr>
  <dimension ref="A1:N27"/>
  <sheetViews>
    <sheetView showGridLines="0" defaultGridColor="0" topLeftCell="A3" colorId="8" zoomScale="110" zoomScaleNormal="110" workbookViewId="0">
      <selection sqref="A1:F1"/>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474" t="s">
        <v>1871</v>
      </c>
      <c r="B1" s="2475"/>
      <c r="C1" s="2476"/>
      <c r="D1" s="666"/>
      <c r="E1" s="667"/>
      <c r="F1" s="667"/>
      <c r="G1" s="668"/>
      <c r="H1" s="669"/>
      <c r="I1" s="670"/>
      <c r="J1" s="2472"/>
      <c r="K1" s="2473"/>
      <c r="L1" s="2473"/>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28397412</v>
      </c>
      <c r="D5" s="1770"/>
      <c r="E5" s="1770">
        <v>2500</v>
      </c>
      <c r="F5" s="1765">
        <f>(C5+D5)-E5</f>
        <v>28394912</v>
      </c>
      <c r="G5" s="676"/>
      <c r="H5" s="680"/>
      <c r="I5" s="680"/>
      <c r="J5" s="680"/>
      <c r="K5" s="637"/>
      <c r="L5" s="1442">
        <f>F5-K5</f>
        <v>28394912</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632712633</v>
      </c>
      <c r="D8" s="1771">
        <v>30757688</v>
      </c>
      <c r="E8" s="1771">
        <v>677590</v>
      </c>
      <c r="F8" s="1765">
        <f>(C8+D8)-E8</f>
        <v>662792731</v>
      </c>
      <c r="G8" s="681">
        <v>50</v>
      </c>
      <c r="H8" s="619">
        <v>292213395</v>
      </c>
      <c r="I8" s="619">
        <v>14665673</v>
      </c>
      <c r="J8" s="619">
        <v>677590</v>
      </c>
      <c r="K8" s="1442">
        <f>(H8+I8)-J8</f>
        <v>306201478</v>
      </c>
      <c r="L8" s="1442">
        <f>F8-K8</f>
        <v>356591253</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26739351</v>
      </c>
      <c r="D12" s="1771">
        <v>580814</v>
      </c>
      <c r="E12" s="1771">
        <v>201620</v>
      </c>
      <c r="F12" s="1765">
        <f>(C12+D12)-E12</f>
        <v>27118545</v>
      </c>
      <c r="G12" s="681">
        <v>10</v>
      </c>
      <c r="H12" s="619">
        <v>19755226</v>
      </c>
      <c r="I12" s="619">
        <v>2463386</v>
      </c>
      <c r="J12" s="619">
        <v>201620</v>
      </c>
      <c r="K12" s="1442">
        <f>(H12+I12)-J12</f>
        <v>22016992</v>
      </c>
      <c r="L12" s="1442">
        <f>F12-K12</f>
        <v>5101553</v>
      </c>
    </row>
    <row r="13" spans="1:14" ht="14.25" thickTop="1" thickBot="1" x14ac:dyDescent="0.25">
      <c r="A13" s="684" t="s">
        <v>1111</v>
      </c>
      <c r="B13" s="679">
        <v>252</v>
      </c>
      <c r="C13" s="1771">
        <v>28324494</v>
      </c>
      <c r="D13" s="1771">
        <v>5302446</v>
      </c>
      <c r="E13" s="1771">
        <v>4852445</v>
      </c>
      <c r="F13" s="1765">
        <f>(C13+D13)-E13</f>
        <v>28774495</v>
      </c>
      <c r="G13" s="681">
        <v>5</v>
      </c>
      <c r="H13" s="619">
        <v>18954451</v>
      </c>
      <c r="I13" s="619">
        <v>3431820</v>
      </c>
      <c r="J13" s="619">
        <v>4852445</v>
      </c>
      <c r="K13" s="1442">
        <f>(H13+I13)-J13</f>
        <v>17533826</v>
      </c>
      <c r="L13" s="1442">
        <f>F13-K13</f>
        <v>11240669</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v>12959905</v>
      </c>
      <c r="D15" s="1771">
        <v>44965532</v>
      </c>
      <c r="E15" s="1771">
        <v>29860881</v>
      </c>
      <c r="F15" s="1765">
        <f>(C15+D15)-E15</f>
        <v>28064556</v>
      </c>
      <c r="G15" s="685" t="s">
        <v>856</v>
      </c>
      <c r="H15" s="632"/>
      <c r="I15" s="632"/>
      <c r="J15" s="632"/>
      <c r="K15" s="632"/>
      <c r="L15" s="1442">
        <f>F15-K15</f>
        <v>28064556</v>
      </c>
    </row>
    <row r="16" spans="1:14" ht="15" customHeight="1" thickTop="1" thickBot="1" x14ac:dyDescent="0.25">
      <c r="A16" s="1438" t="s">
        <v>637</v>
      </c>
      <c r="B16" s="1439">
        <v>200</v>
      </c>
      <c r="C16" s="1765">
        <f>SUM(C3,C5:C6,C8:C10,C12:C15)</f>
        <v>729133795</v>
      </c>
      <c r="D16" s="1765">
        <f>SUM(D3,D5:D6,D8:D10,D12:D15)</f>
        <v>81606480</v>
      </c>
      <c r="E16" s="1765">
        <f>SUM(E3,E5:E6,E8:E10,E12:E15)</f>
        <v>35595036</v>
      </c>
      <c r="F16" s="1765">
        <f>SUM(F3,F5:F6,F8:F10,F12:F15)</f>
        <v>775145239</v>
      </c>
      <c r="G16" s="681"/>
      <c r="H16" s="1435">
        <f>SUM(H3,H6,H8:H10,H12:H14,)</f>
        <v>330923072</v>
      </c>
      <c r="I16" s="1435">
        <f>SUM(I3,I6,I8:I10,I12:I14,)</f>
        <v>20560879</v>
      </c>
      <c r="J16" s="1435">
        <f>SUM(J3,J6,J8:J10,J12:J14,)</f>
        <v>5731655</v>
      </c>
      <c r="K16" s="1435">
        <f>(H16+I16)-J16</f>
        <v>345752296</v>
      </c>
      <c r="L16" s="1435">
        <f>F16-K16</f>
        <v>429392943</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3749738</v>
      </c>
      <c r="G17" s="676">
        <v>10</v>
      </c>
      <c r="H17" s="621"/>
      <c r="I17" s="1442">
        <f>F17/G17</f>
        <v>374973.8</v>
      </c>
      <c r="J17" s="621"/>
      <c r="K17" s="638"/>
      <c r="L17" s="638"/>
    </row>
    <row r="18" spans="1:12" ht="14.25" thickTop="1" thickBot="1" x14ac:dyDescent="0.25">
      <c r="A18" s="1440" t="s">
        <v>679</v>
      </c>
      <c r="B18" s="1441"/>
      <c r="C18" s="623"/>
      <c r="D18" s="623"/>
      <c r="E18" s="623"/>
      <c r="F18" s="686"/>
      <c r="G18" s="687"/>
      <c r="H18" s="624"/>
      <c r="I18" s="1435">
        <f>SUM(I16,I17)</f>
        <v>20935852.800000001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0" tint="-0.34998626667073579"/>
  </sheetPr>
  <dimension ref="A1:I203"/>
  <sheetViews>
    <sheetView showGridLines="0" defaultGridColor="0" topLeftCell="A65" colorId="8" zoomScale="110" zoomScaleNormal="110" workbookViewId="0">
      <selection sqref="A1:F1"/>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480" t="str">
        <f>"ESTIMATED OPERATING EXPENSE PER PUPIL (OEPP)/PER CAPITA TUITION CHARGE (PCTC) COMPUTATIONS ("&amp;'AFR20'!E2-1&amp;" - "&amp;'AFR20'!E2&amp;")"</f>
        <v>ESTIMATED OPERATING EXPENSE PER PUPIL (OEPP)/PER CAPITA TUITION CHARGE (PCTC) COMPUTATIONS (2019 - 2020)</v>
      </c>
      <c r="B1" s="2481"/>
      <c r="C1" s="2481"/>
      <c r="D1" s="2481"/>
      <c r="E1" s="2481"/>
      <c r="F1" s="2482"/>
      <c r="G1" s="691"/>
      <c r="I1" s="701"/>
    </row>
    <row r="2" spans="1:9" ht="15" customHeight="1" thickBot="1" x14ac:dyDescent="0.25">
      <c r="A2" s="2483" t="s">
        <v>473</v>
      </c>
      <c r="B2" s="2484"/>
      <c r="C2" s="2484"/>
      <c r="D2" s="2484"/>
      <c r="E2" s="2484"/>
      <c r="F2" s="2485"/>
      <c r="G2" s="693"/>
    </row>
    <row r="3" spans="1:9" ht="5.25" customHeight="1" thickTop="1" x14ac:dyDescent="0.2">
      <c r="A3" s="694"/>
      <c r="B3" s="695"/>
      <c r="C3" s="696"/>
      <c r="D3" s="695"/>
      <c r="E3" s="696"/>
      <c r="F3" s="695"/>
      <c r="G3" s="695"/>
    </row>
    <row r="4" spans="1:9" ht="12.4" customHeight="1" x14ac:dyDescent="0.2">
      <c r="A4" s="697" t="s">
        <v>1067</v>
      </c>
      <c r="B4" s="698" t="s">
        <v>115</v>
      </c>
      <c r="D4" s="700" t="s">
        <v>507</v>
      </c>
      <c r="F4" s="698" t="s">
        <v>859</v>
      </c>
    </row>
    <row r="5" spans="1:9" ht="7.5" customHeight="1" x14ac:dyDescent="0.2">
      <c r="A5" s="2486"/>
      <c r="B5" s="2487"/>
      <c r="C5" s="2487"/>
      <c r="D5" s="2487"/>
      <c r="E5" s="2487"/>
      <c r="F5" s="2487"/>
    </row>
    <row r="6" spans="1:9" ht="13.5" customHeight="1" thickBot="1" x14ac:dyDescent="0.25">
      <c r="A6" s="2477" t="s">
        <v>1094</v>
      </c>
      <c r="B6" s="2478"/>
      <c r="C6" s="2478"/>
      <c r="D6" s="2478"/>
      <c r="E6" s="2478"/>
      <c r="F6" s="2479"/>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416282500</v>
      </c>
      <c r="G8" s="701"/>
    </row>
    <row r="9" spans="1:9" x14ac:dyDescent="0.2">
      <c r="A9" s="705" t="s">
        <v>456</v>
      </c>
      <c r="B9" s="706" t="s">
        <v>1844</v>
      </c>
      <c r="C9" s="707"/>
      <c r="D9" s="705" t="s">
        <v>497</v>
      </c>
      <c r="E9" s="704"/>
      <c r="F9" s="1775">
        <f>'Expenditures 15-22'!K151</f>
        <v>74828757</v>
      </c>
      <c r="G9" s="708"/>
    </row>
    <row r="10" spans="1:9" x14ac:dyDescent="0.2">
      <c r="A10" s="705" t="s">
        <v>495</v>
      </c>
      <c r="B10" s="706" t="s">
        <v>1845</v>
      </c>
      <c r="C10" s="707"/>
      <c r="D10" s="705" t="s">
        <v>497</v>
      </c>
      <c r="E10" s="704"/>
      <c r="F10" s="1775">
        <f>'Expenditures 15-22'!K174</f>
        <v>42701672</v>
      </c>
      <c r="G10" s="708"/>
    </row>
    <row r="11" spans="1:9" x14ac:dyDescent="0.2">
      <c r="A11" s="705" t="s">
        <v>457</v>
      </c>
      <c r="B11" s="706" t="s">
        <v>1846</v>
      </c>
      <c r="C11" s="707"/>
      <c r="D11" s="705" t="s">
        <v>497</v>
      </c>
      <c r="E11" s="704"/>
      <c r="F11" s="1775">
        <f>'Expenditures 15-22'!K210</f>
        <v>29518816</v>
      </c>
      <c r="G11" s="708"/>
    </row>
    <row r="12" spans="1:9" x14ac:dyDescent="0.2">
      <c r="A12" s="705" t="s">
        <v>458</v>
      </c>
      <c r="B12" s="706" t="s">
        <v>1847</v>
      </c>
      <c r="C12" s="707"/>
      <c r="D12" s="705" t="s">
        <v>497</v>
      </c>
      <c r="E12" s="704"/>
      <c r="F12" s="1775">
        <f>'Expenditures 15-22'!K295</f>
        <v>16525645</v>
      </c>
      <c r="G12" s="708"/>
    </row>
    <row r="13" spans="1:9" x14ac:dyDescent="0.2">
      <c r="A13" s="705" t="s">
        <v>106</v>
      </c>
      <c r="B13" s="706" t="s">
        <v>1848</v>
      </c>
      <c r="C13" s="707"/>
      <c r="D13" s="705" t="s">
        <v>497</v>
      </c>
      <c r="E13" s="704"/>
      <c r="F13" s="1775">
        <f>'Expenditures 15-22'!K342</f>
        <v>6718375</v>
      </c>
      <c r="G13" s="709"/>
    </row>
    <row r="14" spans="1:9" ht="12" customHeight="1" thickBot="1" x14ac:dyDescent="0.25">
      <c r="A14" s="1443"/>
      <c r="B14" s="1444"/>
      <c r="C14" s="1445"/>
      <c r="D14" s="1446" t="s">
        <v>497</v>
      </c>
      <c r="E14" s="1447" t="s">
        <v>951</v>
      </c>
      <c r="F14" s="1776">
        <f>SUM(F8:F13)</f>
        <v>586575765</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83">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1905</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6034813</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3027610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459656</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3034146</v>
      </c>
      <c r="G52" s="701"/>
    </row>
    <row r="53" spans="1:7" x14ac:dyDescent="0.2">
      <c r="A53" s="705" t="s">
        <v>455</v>
      </c>
      <c r="B53" s="705" t="s">
        <v>1457</v>
      </c>
      <c r="C53" s="724">
        <f>'Expenditures 15-22'!B102</f>
        <v>4000</v>
      </c>
      <c r="D53" s="723" t="str">
        <f>'Expenditures 15-22'!A102</f>
        <v>Total Payments to Other Govt Units</v>
      </c>
      <c r="E53" s="704"/>
      <c r="F53" s="1782">
        <f>'Expenditures 15-22'!K102</f>
        <v>9581182</v>
      </c>
      <c r="G53" s="701"/>
    </row>
    <row r="54" spans="1:7" x14ac:dyDescent="0.2">
      <c r="A54" s="705" t="s">
        <v>455</v>
      </c>
      <c r="B54" s="705" t="s">
        <v>1458</v>
      </c>
      <c r="C54" s="724" t="s">
        <v>974</v>
      </c>
      <c r="D54" s="720" t="s">
        <v>1085</v>
      </c>
      <c r="E54" s="704"/>
      <c r="F54" s="1782">
        <f>'Expenditures 15-22'!G114</f>
        <v>3045027</v>
      </c>
      <c r="G54" s="701"/>
    </row>
    <row r="55" spans="1:7" x14ac:dyDescent="0.2">
      <c r="A55" s="705" t="s">
        <v>455</v>
      </c>
      <c r="B55" s="705" t="s">
        <v>1459</v>
      </c>
      <c r="C55" s="724" t="s">
        <v>974</v>
      </c>
      <c r="D55" s="720" t="s">
        <v>287</v>
      </c>
      <c r="E55" s="704"/>
      <c r="F55" s="1782">
        <f>'Expenditures 15-22'!I114</f>
        <v>3738292</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82">
        <f>'Expenditures 15-22'!K139</f>
        <v>0</v>
      </c>
      <c r="G57" s="701"/>
    </row>
    <row r="58" spans="1:7" x14ac:dyDescent="0.2">
      <c r="A58" s="705" t="s">
        <v>456</v>
      </c>
      <c r="B58" s="705" t="s">
        <v>1850</v>
      </c>
      <c r="C58" s="721" t="s">
        <v>974</v>
      </c>
      <c r="D58" s="720" t="s">
        <v>1085</v>
      </c>
      <c r="E58" s="704"/>
      <c r="F58" s="1784">
        <f>'Expenditures 15-22'!G151</f>
        <v>41893582</v>
      </c>
      <c r="G58" s="701"/>
    </row>
    <row r="59" spans="1:7" x14ac:dyDescent="0.2">
      <c r="A59" s="728" t="s">
        <v>456</v>
      </c>
      <c r="B59" s="692" t="s">
        <v>1851</v>
      </c>
      <c r="C59" s="729" t="s">
        <v>974</v>
      </c>
      <c r="D59" s="692" t="s">
        <v>287</v>
      </c>
      <c r="F59" s="1785">
        <f>'Expenditures 15-22'!I151</f>
        <v>11446</v>
      </c>
      <c r="G59" s="701"/>
    </row>
    <row r="60" spans="1:7" x14ac:dyDescent="0.2">
      <c r="A60" s="728" t="s">
        <v>495</v>
      </c>
      <c r="B60" s="692" t="s">
        <v>1852</v>
      </c>
      <c r="C60" s="729">
        <v>4000</v>
      </c>
      <c r="D60" s="692" t="s">
        <v>308</v>
      </c>
      <c r="F60" s="1783">
        <f>'Expenditures 15-22'!K160</f>
        <v>0</v>
      </c>
      <c r="G60" s="701"/>
    </row>
    <row r="61" spans="1:7" x14ac:dyDescent="0.2">
      <c r="A61" s="730" t="s">
        <v>495</v>
      </c>
      <c r="B61" s="730" t="s">
        <v>1853</v>
      </c>
      <c r="C61" s="731" t="str">
        <f>'Expenditures 15-22'!B170</f>
        <v>5300</v>
      </c>
      <c r="D61" s="732" t="s">
        <v>307</v>
      </c>
      <c r="E61" s="715"/>
      <c r="F61" s="1782">
        <f>'Expenditures 15-22'!K170</f>
        <v>19745957</v>
      </c>
      <c r="G61" s="701"/>
    </row>
    <row r="62" spans="1:7" x14ac:dyDescent="0.2">
      <c r="A62" s="705" t="s">
        <v>457</v>
      </c>
      <c r="B62" s="705" t="s">
        <v>1854</v>
      </c>
      <c r="C62" s="721">
        <f>'Expenditures 15-22'!B185</f>
        <v>3000</v>
      </c>
      <c r="D62" s="712" t="s">
        <v>445</v>
      </c>
      <c r="E62" s="704"/>
      <c r="F62" s="1782">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1856</v>
      </c>
      <c r="C64" s="731" t="str">
        <f>'Expenditures 15-22'!B206</f>
        <v>5300</v>
      </c>
      <c r="D64" s="727" t="s">
        <v>307</v>
      </c>
      <c r="E64" s="704"/>
      <c r="F64" s="1782">
        <f>'Expenditures 15-22'!K206</f>
        <v>1353528</v>
      </c>
      <c r="G64" s="701"/>
    </row>
    <row r="65" spans="1:9" x14ac:dyDescent="0.2">
      <c r="A65" s="705" t="s">
        <v>457</v>
      </c>
      <c r="B65" s="705" t="s">
        <v>1857</v>
      </c>
      <c r="C65" s="721" t="s">
        <v>974</v>
      </c>
      <c r="D65" s="720" t="s">
        <v>1085</v>
      </c>
      <c r="E65" s="704"/>
      <c r="F65" s="1782">
        <f>'Expenditures 15-22'!G210</f>
        <v>5319966</v>
      </c>
      <c r="G65" s="701"/>
    </row>
    <row r="66" spans="1:9" x14ac:dyDescent="0.2">
      <c r="A66" s="705" t="s">
        <v>457</v>
      </c>
      <c r="B66" s="705" t="s">
        <v>1858</v>
      </c>
      <c r="C66" s="721" t="s">
        <v>974</v>
      </c>
      <c r="D66" s="720" t="s">
        <v>287</v>
      </c>
      <c r="E66" s="704"/>
      <c r="F66" s="1782">
        <f>'Expenditures 15-22'!I210</f>
        <v>0</v>
      </c>
      <c r="G66" s="701"/>
    </row>
    <row r="67" spans="1:9" x14ac:dyDescent="0.2">
      <c r="A67" s="705" t="s">
        <v>458</v>
      </c>
      <c r="B67" s="705" t="s">
        <v>1859</v>
      </c>
      <c r="C67" s="721" t="str">
        <f>'Expenditures 15-22'!B216</f>
        <v>1125</v>
      </c>
      <c r="D67" s="727" t="str">
        <f>'Expenditures 15-22'!A216</f>
        <v>Pre-K Programs</v>
      </c>
      <c r="E67" s="704"/>
      <c r="F67" s="1782">
        <f>'Expenditures 15-22'!K216</f>
        <v>243603</v>
      </c>
      <c r="G67" s="701"/>
    </row>
    <row r="68" spans="1:9" x14ac:dyDescent="0.2">
      <c r="A68" s="705" t="s">
        <v>458</v>
      </c>
      <c r="B68" s="705" t="s">
        <v>1461</v>
      </c>
      <c r="C68" s="721" t="str">
        <f>'Expenditures 15-22'!B218</f>
        <v>1225</v>
      </c>
      <c r="D68" s="727" t="str">
        <f>'Expenditures 15-22'!A218</f>
        <v>Special Education Programs - Pre-K</v>
      </c>
      <c r="E68" s="704"/>
      <c r="F68" s="1782">
        <f>'Expenditures 15-22'!K218</f>
        <v>116470</v>
      </c>
      <c r="G68" s="701"/>
    </row>
    <row r="69" spans="1:9" x14ac:dyDescent="0.2">
      <c r="A69" s="705" t="s">
        <v>458</v>
      </c>
      <c r="B69" s="705" t="s">
        <v>1860</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1861</v>
      </c>
      <c r="C70" s="721">
        <f>'Expenditures 15-22'!B221</f>
        <v>1300</v>
      </c>
      <c r="D70" s="722" t="str">
        <f>'Expenditures 15-22'!A221</f>
        <v>Adult/Continuing Education Programs</v>
      </c>
      <c r="E70" s="704"/>
      <c r="F70" s="1782">
        <f>'Expenditures 15-22'!K221</f>
        <v>0</v>
      </c>
      <c r="G70" s="701"/>
    </row>
    <row r="71" spans="1:9" x14ac:dyDescent="0.2">
      <c r="A71" s="705" t="s">
        <v>458</v>
      </c>
      <c r="B71" s="705" t="s">
        <v>1862</v>
      </c>
      <c r="C71" s="721">
        <f>'Expenditures 15-22'!B224</f>
        <v>1600</v>
      </c>
      <c r="D71" s="722" t="str">
        <f>'Expenditures 15-22'!A224</f>
        <v>Summer School Programs</v>
      </c>
      <c r="E71" s="704"/>
      <c r="F71" s="1782">
        <f>'Expenditures 15-22'!K224</f>
        <v>38289</v>
      </c>
      <c r="G71" s="701"/>
    </row>
    <row r="72" spans="1:9" x14ac:dyDescent="0.2">
      <c r="A72" s="705" t="s">
        <v>458</v>
      </c>
      <c r="B72" s="705" t="s">
        <v>1863</v>
      </c>
      <c r="C72" s="721">
        <f>'Expenditures 15-22'!B280</f>
        <v>3000</v>
      </c>
      <c r="D72" s="712" t="s">
        <v>445</v>
      </c>
      <c r="E72" s="704"/>
      <c r="F72" s="1782">
        <f>'Expenditures 15-22'!K280</f>
        <v>199716</v>
      </c>
      <c r="G72" s="701"/>
    </row>
    <row r="73" spans="1:9" x14ac:dyDescent="0.2">
      <c r="A73" s="705" t="s">
        <v>458</v>
      </c>
      <c r="B73" s="705" t="s">
        <v>1864</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1865</v>
      </c>
      <c r="C74" s="721" t="s">
        <v>854</v>
      </c>
      <c r="D74" s="722" t="s">
        <v>1469</v>
      </c>
      <c r="E74" s="704"/>
      <c r="F74" s="1786">
        <f>'Expenditures 15-22'!K334</f>
        <v>0</v>
      </c>
      <c r="G74" s="701"/>
    </row>
    <row r="75" spans="1:9" x14ac:dyDescent="0.2">
      <c r="A75" s="705" t="s">
        <v>2004</v>
      </c>
      <c r="B75" s="705" t="s">
        <v>2005</v>
      </c>
      <c r="C75" s="721" t="s">
        <v>974</v>
      </c>
      <c r="D75" s="722" t="s">
        <v>1085</v>
      </c>
      <c r="E75" s="704"/>
      <c r="F75" s="1786">
        <f>'Expenditures 15-22'!G342</f>
        <v>0</v>
      </c>
      <c r="G75" s="701"/>
    </row>
    <row r="76" spans="1:9" ht="10.5" customHeight="1" x14ac:dyDescent="0.2">
      <c r="A76" s="701" t="s">
        <v>432</v>
      </c>
      <c r="B76" s="705" t="s">
        <v>2006</v>
      </c>
      <c r="C76" s="711" t="s">
        <v>974</v>
      </c>
      <c r="D76" s="701" t="s">
        <v>287</v>
      </c>
      <c r="E76" s="704"/>
      <c r="F76" s="1786">
        <f>'Expenditures 15-22'!I342</f>
        <v>0</v>
      </c>
      <c r="G76" s="703"/>
    </row>
    <row r="77" spans="1:9" ht="12" thickBot="1" x14ac:dyDescent="0.25">
      <c r="A77" s="1443"/>
      <c r="B77" s="1448"/>
      <c r="C77" s="1445"/>
      <c r="D77" s="1449" t="s">
        <v>2007</v>
      </c>
      <c r="E77" s="1447" t="s">
        <v>951</v>
      </c>
      <c r="F77" s="1787">
        <f>SUM(F18:F76)</f>
        <v>97843283</v>
      </c>
      <c r="G77" s="701"/>
    </row>
    <row r="78" spans="1:9" s="728" customFormat="1" ht="12" customHeight="1" thickTop="1" thickBot="1" x14ac:dyDescent="0.25">
      <c r="A78" s="1450"/>
      <c r="B78" s="1448"/>
      <c r="C78" s="1445"/>
      <c r="D78" s="1449" t="s">
        <v>2008</v>
      </c>
      <c r="E78" s="1447"/>
      <c r="F78" s="1788">
        <f>(F14-F77)</f>
        <v>488732482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33624.6</v>
      </c>
      <c r="G79" s="733"/>
      <c r="H79" s="705"/>
      <c r="I79" s="705"/>
    </row>
    <row r="80" spans="1:9" s="728" customFormat="1" ht="12" customHeight="1" thickBot="1" x14ac:dyDescent="0.25">
      <c r="A80" s="1452"/>
      <c r="B80" s="1448"/>
      <c r="C80" s="1445"/>
      <c r="D80" s="1449" t="s">
        <v>2009</v>
      </c>
      <c r="E80" s="1447" t="s">
        <v>951</v>
      </c>
      <c r="F80" s="1790">
        <f>IF(F79&gt;0,F78/F79," Complete Line 79")</f>
        <v>14534.967910398935</v>
      </c>
      <c r="G80" s="705"/>
    </row>
    <row r="81" spans="1:7" s="728" customFormat="1" ht="8.25" customHeight="1" thickTop="1" x14ac:dyDescent="0.2">
      <c r="A81" s="734"/>
      <c r="B81" s="705"/>
      <c r="C81" s="707"/>
      <c r="D81" s="735"/>
      <c r="E81" s="704"/>
      <c r="F81" s="1791"/>
      <c r="G81" s="705"/>
    </row>
    <row r="82" spans="1:7" s="728" customFormat="1" ht="12" thickBot="1" x14ac:dyDescent="0.25">
      <c r="A82" s="2477" t="s">
        <v>1095</v>
      </c>
      <c r="B82" s="2478"/>
      <c r="C82" s="2478"/>
      <c r="D82" s="2478"/>
      <c r="E82" s="2478"/>
      <c r="F82" s="247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1166393</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2520934</v>
      </c>
      <c r="G95" s="745"/>
    </row>
    <row r="96" spans="1:7" x14ac:dyDescent="0.2">
      <c r="A96" s="741" t="s">
        <v>139</v>
      </c>
      <c r="B96" s="741" t="s">
        <v>174</v>
      </c>
      <c r="C96" s="743">
        <v>1700</v>
      </c>
      <c r="D96" s="751" t="str">
        <f>'Revenues 9-14'!A82</f>
        <v>Total District/School Activity Income</v>
      </c>
      <c r="E96" s="739"/>
      <c r="F96" s="1793">
        <f>SUM('Revenues 9-14'!C82,'Revenues 9-14'!D82)</f>
        <v>880334</v>
      </c>
      <c r="G96" s="745"/>
    </row>
    <row r="97" spans="1:7" x14ac:dyDescent="0.2">
      <c r="A97" s="741" t="s">
        <v>455</v>
      </c>
      <c r="B97" s="741" t="s">
        <v>175</v>
      </c>
      <c r="C97" s="743">
        <f>'Revenues 9-14'!B84</f>
        <v>1811</v>
      </c>
      <c r="D97" s="744" t="str">
        <f>'Revenues 9-14'!A84</f>
        <v>Rentals - Regular Textbooks</v>
      </c>
      <c r="E97" s="739"/>
      <c r="F97" s="1793">
        <f>'Revenues 9-14'!C84</f>
        <v>2533203</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1331</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271</v>
      </c>
      <c r="G101" s="745"/>
    </row>
    <row r="102" spans="1:7" x14ac:dyDescent="0.2">
      <c r="A102" s="741" t="s">
        <v>139</v>
      </c>
      <c r="B102" s="741" t="s">
        <v>180</v>
      </c>
      <c r="C102" s="743">
        <f>'Revenues 9-14'!B95</f>
        <v>1910</v>
      </c>
      <c r="D102" s="744" t="str">
        <f>'Revenues 9-14'!A95</f>
        <v>Rentals</v>
      </c>
      <c r="E102" s="739"/>
      <c r="F102" s="1793">
        <f>SUM('Revenues 9-14'!C95:D95)</f>
        <v>637644</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363580</v>
      </c>
      <c r="G105" s="745"/>
    </row>
    <row r="106" spans="1:7" x14ac:dyDescent="0.2">
      <c r="A106" s="741" t="s">
        <v>499</v>
      </c>
      <c r="B106" s="741" t="s">
        <v>1906</v>
      </c>
      <c r="C106" s="746">
        <v>3100</v>
      </c>
      <c r="D106" s="752" t="str">
        <f>'Revenues 9-14'!A132</f>
        <v>Total Special Education</v>
      </c>
      <c r="E106" s="739"/>
      <c r="F106" s="1793">
        <f>SUM('Revenues 9-14'!C132:D132,'Revenues 9-14'!F132)</f>
        <v>4661367</v>
      </c>
      <c r="G106" s="745"/>
    </row>
    <row r="107" spans="1:7" x14ac:dyDescent="0.2">
      <c r="A107" s="741" t="s">
        <v>667</v>
      </c>
      <c r="B107" s="741" t="s">
        <v>1907</v>
      </c>
      <c r="C107" s="753">
        <v>3200</v>
      </c>
      <c r="D107" s="744" t="str">
        <f>'Revenues 9-14'!A141</f>
        <v>Total Career and Technical Education</v>
      </c>
      <c r="E107" s="739"/>
      <c r="F107" s="1793">
        <f>SUM('Revenues 9-14'!C141,'Revenues 9-14'!D141,'Revenues 9-14'!G141)</f>
        <v>288995</v>
      </c>
      <c r="G107" s="745"/>
    </row>
    <row r="108" spans="1:7" x14ac:dyDescent="0.2">
      <c r="A108" s="754" t="s">
        <v>658</v>
      </c>
      <c r="B108" s="741" t="s">
        <v>1908</v>
      </c>
      <c r="C108" s="753">
        <v>3300</v>
      </c>
      <c r="D108" s="744" t="str">
        <f>'Revenues 9-14'!A145</f>
        <v>Total Bilingual Ed</v>
      </c>
      <c r="E108" s="739"/>
      <c r="F108" s="1793">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93">
        <f>'Revenues 9-14'!C146</f>
        <v>166840</v>
      </c>
      <c r="G109" s="745"/>
    </row>
    <row r="110" spans="1:7" x14ac:dyDescent="0.2">
      <c r="A110" s="741" t="s">
        <v>667</v>
      </c>
      <c r="B110" s="741" t="s">
        <v>1910</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3">
        <f>SUM('Revenues 9-14'!C148,'Revenues 9-14'!D148)</f>
        <v>173401</v>
      </c>
      <c r="G111" s="745"/>
    </row>
    <row r="112" spans="1:7" x14ac:dyDescent="0.2">
      <c r="A112" s="741" t="s">
        <v>662</v>
      </c>
      <c r="B112" s="741" t="s">
        <v>1912</v>
      </c>
      <c r="C112" s="755">
        <v>3500</v>
      </c>
      <c r="D112" s="744" t="str">
        <f>'Revenues 9-14'!A155</f>
        <v>Total Transportation</v>
      </c>
      <c r="E112" s="739"/>
      <c r="F112" s="1793">
        <f>SUM('Revenues 9-14'!C155,'Revenues 9-14'!D155,'Revenues 9-14'!F155,'Revenues 9-14'!G155)</f>
        <v>15929424</v>
      </c>
      <c r="G112" s="745"/>
    </row>
    <row r="113" spans="1:7" x14ac:dyDescent="0.2">
      <c r="A113" s="741" t="s">
        <v>455</v>
      </c>
      <c r="B113" s="741" t="s">
        <v>1913</v>
      </c>
      <c r="C113" s="753">
        <f>'Revenues 9-14'!B156</f>
        <v>3610</v>
      </c>
      <c r="D113" s="744" t="str">
        <f>'Revenues 9-14'!A156</f>
        <v>Learning Improvement - Change Grants</v>
      </c>
      <c r="E113" s="739"/>
      <c r="F113" s="1793">
        <f>'Revenues 9-14'!C156</f>
        <v>0</v>
      </c>
      <c r="G113" s="745"/>
    </row>
    <row r="114" spans="1:7" x14ac:dyDescent="0.2">
      <c r="A114" s="741" t="s">
        <v>662</v>
      </c>
      <c r="B114" s="741" t="s">
        <v>1914</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92">
        <f>SUM('Revenues 9-14'!C163:G163)</f>
        <v>0</v>
      </c>
      <c r="G119" s="745"/>
    </row>
    <row r="120" spans="1:7" x14ac:dyDescent="0.2">
      <c r="A120" s="756" t="s">
        <v>500</v>
      </c>
      <c r="B120" s="756" t="s">
        <v>1920</v>
      </c>
      <c r="C120" s="757">
        <f>'Revenues 9-14'!B164</f>
        <v>3815</v>
      </c>
      <c r="D120" s="758" t="str">
        <f>'Revenues 9-14'!A164</f>
        <v>State Charter Schools</v>
      </c>
      <c r="E120" s="739"/>
      <c r="F120" s="1792">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93">
        <f>'Revenues 9-14'!D167</f>
        <v>0</v>
      </c>
      <c r="G121" s="763"/>
    </row>
    <row r="122" spans="1:7" x14ac:dyDescent="0.2">
      <c r="A122" s="760" t="s">
        <v>496</v>
      </c>
      <c r="B122" s="760" t="s">
        <v>1922</v>
      </c>
      <c r="C122" s="761">
        <f>'Revenues 9-14'!B168</f>
        <v>3999</v>
      </c>
      <c r="D122" s="762" t="s">
        <v>539</v>
      </c>
      <c r="E122" s="764"/>
      <c r="F122" s="1793">
        <f>SUM('Revenues 9-14'!C168:G168,'Revenues 9-14'!J168)</f>
        <v>1961747</v>
      </c>
      <c r="G122" s="763"/>
    </row>
    <row r="123" spans="1:7" x14ac:dyDescent="0.2">
      <c r="A123" s="760" t="s">
        <v>455</v>
      </c>
      <c r="B123" s="760" t="s">
        <v>1923</v>
      </c>
      <c r="C123" s="765">
        <f>'Revenues 9-14'!B177</f>
        <v>4045</v>
      </c>
      <c r="D123" s="762" t="str">
        <f>'Revenues 9-14'!A177 &amp; " (Subtract)"</f>
        <v>Head Start (Subtract)</v>
      </c>
      <c r="E123" s="739"/>
      <c r="F123" s="1793">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1925</v>
      </c>
      <c r="C125" s="765">
        <v>4100</v>
      </c>
      <c r="D125" s="766" t="str">
        <f>'Revenues 9-14'!A188</f>
        <v>Total Title V</v>
      </c>
      <c r="E125" s="739"/>
      <c r="F125" s="1793">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93">
        <f>SUM('Revenues 9-14'!C198,'Revenues 9-14'!G198)</f>
        <v>16160844</v>
      </c>
      <c r="G126" s="763"/>
    </row>
    <row r="127" spans="1:7" x14ac:dyDescent="0.2">
      <c r="A127" s="760" t="s">
        <v>662</v>
      </c>
      <c r="B127" s="760" t="s">
        <v>1927</v>
      </c>
      <c r="C127" s="765">
        <v>4300</v>
      </c>
      <c r="D127" s="766" t="str">
        <f>'Revenues 9-14'!A204</f>
        <v>Total Title I</v>
      </c>
      <c r="E127" s="739"/>
      <c r="F127" s="1793">
        <f>SUM('Revenues 9-14'!C204,'Revenues 9-14'!D204,'Revenues 9-14'!F204,'Revenues 9-14'!G204)</f>
        <v>10283637</v>
      </c>
      <c r="G127" s="763"/>
    </row>
    <row r="128" spans="1:7" x14ac:dyDescent="0.2">
      <c r="A128" s="760" t="s">
        <v>662</v>
      </c>
      <c r="B128" s="760" t="s">
        <v>1928</v>
      </c>
      <c r="C128" s="765">
        <v>4400</v>
      </c>
      <c r="D128" s="766" t="str">
        <f>'Revenues 9-14'!A209</f>
        <v>Total Title IV</v>
      </c>
      <c r="E128" s="739"/>
      <c r="F128" s="1793">
        <f>SUM('Revenues 9-14'!C209,'Revenues 9-14'!D209,'Revenues 9-14'!F209,'Revenues 9-14'!G209)</f>
        <v>344382</v>
      </c>
      <c r="G128" s="763"/>
    </row>
    <row r="129" spans="1:7" x14ac:dyDescent="0.2">
      <c r="A129" s="760" t="s">
        <v>662</v>
      </c>
      <c r="B129" s="760" t="s">
        <v>1929</v>
      </c>
      <c r="C129" s="765">
        <f>'Revenues 9-14'!B213</f>
        <v>4620</v>
      </c>
      <c r="D129" s="766" t="str">
        <f>'Revenues 9-14'!A213</f>
        <v>Fed - Spec Education - IDEA - Flow Through</v>
      </c>
      <c r="E129" s="739"/>
      <c r="F129" s="1793">
        <f>SUM('Revenues 9-14'!C213:D213,'Revenues 9-14'!F213:G213)</f>
        <v>8004248</v>
      </c>
      <c r="G129" s="763"/>
    </row>
    <row r="130" spans="1:7" x14ac:dyDescent="0.2">
      <c r="A130" s="760" t="s">
        <v>662</v>
      </c>
      <c r="B130" s="760" t="s">
        <v>1930</v>
      </c>
      <c r="C130" s="765">
        <f>'Revenues 9-14'!B214</f>
        <v>4625</v>
      </c>
      <c r="D130" s="766" t="str">
        <f>'Revenues 9-14'!A214</f>
        <v>Fed - Spec Education - IDEA - Room &amp; Board</v>
      </c>
      <c r="E130" s="739"/>
      <c r="F130" s="1793">
        <f>SUM('Revenues 9-14'!C214,'Revenues 9-14'!D214,'Revenues 9-14'!F214,'Revenues 9-14'!G214)</f>
        <v>402125</v>
      </c>
      <c r="G130" s="763"/>
    </row>
    <row r="131" spans="1:7" x14ac:dyDescent="0.2">
      <c r="A131" s="760" t="s">
        <v>662</v>
      </c>
      <c r="B131" s="760" t="s">
        <v>1931</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1932</v>
      </c>
      <c r="C133" s="765">
        <v>4700</v>
      </c>
      <c r="D133" s="762" t="str">
        <f>'Revenues 9-14'!A221</f>
        <v>Total CTE - Perkins</v>
      </c>
      <c r="E133" s="739"/>
      <c r="F133" s="1793">
        <f>SUM('Revenues 9-14'!C221,'Revenues 9-14'!D221,'Revenues 9-14'!G221)</f>
        <v>474484</v>
      </c>
      <c r="G133" s="763">
        <v>6303</v>
      </c>
    </row>
    <row r="134" spans="1:7" s="703" customFormat="1" hidden="1" x14ac:dyDescent="0.2">
      <c r="A134" s="767" t="s">
        <v>204</v>
      </c>
      <c r="B134" s="767" t="s">
        <v>1933</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3">
        <v>0</v>
      </c>
      <c r="G139" s="738"/>
    </row>
    <row r="140" spans="1:7" s="703" customFormat="1" hidden="1" x14ac:dyDescent="0.2">
      <c r="A140" s="767" t="s">
        <v>204</v>
      </c>
      <c r="B140" s="767" t="s">
        <v>1939</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1947</v>
      </c>
      <c r="C158" s="773" t="s">
        <v>835</v>
      </c>
      <c r="D158" s="774" t="s">
        <v>771</v>
      </c>
      <c r="E158" s="775"/>
      <c r="F158" s="1793">
        <f>SUM(F134:F157)</f>
        <v>0</v>
      </c>
      <c r="G158" s="738"/>
    </row>
    <row r="159" spans="1:7" s="703" customFormat="1" x14ac:dyDescent="0.2">
      <c r="A159" s="771" t="s">
        <v>455</v>
      </c>
      <c r="B159" s="772" t="s">
        <v>1948</v>
      </c>
      <c r="C159" s="773" t="s">
        <v>1409</v>
      </c>
      <c r="D159" s="774" t="s">
        <v>1410</v>
      </c>
      <c r="E159" s="775"/>
      <c r="F159" s="1793">
        <f>SUM('Revenues 9-14'!C253)</f>
        <v>0</v>
      </c>
      <c r="G159" s="738"/>
    </row>
    <row r="160" spans="1:7" s="703" customFormat="1" x14ac:dyDescent="0.2">
      <c r="A160" s="771" t="s">
        <v>496</v>
      </c>
      <c r="B160" s="772" t="s">
        <v>1949</v>
      </c>
      <c r="C160" s="773" t="s">
        <v>1448</v>
      </c>
      <c r="D160" s="774" t="s">
        <v>1449</v>
      </c>
      <c r="E160" s="775"/>
      <c r="F160" s="1793">
        <f>SUM('Revenues 9-14'!C254:H254,'Revenues 9-14'!J254:K254)</f>
        <v>127722</v>
      </c>
      <c r="G160" s="738"/>
    </row>
    <row r="161" spans="1:7" x14ac:dyDescent="0.2">
      <c r="A161" s="760" t="s">
        <v>5</v>
      </c>
      <c r="B161" s="760" t="s">
        <v>1950</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3">
        <f>SUM('Revenues 9-14'!C256,'Revenues 9-14'!F256,'Revenues 9-14'!G256)</f>
        <v>1196047</v>
      </c>
      <c r="G162" s="776"/>
    </row>
    <row r="163" spans="1:7" x14ac:dyDescent="0.2">
      <c r="A163" s="760" t="s">
        <v>662</v>
      </c>
      <c r="B163" s="760" t="s">
        <v>1952</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92">
        <f>SUM('Revenues 9-14'!C259,'Revenues 9-14'!D259,'Revenues 9-14'!F259,'Revenues 9-14'!G259)</f>
        <v>2207312</v>
      </c>
      <c r="G165" s="763"/>
    </row>
    <row r="166" spans="1:7" x14ac:dyDescent="0.2">
      <c r="A166" s="760" t="s">
        <v>662</v>
      </c>
      <c r="B166" s="760" t="s">
        <v>1955</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93">
        <f>SUM('Revenues 9-14'!C263:D263,'Revenues 9-14'!F263:G263)</f>
        <v>1201571</v>
      </c>
      <c r="G169" s="780">
        <v>6320</v>
      </c>
    </row>
    <row r="170" spans="1:7" x14ac:dyDescent="0.2">
      <c r="A170" s="760" t="s">
        <v>662</v>
      </c>
      <c r="B170" s="760" t="s">
        <v>1957</v>
      </c>
      <c r="C170" s="765">
        <f>'Revenues 9-14'!B264</f>
        <v>4992</v>
      </c>
      <c r="D170" s="766" t="str">
        <f>'Revenues 9-14'!A264</f>
        <v>Medicaid Matching Funds - Fee-for-Service Program</v>
      </c>
      <c r="E170" s="739"/>
      <c r="F170" s="1793">
        <f>SUM('Revenues 9-14'!C264:D264,'Revenues 9-14'!F264:G264)</f>
        <v>1031496</v>
      </c>
      <c r="G170" s="780"/>
    </row>
    <row r="171" spans="1:7" x14ac:dyDescent="0.2">
      <c r="A171" s="781" t="s">
        <v>662</v>
      </c>
      <c r="B171" s="777" t="s">
        <v>1958</v>
      </c>
      <c r="C171" s="778">
        <f>'Revenues 9-14'!B265</f>
        <v>4998</v>
      </c>
      <c r="D171" s="779" t="str">
        <f>'Revenues 9-14'!A265</f>
        <v>Other Restricted Revenue from Federal Sources (Describe &amp; Itemize)</v>
      </c>
      <c r="E171" s="739"/>
      <c r="F171" s="1793">
        <f>SUM('Revenues 9-14'!C265:D265,'Revenues 9-14'!F265:G265)</f>
        <v>6624607</v>
      </c>
      <c r="G171" s="760"/>
    </row>
    <row r="172" spans="1:7" x14ac:dyDescent="0.2">
      <c r="A172" s="1529" t="s">
        <v>5</v>
      </c>
      <c r="B172" s="1530" t="s">
        <v>1881</v>
      </c>
      <c r="C172" s="1531">
        <v>3100</v>
      </c>
      <c r="D172" s="1532" t="s">
        <v>1883</v>
      </c>
      <c r="E172" s="739"/>
      <c r="F172" s="1794">
        <v>15672473</v>
      </c>
      <c r="G172" s="760"/>
    </row>
    <row r="173" spans="1:7" x14ac:dyDescent="0.2">
      <c r="A173" s="1529" t="s">
        <v>658</v>
      </c>
      <c r="B173" s="1530" t="s">
        <v>1881</v>
      </c>
      <c r="C173" s="1531">
        <v>3300</v>
      </c>
      <c r="D173" s="1532" t="s">
        <v>1884</v>
      </c>
      <c r="E173" s="739"/>
      <c r="F173" s="1794">
        <v>9262383</v>
      </c>
      <c r="G173" s="760"/>
    </row>
    <row r="174" spans="1:7" ht="6" customHeight="1" x14ac:dyDescent="0.2">
      <c r="A174" s="760"/>
      <c r="B174" s="760"/>
      <c r="C174" s="782"/>
      <c r="D174" s="760"/>
      <c r="E174" s="739"/>
      <c r="F174" s="1795"/>
      <c r="G174" s="780"/>
    </row>
    <row r="175" spans="1:7" x14ac:dyDescent="0.2">
      <c r="A175" s="1443"/>
      <c r="B175" s="1453"/>
      <c r="C175" s="1454"/>
      <c r="D175" s="1455" t="s">
        <v>2012</v>
      </c>
      <c r="E175" s="1456" t="s">
        <v>951</v>
      </c>
      <c r="F175" s="1796">
        <f>SUM(F85:F133,F158:F173)</f>
        <v>104278795</v>
      </c>
    </row>
    <row r="176" spans="1:7" ht="12" customHeight="1" x14ac:dyDescent="0.2">
      <c r="A176" s="1443"/>
      <c r="B176" s="1453"/>
      <c r="C176" s="1454"/>
      <c r="D176" s="1455" t="s">
        <v>2010</v>
      </c>
      <c r="E176" s="1456"/>
      <c r="F176" s="1793">
        <f>'PCTC-OEPP 27-28'!F78-F175</f>
        <v>384453687</v>
      </c>
    </row>
    <row r="177" spans="1:9" ht="12" customHeight="1" x14ac:dyDescent="0.2">
      <c r="A177" s="1443"/>
      <c r="B177" s="1453"/>
      <c r="C177" s="1454"/>
      <c r="D177" s="1455" t="s">
        <v>1790</v>
      </c>
      <c r="E177" s="1456"/>
      <c r="F177" s="1793">
        <f>'Cap Outlay Deprec 26'!I18</f>
        <v>20935852.800000001</v>
      </c>
    </row>
    <row r="178" spans="1:9" ht="12" customHeight="1" x14ac:dyDescent="0.2">
      <c r="A178" s="1443"/>
      <c r="B178" s="1453"/>
      <c r="C178" s="1454"/>
      <c r="D178" s="1455" t="s">
        <v>2011</v>
      </c>
      <c r="E178" s="1456"/>
      <c r="F178" s="1793">
        <f>F176+F177</f>
        <v>405389539.80000001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33624.6</v>
      </c>
      <c r="G179" s="763"/>
      <c r="I179" s="701"/>
    </row>
    <row r="180" spans="1:9" ht="12" customHeight="1" thickBot="1" x14ac:dyDescent="0.25">
      <c r="A180" s="1443"/>
      <c r="B180" s="1457"/>
      <c r="C180" s="1454"/>
      <c r="D180" s="1455" t="s">
        <v>2013</v>
      </c>
      <c r="E180" s="1456" t="s">
        <v>1527</v>
      </c>
      <c r="F180" s="1798">
        <f>F178/F179</f>
        <v>12056.337913313468</v>
      </c>
      <c r="G180" s="692">
        <v>6323</v>
      </c>
    </row>
    <row r="181" spans="1:9" ht="12" thickTop="1" x14ac:dyDescent="0.2">
      <c r="B181" s="763"/>
      <c r="C181" s="782"/>
      <c r="D181" s="763"/>
      <c r="E181" s="782"/>
      <c r="F181" s="763"/>
      <c r="G181" s="783">
        <v>6326</v>
      </c>
    </row>
    <row r="182" spans="1:9" ht="12.4" customHeight="1" x14ac:dyDescent="0.2">
      <c r="A182" s="763" t="s">
        <v>1882</v>
      </c>
      <c r="B182" s="763"/>
      <c r="C182" s="782"/>
      <c r="D182" s="763"/>
      <c r="E182" s="782"/>
      <c r="F182" s="763"/>
      <c r="G182" s="763"/>
    </row>
    <row r="183" spans="1:9" s="1533" customFormat="1" ht="12.4"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4"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pageSetUpPr fitToPage="1"/>
  </sheetPr>
  <dimension ref="A1:G338"/>
  <sheetViews>
    <sheetView showGridLines="0" zoomScaleNormal="100" workbookViewId="0">
      <selection sqref="A1:F1"/>
    </sheetView>
  </sheetViews>
  <sheetFormatPr defaultColWidth="9.28515625" defaultRowHeight="15" x14ac:dyDescent="0.25"/>
  <cols>
    <col min="1" max="1" width="52" style="2088" customWidth="1"/>
    <col min="2" max="2" width="16.42578125" style="2087" bestFit="1" customWidth="1"/>
    <col min="3" max="3" width="33.7109375" style="2085" customWidth="1"/>
    <col min="4" max="4" width="16.28515625" style="2086" customWidth="1"/>
    <col min="5" max="5" width="23.5703125" style="2086" customWidth="1"/>
    <col min="6" max="6" width="23.28515625" style="2085" customWidth="1"/>
    <col min="7" max="16384" width="9.28515625" style="2084"/>
  </cols>
  <sheetData>
    <row r="1" spans="1:6" ht="15" customHeight="1" x14ac:dyDescent="0.25">
      <c r="A1" s="2126" t="s">
        <v>1803</v>
      </c>
      <c r="B1" s="2125"/>
      <c r="C1" s="2124"/>
      <c r="D1" s="2124"/>
      <c r="E1" s="2124"/>
      <c r="F1" s="2124"/>
    </row>
    <row r="2" spans="1:6" x14ac:dyDescent="0.25">
      <c r="A2" s="2121"/>
      <c r="B2" s="2123"/>
      <c r="C2" s="2122" t="s">
        <v>1999</v>
      </c>
      <c r="D2" s="2121"/>
      <c r="E2" s="2121"/>
      <c r="F2" s="2121"/>
    </row>
    <row r="3" spans="1:6" ht="5.25" customHeight="1" x14ac:dyDescent="0.25">
      <c r="A3" s="2119"/>
      <c r="B3" s="2120"/>
      <c r="C3" s="2119"/>
      <c r="D3" s="2119"/>
      <c r="E3" s="2119"/>
      <c r="F3" s="2119"/>
    </row>
    <row r="4" spans="1:6" ht="18.75" customHeight="1" x14ac:dyDescent="0.25">
      <c r="A4" s="2491" t="s">
        <v>1791</v>
      </c>
      <c r="B4" s="2492"/>
      <c r="C4" s="2492"/>
      <c r="D4" s="2492"/>
      <c r="E4" s="2492"/>
      <c r="F4" s="2493"/>
    </row>
    <row r="5" spans="1:6" x14ac:dyDescent="0.25">
      <c r="A5" s="2494"/>
      <c r="B5" s="2495"/>
      <c r="C5" s="2495"/>
      <c r="D5" s="2495"/>
      <c r="E5" s="2495"/>
      <c r="F5" s="2496"/>
    </row>
    <row r="6" spans="1:6" ht="18.75" x14ac:dyDescent="0.25">
      <c r="A6" s="2118" t="s">
        <v>1792</v>
      </c>
      <c r="B6" s="2117"/>
      <c r="C6" s="2116"/>
      <c r="D6" s="2116"/>
      <c r="E6" s="2116"/>
      <c r="F6" s="2115"/>
    </row>
    <row r="7" spans="1:6" ht="47.25" customHeight="1" x14ac:dyDescent="0.25">
      <c r="A7" s="2497" t="s">
        <v>1981</v>
      </c>
      <c r="B7" s="2498"/>
      <c r="C7" s="2498"/>
      <c r="D7" s="2498"/>
      <c r="E7" s="2498"/>
      <c r="F7" s="2499"/>
    </row>
    <row r="8" spans="1:6" ht="20.25" customHeight="1" x14ac:dyDescent="0.25">
      <c r="A8" s="2114" t="s">
        <v>1983</v>
      </c>
      <c r="B8" s="2113"/>
      <c r="C8" s="2113"/>
      <c r="D8" s="2113"/>
      <c r="E8" s="2112"/>
      <c r="F8" s="2111"/>
    </row>
    <row r="9" spans="1:6" ht="18" customHeight="1" x14ac:dyDescent="0.25">
      <c r="A9" s="2110" t="s">
        <v>1980</v>
      </c>
      <c r="B9" s="2108"/>
      <c r="C9" s="2108"/>
      <c r="D9" s="2108"/>
      <c r="E9" s="2112"/>
      <c r="F9" s="2111"/>
    </row>
    <row r="10" spans="1:6" ht="15.75" customHeight="1" x14ac:dyDescent="0.25">
      <c r="A10" s="2500" t="s">
        <v>1977</v>
      </c>
      <c r="B10" s="2501"/>
      <c r="C10" s="2501"/>
      <c r="D10" s="2501"/>
      <c r="E10" s="2501"/>
      <c r="F10" s="2502"/>
    </row>
    <row r="11" spans="1:6" ht="33" customHeight="1" x14ac:dyDescent="0.25">
      <c r="A11" s="2497" t="s">
        <v>1982</v>
      </c>
      <c r="B11" s="2498"/>
      <c r="C11" s="2498"/>
      <c r="D11" s="2498"/>
      <c r="E11" s="2498"/>
      <c r="F11" s="2499"/>
    </row>
    <row r="12" spans="1:6" ht="15" customHeight="1" x14ac:dyDescent="0.25">
      <c r="A12" s="2110" t="s">
        <v>1978</v>
      </c>
      <c r="B12" s="2109"/>
      <c r="C12" s="2108"/>
      <c r="D12" s="2108"/>
      <c r="E12" s="2108"/>
      <c r="F12" s="2107"/>
    </row>
    <row r="13" spans="1:6" ht="17.25" customHeight="1" x14ac:dyDescent="0.25">
      <c r="A13" s="2497" t="s">
        <v>1979</v>
      </c>
      <c r="B13" s="2498"/>
      <c r="C13" s="2498"/>
      <c r="D13" s="2498"/>
      <c r="E13" s="2498"/>
      <c r="F13" s="2499"/>
    </row>
    <row r="14" spans="1:6" ht="15" customHeight="1" x14ac:dyDescent="0.25">
      <c r="A14" s="2110" t="s">
        <v>1796</v>
      </c>
      <c r="B14" s="2109"/>
      <c r="C14" s="2108"/>
      <c r="D14" s="2108"/>
      <c r="E14" s="2108"/>
      <c r="F14" s="2107"/>
    </row>
    <row r="15" spans="1:6" ht="32.25" customHeight="1" x14ac:dyDescent="0.25">
      <c r="A15" s="248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89"/>
      <c r="C15" s="2489"/>
      <c r="D15" s="2489"/>
      <c r="E15" s="2489"/>
      <c r="F15" s="2490"/>
    </row>
    <row r="16" spans="1:6" ht="61.5" customHeight="1" x14ac:dyDescent="0.25">
      <c r="A16" s="2105" t="s">
        <v>1797</v>
      </c>
      <c r="B16" s="2106" t="s">
        <v>1798</v>
      </c>
      <c r="C16" s="2105" t="s">
        <v>1799</v>
      </c>
      <c r="D16" s="2104" t="s">
        <v>1800</v>
      </c>
      <c r="E16" s="2104" t="s">
        <v>1801</v>
      </c>
      <c r="F16" s="2104" t="s">
        <v>1802</v>
      </c>
    </row>
    <row r="17" spans="1:7" x14ac:dyDescent="0.25">
      <c r="A17" s="2103" t="s">
        <v>1804</v>
      </c>
      <c r="B17" s="2102" t="s">
        <v>1795</v>
      </c>
      <c r="C17" s="2101" t="s">
        <v>1793</v>
      </c>
      <c r="D17" s="2100">
        <v>500000</v>
      </c>
      <c r="E17" s="2100" t="str">
        <f t="shared" ref="E17:E80" si="0">IF(D17&lt;25000,D17,"25,000")</f>
        <v>25,000</v>
      </c>
      <c r="F17" s="2099">
        <f t="shared" ref="F17:F80" si="1">IF(D17&gt;=25000,(D17-E17),"0")</f>
        <v>475000</v>
      </c>
    </row>
    <row r="18" spans="1:7" x14ac:dyDescent="0.25">
      <c r="A18" s="2097" t="s">
        <v>2562</v>
      </c>
      <c r="B18" s="2097" t="s">
        <v>2561</v>
      </c>
      <c r="C18" s="2097" t="s">
        <v>2575</v>
      </c>
      <c r="D18" s="2096">
        <v>41289.94</v>
      </c>
      <c r="E18" s="2095" t="str">
        <f t="shared" si="0"/>
        <v>25,000</v>
      </c>
      <c r="F18" s="2095">
        <f t="shared" si="1"/>
        <v>16289.940000000002</v>
      </c>
      <c r="G18" s="2098"/>
    </row>
    <row r="19" spans="1:7" x14ac:dyDescent="0.25">
      <c r="A19" s="2097" t="s">
        <v>2562</v>
      </c>
      <c r="B19" s="2097" t="s">
        <v>2561</v>
      </c>
      <c r="C19" s="2097" t="s">
        <v>2574</v>
      </c>
      <c r="D19" s="2096">
        <v>196742.5</v>
      </c>
      <c r="E19" s="2095" t="str">
        <f t="shared" si="0"/>
        <v>25,000</v>
      </c>
      <c r="F19" s="2095">
        <f t="shared" si="1"/>
        <v>171742.5</v>
      </c>
    </row>
    <row r="20" spans="1:7" x14ac:dyDescent="0.25">
      <c r="A20" s="2097" t="s">
        <v>2562</v>
      </c>
      <c r="B20" s="2097" t="s">
        <v>2561</v>
      </c>
      <c r="C20" s="2097" t="s">
        <v>2360</v>
      </c>
      <c r="D20" s="2096">
        <v>287858.81</v>
      </c>
      <c r="E20" s="2095" t="str">
        <f t="shared" si="0"/>
        <v>25,000</v>
      </c>
      <c r="F20" s="2095">
        <f t="shared" si="1"/>
        <v>262858.81</v>
      </c>
    </row>
    <row r="21" spans="1:7" x14ac:dyDescent="0.25">
      <c r="A21" s="2097" t="s">
        <v>2562</v>
      </c>
      <c r="B21" s="2097" t="s">
        <v>2561</v>
      </c>
      <c r="C21" s="2097" t="s">
        <v>2573</v>
      </c>
      <c r="D21" s="2096">
        <v>134250</v>
      </c>
      <c r="E21" s="2095" t="str">
        <f t="shared" si="0"/>
        <v>25,000</v>
      </c>
      <c r="F21" s="2095">
        <f t="shared" si="1"/>
        <v>109250</v>
      </c>
    </row>
    <row r="22" spans="1:7" x14ac:dyDescent="0.25">
      <c r="A22" s="2097" t="s">
        <v>2562</v>
      </c>
      <c r="B22" s="2097" t="s">
        <v>2561</v>
      </c>
      <c r="C22" s="2097" t="s">
        <v>2572</v>
      </c>
      <c r="D22" s="2096">
        <v>25076.2</v>
      </c>
      <c r="E22" s="2095" t="str">
        <f t="shared" si="0"/>
        <v>25,000</v>
      </c>
      <c r="F22" s="2095">
        <f t="shared" si="1"/>
        <v>76.200000000000728</v>
      </c>
    </row>
    <row r="23" spans="1:7" x14ac:dyDescent="0.25">
      <c r="A23" s="2097" t="s">
        <v>2562</v>
      </c>
      <c r="B23" s="2097" t="s">
        <v>2561</v>
      </c>
      <c r="C23" s="2097" t="s">
        <v>2571</v>
      </c>
      <c r="D23" s="2096">
        <v>26287.53</v>
      </c>
      <c r="E23" s="2095" t="str">
        <f t="shared" si="0"/>
        <v>25,000</v>
      </c>
      <c r="F23" s="2095">
        <f t="shared" si="1"/>
        <v>1287.5299999999988</v>
      </c>
    </row>
    <row r="24" spans="1:7" x14ac:dyDescent="0.25">
      <c r="A24" s="2097" t="s">
        <v>2562</v>
      </c>
      <c r="B24" s="2097" t="s">
        <v>2561</v>
      </c>
      <c r="C24" s="2097" t="s">
        <v>2570</v>
      </c>
      <c r="D24" s="2096">
        <v>28500</v>
      </c>
      <c r="E24" s="2095" t="str">
        <f t="shared" si="0"/>
        <v>25,000</v>
      </c>
      <c r="F24" s="2095">
        <f t="shared" si="1"/>
        <v>3500</v>
      </c>
    </row>
    <row r="25" spans="1:7" x14ac:dyDescent="0.25">
      <c r="A25" s="2097" t="s">
        <v>2562</v>
      </c>
      <c r="B25" s="2097" t="s">
        <v>2561</v>
      </c>
      <c r="C25" s="2097" t="s">
        <v>2569</v>
      </c>
      <c r="D25" s="2096">
        <v>48130.259999999987</v>
      </c>
      <c r="E25" s="2095" t="str">
        <f t="shared" si="0"/>
        <v>25,000</v>
      </c>
      <c r="F25" s="2095">
        <f t="shared" si="1"/>
        <v>23130.259999999987</v>
      </c>
    </row>
    <row r="26" spans="1:7" x14ac:dyDescent="0.25">
      <c r="A26" s="2097" t="s">
        <v>2562</v>
      </c>
      <c r="B26" s="2097" t="s">
        <v>2561</v>
      </c>
      <c r="C26" s="2097" t="s">
        <v>2568</v>
      </c>
      <c r="D26" s="2096">
        <v>266462.63</v>
      </c>
      <c r="E26" s="2095" t="str">
        <f t="shared" si="0"/>
        <v>25,000</v>
      </c>
      <c r="F26" s="2095">
        <f t="shared" si="1"/>
        <v>241462.63</v>
      </c>
    </row>
    <row r="27" spans="1:7" x14ac:dyDescent="0.25">
      <c r="A27" s="2097" t="s">
        <v>2562</v>
      </c>
      <c r="B27" s="2097" t="s">
        <v>2561</v>
      </c>
      <c r="C27" s="2097" t="s">
        <v>2567</v>
      </c>
      <c r="D27" s="2096">
        <v>68139</v>
      </c>
      <c r="E27" s="2095" t="str">
        <f t="shared" si="0"/>
        <v>25,000</v>
      </c>
      <c r="F27" s="2095">
        <f t="shared" si="1"/>
        <v>43139</v>
      </c>
    </row>
    <row r="28" spans="1:7" x14ac:dyDescent="0.25">
      <c r="A28" s="2097" t="s">
        <v>2562</v>
      </c>
      <c r="B28" s="2097" t="s">
        <v>2561</v>
      </c>
      <c r="C28" s="2097" t="s">
        <v>2566</v>
      </c>
      <c r="D28" s="2096">
        <v>42707.34</v>
      </c>
      <c r="E28" s="2095" t="str">
        <f t="shared" si="0"/>
        <v>25,000</v>
      </c>
      <c r="F28" s="2095">
        <f t="shared" si="1"/>
        <v>17707.339999999997</v>
      </c>
    </row>
    <row r="29" spans="1:7" x14ac:dyDescent="0.25">
      <c r="A29" s="2097" t="s">
        <v>2562</v>
      </c>
      <c r="B29" s="2097" t="s">
        <v>2561</v>
      </c>
      <c r="C29" s="2097" t="s">
        <v>2565</v>
      </c>
      <c r="D29" s="2096">
        <v>31775.739999999994</v>
      </c>
      <c r="E29" s="2095" t="str">
        <f t="shared" si="0"/>
        <v>25,000</v>
      </c>
      <c r="F29" s="2095">
        <f t="shared" si="1"/>
        <v>6775.7399999999943</v>
      </c>
    </row>
    <row r="30" spans="1:7" x14ac:dyDescent="0.25">
      <c r="A30" s="2097" t="s">
        <v>2562</v>
      </c>
      <c r="B30" s="2097" t="s">
        <v>2561</v>
      </c>
      <c r="C30" s="2097" t="s">
        <v>2564</v>
      </c>
      <c r="D30" s="2096">
        <v>72055.59</v>
      </c>
      <c r="E30" s="2095" t="str">
        <f t="shared" si="0"/>
        <v>25,000</v>
      </c>
      <c r="F30" s="2095">
        <f t="shared" si="1"/>
        <v>47055.59</v>
      </c>
    </row>
    <row r="31" spans="1:7" x14ac:dyDescent="0.25">
      <c r="A31" s="2097" t="s">
        <v>2562</v>
      </c>
      <c r="B31" s="2097" t="s">
        <v>2561</v>
      </c>
      <c r="C31" s="2097" t="s">
        <v>2563</v>
      </c>
      <c r="D31" s="2096">
        <v>132750.26999999999</v>
      </c>
      <c r="E31" s="2095" t="str">
        <f t="shared" si="0"/>
        <v>25,000</v>
      </c>
      <c r="F31" s="2095">
        <f t="shared" si="1"/>
        <v>107750.26999999999</v>
      </c>
    </row>
    <row r="32" spans="1:7" x14ac:dyDescent="0.25">
      <c r="A32" s="2097" t="s">
        <v>2562</v>
      </c>
      <c r="B32" s="2097" t="s">
        <v>2561</v>
      </c>
      <c r="C32" s="2097" t="s">
        <v>2300</v>
      </c>
      <c r="D32" s="2096">
        <v>33601.360000000044</v>
      </c>
      <c r="E32" s="2095" t="str">
        <f t="shared" si="0"/>
        <v>25,000</v>
      </c>
      <c r="F32" s="2095">
        <f t="shared" si="1"/>
        <v>8601.3600000000442</v>
      </c>
    </row>
    <row r="33" spans="1:6" x14ac:dyDescent="0.25">
      <c r="A33" s="2097" t="s">
        <v>2562</v>
      </c>
      <c r="B33" s="2097" t="s">
        <v>2561</v>
      </c>
      <c r="C33" s="2097" t="s">
        <v>2247</v>
      </c>
      <c r="D33" s="2096">
        <v>71087.789999999994</v>
      </c>
      <c r="E33" s="2095" t="str">
        <f t="shared" si="0"/>
        <v>25,000</v>
      </c>
      <c r="F33" s="2095">
        <f t="shared" si="1"/>
        <v>46087.789999999994</v>
      </c>
    </row>
    <row r="34" spans="1:6" x14ac:dyDescent="0.25">
      <c r="A34" s="2097" t="s">
        <v>2562</v>
      </c>
      <c r="B34" s="2097" t="s">
        <v>2561</v>
      </c>
      <c r="C34" s="2097" t="s">
        <v>2560</v>
      </c>
      <c r="D34" s="2096">
        <v>56550</v>
      </c>
      <c r="E34" s="2095" t="str">
        <f t="shared" si="0"/>
        <v>25,000</v>
      </c>
      <c r="F34" s="2095">
        <f t="shared" si="1"/>
        <v>31550</v>
      </c>
    </row>
    <row r="35" spans="1:6" x14ac:dyDescent="0.25">
      <c r="A35" s="2097" t="s">
        <v>2545</v>
      </c>
      <c r="B35" s="2097" t="s">
        <v>2544</v>
      </c>
      <c r="C35" s="2097" t="s">
        <v>2559</v>
      </c>
      <c r="D35" s="2096">
        <v>69327.240000000034</v>
      </c>
      <c r="E35" s="2095" t="str">
        <f t="shared" si="0"/>
        <v>25,000</v>
      </c>
      <c r="F35" s="2095">
        <f t="shared" si="1"/>
        <v>44327.240000000034</v>
      </c>
    </row>
    <row r="36" spans="1:6" x14ac:dyDescent="0.25">
      <c r="A36" s="2097" t="s">
        <v>2545</v>
      </c>
      <c r="B36" s="2097" t="s">
        <v>2544</v>
      </c>
      <c r="C36" s="2097" t="s">
        <v>2558</v>
      </c>
      <c r="D36" s="2096">
        <v>59353.640000000007</v>
      </c>
      <c r="E36" s="2095" t="str">
        <f t="shared" si="0"/>
        <v>25,000</v>
      </c>
      <c r="F36" s="2095">
        <f t="shared" si="1"/>
        <v>34353.640000000007</v>
      </c>
    </row>
    <row r="37" spans="1:6" x14ac:dyDescent="0.25">
      <c r="A37" s="2097" t="s">
        <v>2545</v>
      </c>
      <c r="B37" s="2097" t="s">
        <v>2544</v>
      </c>
      <c r="C37" s="2097" t="s">
        <v>2557</v>
      </c>
      <c r="D37" s="2096">
        <v>26117.869999999988</v>
      </c>
      <c r="E37" s="2095" t="str">
        <f t="shared" si="0"/>
        <v>25,000</v>
      </c>
      <c r="F37" s="2095">
        <f t="shared" si="1"/>
        <v>1117.8699999999881</v>
      </c>
    </row>
    <row r="38" spans="1:6" x14ac:dyDescent="0.25">
      <c r="A38" s="2097" t="s">
        <v>2545</v>
      </c>
      <c r="B38" s="2097" t="s">
        <v>2544</v>
      </c>
      <c r="C38" s="2097" t="s">
        <v>2556</v>
      </c>
      <c r="D38" s="2096">
        <v>51066.490000000005</v>
      </c>
      <c r="E38" s="2095" t="str">
        <f t="shared" si="0"/>
        <v>25,000</v>
      </c>
      <c r="F38" s="2095">
        <f t="shared" si="1"/>
        <v>26066.490000000005</v>
      </c>
    </row>
    <row r="39" spans="1:6" x14ac:dyDescent="0.25">
      <c r="A39" s="2097" t="s">
        <v>2545</v>
      </c>
      <c r="B39" s="2097" t="s">
        <v>2544</v>
      </c>
      <c r="C39" s="2097" t="s">
        <v>2555</v>
      </c>
      <c r="D39" s="2096">
        <v>106496.2</v>
      </c>
      <c r="E39" s="2095" t="str">
        <f t="shared" si="0"/>
        <v>25,000</v>
      </c>
      <c r="F39" s="2095">
        <f t="shared" si="1"/>
        <v>81496.2</v>
      </c>
    </row>
    <row r="40" spans="1:6" x14ac:dyDescent="0.25">
      <c r="A40" s="2097" t="s">
        <v>2545</v>
      </c>
      <c r="B40" s="2097" t="s">
        <v>2544</v>
      </c>
      <c r="C40" s="2097" t="s">
        <v>2554</v>
      </c>
      <c r="D40" s="2096">
        <v>48791.98</v>
      </c>
      <c r="E40" s="2095" t="str">
        <f t="shared" si="0"/>
        <v>25,000</v>
      </c>
      <c r="F40" s="2095">
        <f t="shared" si="1"/>
        <v>23791.980000000003</v>
      </c>
    </row>
    <row r="41" spans="1:6" x14ac:dyDescent="0.25">
      <c r="A41" s="2097" t="s">
        <v>2545</v>
      </c>
      <c r="B41" s="2097" t="s">
        <v>2544</v>
      </c>
      <c r="C41" s="2097" t="s">
        <v>2417</v>
      </c>
      <c r="D41" s="2096">
        <v>40925.509999999995</v>
      </c>
      <c r="E41" s="2095" t="str">
        <f t="shared" si="0"/>
        <v>25,000</v>
      </c>
      <c r="F41" s="2095">
        <f t="shared" si="1"/>
        <v>15925.509999999995</v>
      </c>
    </row>
    <row r="42" spans="1:6" x14ac:dyDescent="0.25">
      <c r="A42" s="2097" t="s">
        <v>2545</v>
      </c>
      <c r="B42" s="2097" t="s">
        <v>2544</v>
      </c>
      <c r="C42" s="2097" t="s">
        <v>2553</v>
      </c>
      <c r="D42" s="2096">
        <v>36934.400000000001</v>
      </c>
      <c r="E42" s="2095" t="str">
        <f t="shared" si="0"/>
        <v>25,000</v>
      </c>
      <c r="F42" s="2095">
        <f t="shared" si="1"/>
        <v>11934.400000000001</v>
      </c>
    </row>
    <row r="43" spans="1:6" x14ac:dyDescent="0.25">
      <c r="A43" s="2097" t="s">
        <v>2545</v>
      </c>
      <c r="B43" s="2097" t="s">
        <v>2544</v>
      </c>
      <c r="C43" s="2097" t="s">
        <v>2552</v>
      </c>
      <c r="D43" s="2096">
        <v>30284.000000000004</v>
      </c>
      <c r="E43" s="2095" t="str">
        <f t="shared" si="0"/>
        <v>25,000</v>
      </c>
      <c r="F43" s="2095">
        <f t="shared" si="1"/>
        <v>5284.0000000000036</v>
      </c>
    </row>
    <row r="44" spans="1:6" x14ac:dyDescent="0.25">
      <c r="A44" s="2097" t="s">
        <v>2545</v>
      </c>
      <c r="B44" s="2097" t="s">
        <v>2544</v>
      </c>
      <c r="C44" s="2097" t="s">
        <v>2480</v>
      </c>
      <c r="D44" s="2096">
        <v>77929.95</v>
      </c>
      <c r="E44" s="2095" t="str">
        <f t="shared" si="0"/>
        <v>25,000</v>
      </c>
      <c r="F44" s="2095">
        <f t="shared" si="1"/>
        <v>52929.95</v>
      </c>
    </row>
    <row r="45" spans="1:6" x14ac:dyDescent="0.25">
      <c r="A45" s="2097" t="s">
        <v>2545</v>
      </c>
      <c r="B45" s="2097" t="s">
        <v>2544</v>
      </c>
      <c r="C45" s="2097" t="s">
        <v>2551</v>
      </c>
      <c r="D45" s="2096">
        <v>37694.39</v>
      </c>
      <c r="E45" s="2095" t="str">
        <f t="shared" si="0"/>
        <v>25,000</v>
      </c>
      <c r="F45" s="2095">
        <f t="shared" si="1"/>
        <v>12694.39</v>
      </c>
    </row>
    <row r="46" spans="1:6" x14ac:dyDescent="0.25">
      <c r="A46" s="2097" t="s">
        <v>2545</v>
      </c>
      <c r="B46" s="2097" t="s">
        <v>2544</v>
      </c>
      <c r="C46" s="2097" t="s">
        <v>2550</v>
      </c>
      <c r="D46" s="2096">
        <v>57874.639999999992</v>
      </c>
      <c r="E46" s="2095" t="str">
        <f t="shared" si="0"/>
        <v>25,000</v>
      </c>
      <c r="F46" s="2095">
        <f t="shared" si="1"/>
        <v>32874.639999999992</v>
      </c>
    </row>
    <row r="47" spans="1:6" x14ac:dyDescent="0.25">
      <c r="A47" s="2097" t="s">
        <v>2545</v>
      </c>
      <c r="B47" s="2097" t="s">
        <v>2544</v>
      </c>
      <c r="C47" s="2097" t="s">
        <v>2494</v>
      </c>
      <c r="D47" s="2096">
        <v>58585.969999999987</v>
      </c>
      <c r="E47" s="2095" t="str">
        <f t="shared" si="0"/>
        <v>25,000</v>
      </c>
      <c r="F47" s="2095">
        <f t="shared" si="1"/>
        <v>33585.969999999987</v>
      </c>
    </row>
    <row r="48" spans="1:6" x14ac:dyDescent="0.25">
      <c r="A48" s="2097" t="s">
        <v>2545</v>
      </c>
      <c r="B48" s="2097" t="s">
        <v>2544</v>
      </c>
      <c r="C48" s="2097" t="s">
        <v>2549</v>
      </c>
      <c r="D48" s="2096">
        <v>67041.469999999987</v>
      </c>
      <c r="E48" s="2095" t="str">
        <f t="shared" si="0"/>
        <v>25,000</v>
      </c>
      <c r="F48" s="2095">
        <f t="shared" si="1"/>
        <v>42041.469999999987</v>
      </c>
    </row>
    <row r="49" spans="1:6" x14ac:dyDescent="0.25">
      <c r="A49" s="2097" t="s">
        <v>2545</v>
      </c>
      <c r="B49" s="2097" t="s">
        <v>2544</v>
      </c>
      <c r="C49" s="2097" t="s">
        <v>2450</v>
      </c>
      <c r="D49" s="2096">
        <v>424224.59999999835</v>
      </c>
      <c r="E49" s="2095" t="str">
        <f t="shared" si="0"/>
        <v>25,000</v>
      </c>
      <c r="F49" s="2095">
        <f t="shared" si="1"/>
        <v>399224.59999999835</v>
      </c>
    </row>
    <row r="50" spans="1:6" x14ac:dyDescent="0.25">
      <c r="A50" s="2097" t="s">
        <v>2545</v>
      </c>
      <c r="B50" s="2097" t="s">
        <v>2544</v>
      </c>
      <c r="C50" s="2097" t="s">
        <v>2363</v>
      </c>
      <c r="D50" s="2096">
        <v>42909.979999999996</v>
      </c>
      <c r="E50" s="2095" t="str">
        <f t="shared" si="0"/>
        <v>25,000</v>
      </c>
      <c r="F50" s="2095">
        <f t="shared" si="1"/>
        <v>17909.979999999996</v>
      </c>
    </row>
    <row r="51" spans="1:6" x14ac:dyDescent="0.25">
      <c r="A51" s="2097" t="s">
        <v>2545</v>
      </c>
      <c r="B51" s="2097" t="s">
        <v>2544</v>
      </c>
      <c r="C51" s="2097" t="s">
        <v>2477</v>
      </c>
      <c r="D51" s="2096">
        <v>149435.27000000008</v>
      </c>
      <c r="E51" s="2095" t="str">
        <f t="shared" si="0"/>
        <v>25,000</v>
      </c>
      <c r="F51" s="2095">
        <f t="shared" si="1"/>
        <v>124435.27000000008</v>
      </c>
    </row>
    <row r="52" spans="1:6" x14ac:dyDescent="0.25">
      <c r="A52" s="2097" t="s">
        <v>2545</v>
      </c>
      <c r="B52" s="2097" t="s">
        <v>2544</v>
      </c>
      <c r="C52" s="2097" t="s">
        <v>2548</v>
      </c>
      <c r="D52" s="2096">
        <v>87063.329999999987</v>
      </c>
      <c r="E52" s="2095" t="str">
        <f t="shared" si="0"/>
        <v>25,000</v>
      </c>
      <c r="F52" s="2095">
        <f t="shared" si="1"/>
        <v>62063.329999999987</v>
      </c>
    </row>
    <row r="53" spans="1:6" x14ac:dyDescent="0.25">
      <c r="A53" s="2097" t="s">
        <v>2545</v>
      </c>
      <c r="B53" s="2097" t="s">
        <v>2544</v>
      </c>
      <c r="C53" s="2097" t="s">
        <v>2547</v>
      </c>
      <c r="D53" s="2096">
        <v>171106.28</v>
      </c>
      <c r="E53" s="2095" t="str">
        <f t="shared" si="0"/>
        <v>25,000</v>
      </c>
      <c r="F53" s="2095">
        <f t="shared" si="1"/>
        <v>146106.28</v>
      </c>
    </row>
    <row r="54" spans="1:6" x14ac:dyDescent="0.25">
      <c r="A54" s="2097" t="s">
        <v>2545</v>
      </c>
      <c r="B54" s="2097" t="s">
        <v>2544</v>
      </c>
      <c r="C54" s="2097" t="s">
        <v>2546</v>
      </c>
      <c r="D54" s="2096">
        <v>57628.670000000006</v>
      </c>
      <c r="E54" s="2095" t="str">
        <f t="shared" si="0"/>
        <v>25,000</v>
      </c>
      <c r="F54" s="2095">
        <f t="shared" si="1"/>
        <v>32628.670000000006</v>
      </c>
    </row>
    <row r="55" spans="1:6" x14ac:dyDescent="0.25">
      <c r="A55" s="2097" t="s">
        <v>2545</v>
      </c>
      <c r="B55" s="2097" t="s">
        <v>2544</v>
      </c>
      <c r="C55" s="2097" t="s">
        <v>2231</v>
      </c>
      <c r="D55" s="2096">
        <v>393754.73000000033</v>
      </c>
      <c r="E55" s="2095" t="str">
        <f t="shared" si="0"/>
        <v>25,000</v>
      </c>
      <c r="F55" s="2095">
        <f t="shared" si="1"/>
        <v>368754.73000000033</v>
      </c>
    </row>
    <row r="56" spans="1:6" x14ac:dyDescent="0.25">
      <c r="A56" s="2097" t="s">
        <v>2542</v>
      </c>
      <c r="B56" s="2097" t="s">
        <v>1795</v>
      </c>
      <c r="C56" s="2097" t="s">
        <v>2543</v>
      </c>
      <c r="D56" s="2096">
        <v>264553.41000000003</v>
      </c>
      <c r="E56" s="2095" t="str">
        <f t="shared" si="0"/>
        <v>25,000</v>
      </c>
      <c r="F56" s="2095">
        <f t="shared" si="1"/>
        <v>239553.41000000003</v>
      </c>
    </row>
    <row r="57" spans="1:6" x14ac:dyDescent="0.25">
      <c r="A57" s="2097" t="s">
        <v>2542</v>
      </c>
      <c r="B57" s="2097" t="s">
        <v>1795</v>
      </c>
      <c r="C57" s="2097" t="s">
        <v>2541</v>
      </c>
      <c r="D57" s="2096">
        <v>89500</v>
      </c>
      <c r="E57" s="2095" t="str">
        <f t="shared" si="0"/>
        <v>25,000</v>
      </c>
      <c r="F57" s="2095">
        <f t="shared" si="1"/>
        <v>64500</v>
      </c>
    </row>
    <row r="58" spans="1:6" x14ac:dyDescent="0.25">
      <c r="A58" s="2097" t="s">
        <v>2513</v>
      </c>
      <c r="B58" s="2097" t="s">
        <v>2512</v>
      </c>
      <c r="C58" s="2097" t="s">
        <v>2540</v>
      </c>
      <c r="D58" s="2096">
        <v>121490</v>
      </c>
      <c r="E58" s="2095" t="str">
        <f t="shared" si="0"/>
        <v>25,000</v>
      </c>
      <c r="F58" s="2095">
        <f t="shared" si="1"/>
        <v>96490</v>
      </c>
    </row>
    <row r="59" spans="1:6" x14ac:dyDescent="0.25">
      <c r="A59" s="2097" t="s">
        <v>2513</v>
      </c>
      <c r="B59" s="2097" t="s">
        <v>2512</v>
      </c>
      <c r="C59" s="2097" t="s">
        <v>2539</v>
      </c>
      <c r="D59" s="2096">
        <v>47044</v>
      </c>
      <c r="E59" s="2095" t="str">
        <f t="shared" si="0"/>
        <v>25,000</v>
      </c>
      <c r="F59" s="2095">
        <f t="shared" si="1"/>
        <v>22044</v>
      </c>
    </row>
    <row r="60" spans="1:6" x14ac:dyDescent="0.25">
      <c r="A60" s="2097" t="s">
        <v>2513</v>
      </c>
      <c r="B60" s="2097" t="s">
        <v>2512</v>
      </c>
      <c r="C60" s="2097" t="s">
        <v>2538</v>
      </c>
      <c r="D60" s="2096">
        <v>90975</v>
      </c>
      <c r="E60" s="2095" t="str">
        <f t="shared" si="0"/>
        <v>25,000</v>
      </c>
      <c r="F60" s="2095">
        <f t="shared" si="1"/>
        <v>65975</v>
      </c>
    </row>
    <row r="61" spans="1:6" x14ac:dyDescent="0.25">
      <c r="A61" s="2097" t="s">
        <v>2513</v>
      </c>
      <c r="B61" s="2097" t="s">
        <v>2512</v>
      </c>
      <c r="C61" s="2097" t="s">
        <v>2537</v>
      </c>
      <c r="D61" s="2096">
        <v>200437.49999999994</v>
      </c>
      <c r="E61" s="2095" t="str">
        <f t="shared" si="0"/>
        <v>25,000</v>
      </c>
      <c r="F61" s="2095">
        <f t="shared" si="1"/>
        <v>175437.49999999994</v>
      </c>
    </row>
    <row r="62" spans="1:6" x14ac:dyDescent="0.25">
      <c r="A62" s="2097" t="s">
        <v>2513</v>
      </c>
      <c r="B62" s="2097" t="s">
        <v>2512</v>
      </c>
      <c r="C62" s="2097" t="s">
        <v>2536</v>
      </c>
      <c r="D62" s="2096">
        <v>94514</v>
      </c>
      <c r="E62" s="2095" t="str">
        <f t="shared" si="0"/>
        <v>25,000</v>
      </c>
      <c r="F62" s="2095">
        <f t="shared" si="1"/>
        <v>69514</v>
      </c>
    </row>
    <row r="63" spans="1:6" x14ac:dyDescent="0.25">
      <c r="A63" s="2097" t="s">
        <v>2513</v>
      </c>
      <c r="B63" s="2097" t="s">
        <v>2512</v>
      </c>
      <c r="C63" s="2097" t="s">
        <v>2535</v>
      </c>
      <c r="D63" s="2096">
        <v>31663.5</v>
      </c>
      <c r="E63" s="2095" t="str">
        <f t="shared" si="0"/>
        <v>25,000</v>
      </c>
      <c r="F63" s="2095">
        <f t="shared" si="1"/>
        <v>6663.5</v>
      </c>
    </row>
    <row r="64" spans="1:6" x14ac:dyDescent="0.25">
      <c r="A64" s="2097" t="s">
        <v>2513</v>
      </c>
      <c r="B64" s="2097" t="s">
        <v>2512</v>
      </c>
      <c r="C64" s="2097" t="s">
        <v>2534</v>
      </c>
      <c r="D64" s="2096">
        <v>80538.7</v>
      </c>
      <c r="E64" s="2095" t="str">
        <f t="shared" si="0"/>
        <v>25,000</v>
      </c>
      <c r="F64" s="2095">
        <f t="shared" si="1"/>
        <v>55538.7</v>
      </c>
    </row>
    <row r="65" spans="1:6" x14ac:dyDescent="0.25">
      <c r="A65" s="2097" t="s">
        <v>2513</v>
      </c>
      <c r="B65" s="2097" t="s">
        <v>2512</v>
      </c>
      <c r="C65" s="2097" t="s">
        <v>2533</v>
      </c>
      <c r="D65" s="2096">
        <v>40330</v>
      </c>
      <c r="E65" s="2095" t="str">
        <f t="shared" si="0"/>
        <v>25,000</v>
      </c>
      <c r="F65" s="2095">
        <f t="shared" si="1"/>
        <v>15330</v>
      </c>
    </row>
    <row r="66" spans="1:6" x14ac:dyDescent="0.25">
      <c r="A66" s="2097" t="s">
        <v>2513</v>
      </c>
      <c r="B66" s="2097" t="s">
        <v>2512</v>
      </c>
      <c r="C66" s="2097" t="s">
        <v>2532</v>
      </c>
      <c r="D66" s="2096">
        <v>1063280.75</v>
      </c>
      <c r="E66" s="2095" t="str">
        <f t="shared" si="0"/>
        <v>25,000</v>
      </c>
      <c r="F66" s="2095">
        <f t="shared" si="1"/>
        <v>1038280.75</v>
      </c>
    </row>
    <row r="67" spans="1:6" x14ac:dyDescent="0.25">
      <c r="A67" s="2097" t="s">
        <v>2513</v>
      </c>
      <c r="B67" s="2097" t="s">
        <v>2512</v>
      </c>
      <c r="C67" s="2097" t="s">
        <v>2531</v>
      </c>
      <c r="D67" s="2096">
        <v>107983.75</v>
      </c>
      <c r="E67" s="2095" t="str">
        <f t="shared" si="0"/>
        <v>25,000</v>
      </c>
      <c r="F67" s="2095">
        <f t="shared" si="1"/>
        <v>82983.75</v>
      </c>
    </row>
    <row r="68" spans="1:6" x14ac:dyDescent="0.25">
      <c r="A68" s="2097" t="s">
        <v>2513</v>
      </c>
      <c r="B68" s="2097" t="s">
        <v>2512</v>
      </c>
      <c r="C68" s="2097" t="s">
        <v>2530</v>
      </c>
      <c r="D68" s="2096">
        <v>285629.40000000002</v>
      </c>
      <c r="E68" s="2095" t="str">
        <f t="shared" si="0"/>
        <v>25,000</v>
      </c>
      <c r="F68" s="2095">
        <f t="shared" si="1"/>
        <v>260629.40000000002</v>
      </c>
    </row>
    <row r="69" spans="1:6" x14ac:dyDescent="0.25">
      <c r="A69" s="2097" t="s">
        <v>2513</v>
      </c>
      <c r="B69" s="2097" t="s">
        <v>2512</v>
      </c>
      <c r="C69" s="2097" t="s">
        <v>2529</v>
      </c>
      <c r="D69" s="2096">
        <v>65914.5</v>
      </c>
      <c r="E69" s="2095" t="str">
        <f t="shared" si="0"/>
        <v>25,000</v>
      </c>
      <c r="F69" s="2095">
        <f t="shared" si="1"/>
        <v>40914.5</v>
      </c>
    </row>
    <row r="70" spans="1:6" x14ac:dyDescent="0.25">
      <c r="A70" s="2097" t="s">
        <v>2513</v>
      </c>
      <c r="B70" s="2097" t="s">
        <v>2512</v>
      </c>
      <c r="C70" s="2097" t="s">
        <v>2528</v>
      </c>
      <c r="D70" s="2096">
        <v>197000</v>
      </c>
      <c r="E70" s="2095" t="str">
        <f t="shared" si="0"/>
        <v>25,000</v>
      </c>
      <c r="F70" s="2095">
        <f t="shared" si="1"/>
        <v>172000</v>
      </c>
    </row>
    <row r="71" spans="1:6" x14ac:dyDescent="0.25">
      <c r="A71" s="2097" t="s">
        <v>2513</v>
      </c>
      <c r="B71" s="2097" t="s">
        <v>2512</v>
      </c>
      <c r="C71" s="2097" t="s">
        <v>2527</v>
      </c>
      <c r="D71" s="2096">
        <v>103839.08</v>
      </c>
      <c r="E71" s="2095" t="str">
        <f t="shared" si="0"/>
        <v>25,000</v>
      </c>
      <c r="F71" s="2095">
        <f t="shared" si="1"/>
        <v>78839.08</v>
      </c>
    </row>
    <row r="72" spans="1:6" x14ac:dyDescent="0.25">
      <c r="A72" s="2097" t="s">
        <v>2513</v>
      </c>
      <c r="B72" s="2097" t="s">
        <v>2512</v>
      </c>
      <c r="C72" s="2097" t="s">
        <v>2526</v>
      </c>
      <c r="D72" s="2096">
        <v>26641</v>
      </c>
      <c r="E72" s="2095" t="str">
        <f t="shared" si="0"/>
        <v>25,000</v>
      </c>
      <c r="F72" s="2095">
        <f t="shared" si="1"/>
        <v>1641</v>
      </c>
    </row>
    <row r="73" spans="1:6" x14ac:dyDescent="0.25">
      <c r="A73" s="2097" t="s">
        <v>2513</v>
      </c>
      <c r="B73" s="2097" t="s">
        <v>2512</v>
      </c>
      <c r="C73" s="2097" t="s">
        <v>2525</v>
      </c>
      <c r="D73" s="2096">
        <v>33189</v>
      </c>
      <c r="E73" s="2095" t="str">
        <f t="shared" si="0"/>
        <v>25,000</v>
      </c>
      <c r="F73" s="2095">
        <f t="shared" si="1"/>
        <v>8189</v>
      </c>
    </row>
    <row r="74" spans="1:6" x14ac:dyDescent="0.25">
      <c r="A74" s="2097" t="s">
        <v>2513</v>
      </c>
      <c r="B74" s="2097" t="s">
        <v>2512</v>
      </c>
      <c r="C74" s="2097" t="s">
        <v>2524</v>
      </c>
      <c r="D74" s="2096">
        <v>92489.60000000002</v>
      </c>
      <c r="E74" s="2095" t="str">
        <f t="shared" si="0"/>
        <v>25,000</v>
      </c>
      <c r="F74" s="2095">
        <f t="shared" si="1"/>
        <v>67489.60000000002</v>
      </c>
    </row>
    <row r="75" spans="1:6" x14ac:dyDescent="0.25">
      <c r="A75" s="2097" t="s">
        <v>2513</v>
      </c>
      <c r="B75" s="2097" t="s">
        <v>2512</v>
      </c>
      <c r="C75" s="2097" t="s">
        <v>2523</v>
      </c>
      <c r="D75" s="2096">
        <v>86976</v>
      </c>
      <c r="E75" s="2095" t="str">
        <f t="shared" si="0"/>
        <v>25,000</v>
      </c>
      <c r="F75" s="2095">
        <f t="shared" si="1"/>
        <v>61976</v>
      </c>
    </row>
    <row r="76" spans="1:6" x14ac:dyDescent="0.25">
      <c r="A76" s="2097" t="s">
        <v>2513</v>
      </c>
      <c r="B76" s="2097" t="s">
        <v>2512</v>
      </c>
      <c r="C76" s="2097" t="s">
        <v>2522</v>
      </c>
      <c r="D76" s="2096">
        <v>44006.25</v>
      </c>
      <c r="E76" s="2095" t="str">
        <f t="shared" si="0"/>
        <v>25,000</v>
      </c>
      <c r="F76" s="2095">
        <f t="shared" si="1"/>
        <v>19006.25</v>
      </c>
    </row>
    <row r="77" spans="1:6" x14ac:dyDescent="0.25">
      <c r="A77" s="2097" t="s">
        <v>2513</v>
      </c>
      <c r="B77" s="2097" t="s">
        <v>2512</v>
      </c>
      <c r="C77" s="2097" t="s">
        <v>2521</v>
      </c>
      <c r="D77" s="2096">
        <v>104086</v>
      </c>
      <c r="E77" s="2095" t="str">
        <f t="shared" si="0"/>
        <v>25,000</v>
      </c>
      <c r="F77" s="2095">
        <f t="shared" si="1"/>
        <v>79086</v>
      </c>
    </row>
    <row r="78" spans="1:6" x14ac:dyDescent="0.25">
      <c r="A78" s="2097" t="s">
        <v>2513</v>
      </c>
      <c r="B78" s="2097" t="s">
        <v>2512</v>
      </c>
      <c r="C78" s="2097" t="s">
        <v>2520</v>
      </c>
      <c r="D78" s="2096">
        <v>72969.75</v>
      </c>
      <c r="E78" s="2095" t="str">
        <f t="shared" si="0"/>
        <v>25,000</v>
      </c>
      <c r="F78" s="2095">
        <f t="shared" si="1"/>
        <v>47969.75</v>
      </c>
    </row>
    <row r="79" spans="1:6" x14ac:dyDescent="0.25">
      <c r="A79" s="2097" t="s">
        <v>2513</v>
      </c>
      <c r="B79" s="2097" t="s">
        <v>2512</v>
      </c>
      <c r="C79" s="2097" t="s">
        <v>2507</v>
      </c>
      <c r="D79" s="2096">
        <v>75250</v>
      </c>
      <c r="E79" s="2095" t="str">
        <f t="shared" si="0"/>
        <v>25,000</v>
      </c>
      <c r="F79" s="2095">
        <f t="shared" si="1"/>
        <v>50250</v>
      </c>
    </row>
    <row r="80" spans="1:6" x14ac:dyDescent="0.25">
      <c r="A80" s="2097" t="s">
        <v>2513</v>
      </c>
      <c r="B80" s="2097" t="s">
        <v>2512</v>
      </c>
      <c r="C80" s="2097" t="s">
        <v>2519</v>
      </c>
      <c r="D80" s="2096">
        <v>75618.75</v>
      </c>
      <c r="E80" s="2095" t="str">
        <f t="shared" si="0"/>
        <v>25,000</v>
      </c>
      <c r="F80" s="2095">
        <f t="shared" si="1"/>
        <v>50618.75</v>
      </c>
    </row>
    <row r="81" spans="1:6" x14ac:dyDescent="0.25">
      <c r="A81" s="2097" t="s">
        <v>2513</v>
      </c>
      <c r="B81" s="2097" t="s">
        <v>2512</v>
      </c>
      <c r="C81" s="2097" t="s">
        <v>2518</v>
      </c>
      <c r="D81" s="2096">
        <v>159057</v>
      </c>
      <c r="E81" s="2095" t="str">
        <f t="shared" ref="E81:E144" si="2">IF(D81&lt;25000,D81,"25,000")</f>
        <v>25,000</v>
      </c>
      <c r="F81" s="2095">
        <f t="shared" ref="F81:F144" si="3">IF(D81&gt;=25000,(D81-E81),"0")</f>
        <v>134057</v>
      </c>
    </row>
    <row r="82" spans="1:6" x14ac:dyDescent="0.25">
      <c r="A82" s="2097" t="s">
        <v>2513</v>
      </c>
      <c r="B82" s="2097" t="s">
        <v>2512</v>
      </c>
      <c r="C82" s="2097" t="s">
        <v>2517</v>
      </c>
      <c r="D82" s="2096">
        <v>85484.849999999991</v>
      </c>
      <c r="E82" s="2095" t="str">
        <f t="shared" si="2"/>
        <v>25,000</v>
      </c>
      <c r="F82" s="2095">
        <f t="shared" si="3"/>
        <v>60484.849999999991</v>
      </c>
    </row>
    <row r="83" spans="1:6" x14ac:dyDescent="0.25">
      <c r="A83" s="2097" t="s">
        <v>2513</v>
      </c>
      <c r="B83" s="2097" t="s">
        <v>2512</v>
      </c>
      <c r="C83" s="2097" t="s">
        <v>2516</v>
      </c>
      <c r="D83" s="2096">
        <v>151375</v>
      </c>
      <c r="E83" s="2095" t="str">
        <f t="shared" si="2"/>
        <v>25,000</v>
      </c>
      <c r="F83" s="2095">
        <f t="shared" si="3"/>
        <v>126375</v>
      </c>
    </row>
    <row r="84" spans="1:6" x14ac:dyDescent="0.25">
      <c r="A84" s="2097" t="s">
        <v>2513</v>
      </c>
      <c r="B84" s="2097" t="s">
        <v>2512</v>
      </c>
      <c r="C84" s="2097" t="s">
        <v>2515</v>
      </c>
      <c r="D84" s="2096">
        <v>58045.880000000005</v>
      </c>
      <c r="E84" s="2095" t="str">
        <f t="shared" si="2"/>
        <v>25,000</v>
      </c>
      <c r="F84" s="2095">
        <f t="shared" si="3"/>
        <v>33045.880000000005</v>
      </c>
    </row>
    <row r="85" spans="1:6" x14ac:dyDescent="0.25">
      <c r="A85" s="2097" t="s">
        <v>2513</v>
      </c>
      <c r="B85" s="2097" t="s">
        <v>2512</v>
      </c>
      <c r="C85" s="2097" t="s">
        <v>2514</v>
      </c>
      <c r="D85" s="2096">
        <v>33750</v>
      </c>
      <c r="E85" s="2095" t="str">
        <f t="shared" si="2"/>
        <v>25,000</v>
      </c>
      <c r="F85" s="2095">
        <f t="shared" si="3"/>
        <v>8750</v>
      </c>
    </row>
    <row r="86" spans="1:6" x14ac:dyDescent="0.25">
      <c r="A86" s="2097" t="s">
        <v>2513</v>
      </c>
      <c r="B86" s="2097" t="s">
        <v>2512</v>
      </c>
      <c r="C86" s="2097" t="s">
        <v>2511</v>
      </c>
      <c r="D86" s="2096">
        <v>64155</v>
      </c>
      <c r="E86" s="2095" t="str">
        <f t="shared" si="2"/>
        <v>25,000</v>
      </c>
      <c r="F86" s="2095">
        <f t="shared" si="3"/>
        <v>39155</v>
      </c>
    </row>
    <row r="87" spans="1:6" x14ac:dyDescent="0.25">
      <c r="A87" s="2097" t="s">
        <v>2509</v>
      </c>
      <c r="B87" s="2097" t="s">
        <v>2508</v>
      </c>
      <c r="C87" s="2097" t="s">
        <v>2450</v>
      </c>
      <c r="D87" s="2096">
        <v>29569.580000000024</v>
      </c>
      <c r="E87" s="2095" t="str">
        <f t="shared" si="2"/>
        <v>25,000</v>
      </c>
      <c r="F87" s="2095">
        <f t="shared" si="3"/>
        <v>4569.5800000000236</v>
      </c>
    </row>
    <row r="88" spans="1:6" x14ac:dyDescent="0.25">
      <c r="A88" s="2097" t="s">
        <v>2509</v>
      </c>
      <c r="B88" s="2097" t="s">
        <v>2508</v>
      </c>
      <c r="C88" s="2097" t="s">
        <v>2510</v>
      </c>
      <c r="D88" s="2096">
        <v>71080.260000000024</v>
      </c>
      <c r="E88" s="2095" t="str">
        <f t="shared" si="2"/>
        <v>25,000</v>
      </c>
      <c r="F88" s="2095">
        <f t="shared" si="3"/>
        <v>46080.260000000024</v>
      </c>
    </row>
    <row r="89" spans="1:6" x14ac:dyDescent="0.25">
      <c r="A89" s="2097" t="s">
        <v>2509</v>
      </c>
      <c r="B89" s="2097" t="s">
        <v>2508</v>
      </c>
      <c r="C89" s="2097" t="s">
        <v>2507</v>
      </c>
      <c r="D89" s="2096">
        <v>28897.369999999995</v>
      </c>
      <c r="E89" s="2095" t="str">
        <f t="shared" si="2"/>
        <v>25,000</v>
      </c>
      <c r="F89" s="2095">
        <f t="shared" si="3"/>
        <v>3897.3699999999953</v>
      </c>
    </row>
    <row r="90" spans="1:6" x14ac:dyDescent="0.25">
      <c r="A90" s="2097" t="s">
        <v>2486</v>
      </c>
      <c r="B90" s="2097" t="s">
        <v>2485</v>
      </c>
      <c r="C90" s="2097" t="s">
        <v>2506</v>
      </c>
      <c r="D90" s="2096">
        <v>29650</v>
      </c>
      <c r="E90" s="2095" t="str">
        <f t="shared" si="2"/>
        <v>25,000</v>
      </c>
      <c r="F90" s="2095">
        <f t="shared" si="3"/>
        <v>4650</v>
      </c>
    </row>
    <row r="91" spans="1:6" x14ac:dyDescent="0.25">
      <c r="A91" s="2097" t="s">
        <v>2486</v>
      </c>
      <c r="B91" s="2097" t="s">
        <v>2485</v>
      </c>
      <c r="C91" s="2097" t="s">
        <v>2505</v>
      </c>
      <c r="D91" s="2096">
        <v>416875</v>
      </c>
      <c r="E91" s="2095" t="str">
        <f t="shared" si="2"/>
        <v>25,000</v>
      </c>
      <c r="F91" s="2095">
        <f t="shared" si="3"/>
        <v>391875</v>
      </c>
    </row>
    <row r="92" spans="1:6" x14ac:dyDescent="0.25">
      <c r="A92" s="2097" t="s">
        <v>2486</v>
      </c>
      <c r="B92" s="2097" t="s">
        <v>2485</v>
      </c>
      <c r="C92" s="2097" t="s">
        <v>2504</v>
      </c>
      <c r="D92" s="2096">
        <v>89202</v>
      </c>
      <c r="E92" s="2095" t="str">
        <f t="shared" si="2"/>
        <v>25,000</v>
      </c>
      <c r="F92" s="2095">
        <f t="shared" si="3"/>
        <v>64202</v>
      </c>
    </row>
    <row r="93" spans="1:6" x14ac:dyDescent="0.25">
      <c r="A93" s="2097" t="s">
        <v>2486</v>
      </c>
      <c r="B93" s="2097" t="s">
        <v>2485</v>
      </c>
      <c r="C93" s="2097" t="s">
        <v>2503</v>
      </c>
      <c r="D93" s="2096">
        <v>179606</v>
      </c>
      <c r="E93" s="2095" t="str">
        <f t="shared" si="2"/>
        <v>25,000</v>
      </c>
      <c r="F93" s="2095">
        <f t="shared" si="3"/>
        <v>154606</v>
      </c>
    </row>
    <row r="94" spans="1:6" x14ac:dyDescent="0.25">
      <c r="A94" s="2097" t="s">
        <v>2486</v>
      </c>
      <c r="B94" s="2097" t="s">
        <v>2485</v>
      </c>
      <c r="C94" s="2097" t="s">
        <v>2502</v>
      </c>
      <c r="D94" s="2096">
        <v>74120</v>
      </c>
      <c r="E94" s="2095" t="str">
        <f t="shared" si="2"/>
        <v>25,000</v>
      </c>
      <c r="F94" s="2095">
        <f t="shared" si="3"/>
        <v>49120</v>
      </c>
    </row>
    <row r="95" spans="1:6" x14ac:dyDescent="0.25">
      <c r="A95" s="2097" t="s">
        <v>2486</v>
      </c>
      <c r="B95" s="2097" t="s">
        <v>2485</v>
      </c>
      <c r="C95" s="2097" t="s">
        <v>2501</v>
      </c>
      <c r="D95" s="2096">
        <v>554400</v>
      </c>
      <c r="E95" s="2095" t="str">
        <f t="shared" si="2"/>
        <v>25,000</v>
      </c>
      <c r="F95" s="2095">
        <f t="shared" si="3"/>
        <v>529400</v>
      </c>
    </row>
    <row r="96" spans="1:6" x14ac:dyDescent="0.25">
      <c r="A96" s="2097" t="s">
        <v>2486</v>
      </c>
      <c r="B96" s="2097" t="s">
        <v>2485</v>
      </c>
      <c r="C96" s="2097" t="s">
        <v>2500</v>
      </c>
      <c r="D96" s="2096">
        <v>32721.800000000003</v>
      </c>
      <c r="E96" s="2095" t="str">
        <f t="shared" si="2"/>
        <v>25,000</v>
      </c>
      <c r="F96" s="2095">
        <f t="shared" si="3"/>
        <v>7721.8000000000029</v>
      </c>
    </row>
    <row r="97" spans="1:6" x14ac:dyDescent="0.25">
      <c r="A97" s="2097" t="s">
        <v>2486</v>
      </c>
      <c r="B97" s="2097" t="s">
        <v>2485</v>
      </c>
      <c r="C97" s="2097" t="s">
        <v>2499</v>
      </c>
      <c r="D97" s="2096">
        <v>83420.84</v>
      </c>
      <c r="E97" s="2095" t="str">
        <f t="shared" si="2"/>
        <v>25,000</v>
      </c>
      <c r="F97" s="2095">
        <f t="shared" si="3"/>
        <v>58420.84</v>
      </c>
    </row>
    <row r="98" spans="1:6" x14ac:dyDescent="0.25">
      <c r="A98" s="2097" t="s">
        <v>2486</v>
      </c>
      <c r="B98" s="2097" t="s">
        <v>2485</v>
      </c>
      <c r="C98" s="2097" t="s">
        <v>2498</v>
      </c>
      <c r="D98" s="2096">
        <v>50000</v>
      </c>
      <c r="E98" s="2095" t="str">
        <f t="shared" si="2"/>
        <v>25,000</v>
      </c>
      <c r="F98" s="2095">
        <f t="shared" si="3"/>
        <v>25000</v>
      </c>
    </row>
    <row r="99" spans="1:6" x14ac:dyDescent="0.25">
      <c r="A99" s="2097" t="s">
        <v>2486</v>
      </c>
      <c r="B99" s="2097" t="s">
        <v>2485</v>
      </c>
      <c r="C99" s="2097" t="s">
        <v>2497</v>
      </c>
      <c r="D99" s="2096">
        <v>31500</v>
      </c>
      <c r="E99" s="2095" t="str">
        <f t="shared" si="2"/>
        <v>25,000</v>
      </c>
      <c r="F99" s="2095">
        <f t="shared" si="3"/>
        <v>6500</v>
      </c>
    </row>
    <row r="100" spans="1:6" x14ac:dyDescent="0.25">
      <c r="A100" s="2097" t="s">
        <v>2486</v>
      </c>
      <c r="B100" s="2097" t="s">
        <v>2485</v>
      </c>
      <c r="C100" s="2097" t="s">
        <v>2386</v>
      </c>
      <c r="D100" s="2096">
        <v>174477.5</v>
      </c>
      <c r="E100" s="2095" t="str">
        <f t="shared" si="2"/>
        <v>25,000</v>
      </c>
      <c r="F100" s="2095">
        <f t="shared" si="3"/>
        <v>149477.5</v>
      </c>
    </row>
    <row r="101" spans="1:6" x14ac:dyDescent="0.25">
      <c r="A101" s="2097" t="s">
        <v>2486</v>
      </c>
      <c r="B101" s="2097" t="s">
        <v>2485</v>
      </c>
      <c r="C101" s="2097" t="s">
        <v>2496</v>
      </c>
      <c r="D101" s="2096">
        <v>32500</v>
      </c>
      <c r="E101" s="2095" t="str">
        <f t="shared" si="2"/>
        <v>25,000</v>
      </c>
      <c r="F101" s="2095">
        <f t="shared" si="3"/>
        <v>7500</v>
      </c>
    </row>
    <row r="102" spans="1:6" x14ac:dyDescent="0.25">
      <c r="A102" s="2097" t="s">
        <v>2486</v>
      </c>
      <c r="B102" s="2097" t="s">
        <v>2485</v>
      </c>
      <c r="C102" s="2097" t="s">
        <v>2495</v>
      </c>
      <c r="D102" s="2096">
        <v>26239.510000000002</v>
      </c>
      <c r="E102" s="2095" t="str">
        <f t="shared" si="2"/>
        <v>25,000</v>
      </c>
      <c r="F102" s="2095">
        <f t="shared" si="3"/>
        <v>1239.510000000002</v>
      </c>
    </row>
    <row r="103" spans="1:6" x14ac:dyDescent="0.25">
      <c r="A103" s="2097" t="s">
        <v>2486</v>
      </c>
      <c r="B103" s="2097" t="s">
        <v>2485</v>
      </c>
      <c r="C103" s="2097" t="s">
        <v>2494</v>
      </c>
      <c r="D103" s="2096">
        <v>44481.230000000025</v>
      </c>
      <c r="E103" s="2095" t="str">
        <f t="shared" si="2"/>
        <v>25,000</v>
      </c>
      <c r="F103" s="2095">
        <f t="shared" si="3"/>
        <v>19481.230000000025</v>
      </c>
    </row>
    <row r="104" spans="1:6" x14ac:dyDescent="0.25">
      <c r="A104" s="2097" t="s">
        <v>2486</v>
      </c>
      <c r="B104" s="2097" t="s">
        <v>2485</v>
      </c>
      <c r="C104" s="2097" t="s">
        <v>2493</v>
      </c>
      <c r="D104" s="2096">
        <v>106627.39000000001</v>
      </c>
      <c r="E104" s="2095" t="str">
        <f t="shared" si="2"/>
        <v>25,000</v>
      </c>
      <c r="F104" s="2095">
        <f t="shared" si="3"/>
        <v>81627.390000000014</v>
      </c>
    </row>
    <row r="105" spans="1:6" x14ac:dyDescent="0.25">
      <c r="A105" s="2097" t="s">
        <v>2486</v>
      </c>
      <c r="B105" s="2097" t="s">
        <v>2485</v>
      </c>
      <c r="C105" s="2097" t="s">
        <v>2492</v>
      </c>
      <c r="D105" s="2096">
        <v>270750</v>
      </c>
      <c r="E105" s="2095" t="str">
        <f t="shared" si="2"/>
        <v>25,000</v>
      </c>
      <c r="F105" s="2095">
        <f t="shared" si="3"/>
        <v>245750</v>
      </c>
    </row>
    <row r="106" spans="1:6" x14ac:dyDescent="0.25">
      <c r="A106" s="2097" t="s">
        <v>2486</v>
      </c>
      <c r="B106" s="2097" t="s">
        <v>2485</v>
      </c>
      <c r="C106" s="2097" t="s">
        <v>2491</v>
      </c>
      <c r="D106" s="2096">
        <v>115700</v>
      </c>
      <c r="E106" s="2095" t="str">
        <f t="shared" si="2"/>
        <v>25,000</v>
      </c>
      <c r="F106" s="2095">
        <f t="shared" si="3"/>
        <v>90700</v>
      </c>
    </row>
    <row r="107" spans="1:6" x14ac:dyDescent="0.25">
      <c r="A107" s="2097" t="s">
        <v>2486</v>
      </c>
      <c r="B107" s="2097" t="s">
        <v>2485</v>
      </c>
      <c r="C107" s="2097" t="s">
        <v>2490</v>
      </c>
      <c r="D107" s="2096">
        <v>63139.05</v>
      </c>
      <c r="E107" s="2095" t="str">
        <f t="shared" si="2"/>
        <v>25,000</v>
      </c>
      <c r="F107" s="2095">
        <f t="shared" si="3"/>
        <v>38139.050000000003</v>
      </c>
    </row>
    <row r="108" spans="1:6" x14ac:dyDescent="0.25">
      <c r="A108" s="2097" t="s">
        <v>2486</v>
      </c>
      <c r="B108" s="2097" t="s">
        <v>2485</v>
      </c>
      <c r="C108" s="2097" t="s">
        <v>2489</v>
      </c>
      <c r="D108" s="2096">
        <v>25800</v>
      </c>
      <c r="E108" s="2095" t="str">
        <f t="shared" si="2"/>
        <v>25,000</v>
      </c>
      <c r="F108" s="2095">
        <f t="shared" si="3"/>
        <v>800</v>
      </c>
    </row>
    <row r="109" spans="1:6" x14ac:dyDescent="0.25">
      <c r="A109" s="2097" t="s">
        <v>2486</v>
      </c>
      <c r="B109" s="2097" t="s">
        <v>2485</v>
      </c>
      <c r="C109" s="2097" t="s">
        <v>2488</v>
      </c>
      <c r="D109" s="2096">
        <v>51314.76</v>
      </c>
      <c r="E109" s="2095" t="str">
        <f t="shared" si="2"/>
        <v>25,000</v>
      </c>
      <c r="F109" s="2095">
        <f t="shared" si="3"/>
        <v>26314.760000000002</v>
      </c>
    </row>
    <row r="110" spans="1:6" x14ac:dyDescent="0.25">
      <c r="A110" s="2097" t="s">
        <v>2486</v>
      </c>
      <c r="B110" s="2097" t="s">
        <v>2485</v>
      </c>
      <c r="C110" s="2097" t="s">
        <v>2487</v>
      </c>
      <c r="D110" s="2096">
        <v>71200</v>
      </c>
      <c r="E110" s="2095" t="str">
        <f t="shared" si="2"/>
        <v>25,000</v>
      </c>
      <c r="F110" s="2095">
        <f t="shared" si="3"/>
        <v>46200</v>
      </c>
    </row>
    <row r="111" spans="1:6" x14ac:dyDescent="0.25">
      <c r="A111" s="2097" t="s">
        <v>2486</v>
      </c>
      <c r="B111" s="2097" t="s">
        <v>2485</v>
      </c>
      <c r="C111" s="2097" t="s">
        <v>2484</v>
      </c>
      <c r="D111" s="2096">
        <v>31500</v>
      </c>
      <c r="E111" s="2095" t="str">
        <f t="shared" si="2"/>
        <v>25,000</v>
      </c>
      <c r="F111" s="2095">
        <f t="shared" si="3"/>
        <v>6500</v>
      </c>
    </row>
    <row r="112" spans="1:6" x14ac:dyDescent="0.25">
      <c r="A112" s="2097" t="s">
        <v>2479</v>
      </c>
      <c r="B112" s="2097" t="s">
        <v>2478</v>
      </c>
      <c r="C112" s="2097" t="s">
        <v>2483</v>
      </c>
      <c r="D112" s="2096">
        <v>26637.78999999999</v>
      </c>
      <c r="E112" s="2095" t="str">
        <f t="shared" si="2"/>
        <v>25,000</v>
      </c>
      <c r="F112" s="2095">
        <f t="shared" si="3"/>
        <v>1637.78999999999</v>
      </c>
    </row>
    <row r="113" spans="1:6" x14ac:dyDescent="0.25">
      <c r="A113" s="2097" t="s">
        <v>2479</v>
      </c>
      <c r="B113" s="2097" t="s">
        <v>2478</v>
      </c>
      <c r="C113" s="2097" t="s">
        <v>2482</v>
      </c>
      <c r="D113" s="2096">
        <v>159513.80999999994</v>
      </c>
      <c r="E113" s="2095" t="str">
        <f t="shared" si="2"/>
        <v>25,000</v>
      </c>
      <c r="F113" s="2095">
        <f t="shared" si="3"/>
        <v>134513.80999999994</v>
      </c>
    </row>
    <row r="114" spans="1:6" x14ac:dyDescent="0.25">
      <c r="A114" s="2097" t="s">
        <v>2479</v>
      </c>
      <c r="B114" s="2097" t="s">
        <v>2478</v>
      </c>
      <c r="C114" s="2097" t="s">
        <v>2481</v>
      </c>
      <c r="D114" s="2096">
        <v>27295.320000000007</v>
      </c>
      <c r="E114" s="2095" t="str">
        <f t="shared" si="2"/>
        <v>25,000</v>
      </c>
      <c r="F114" s="2095">
        <f t="shared" si="3"/>
        <v>2295.320000000007</v>
      </c>
    </row>
    <row r="115" spans="1:6" x14ac:dyDescent="0.25">
      <c r="A115" s="2097" t="s">
        <v>2479</v>
      </c>
      <c r="B115" s="2097" t="s">
        <v>2478</v>
      </c>
      <c r="C115" s="2097" t="s">
        <v>2480</v>
      </c>
      <c r="D115" s="2096">
        <v>33294.55999999999</v>
      </c>
      <c r="E115" s="2095" t="str">
        <f t="shared" si="2"/>
        <v>25,000</v>
      </c>
      <c r="F115" s="2095">
        <f t="shared" si="3"/>
        <v>8294.5599999999904</v>
      </c>
    </row>
    <row r="116" spans="1:6" x14ac:dyDescent="0.25">
      <c r="A116" s="2097" t="s">
        <v>2479</v>
      </c>
      <c r="B116" s="2097" t="s">
        <v>2478</v>
      </c>
      <c r="C116" s="2097" t="s">
        <v>2477</v>
      </c>
      <c r="D116" s="2096">
        <v>38227.780000000013</v>
      </c>
      <c r="E116" s="2095" t="str">
        <f t="shared" si="2"/>
        <v>25,000</v>
      </c>
      <c r="F116" s="2095">
        <f t="shared" si="3"/>
        <v>13227.780000000013</v>
      </c>
    </row>
    <row r="117" spans="1:6" x14ac:dyDescent="0.25">
      <c r="A117" s="2097" t="s">
        <v>2476</v>
      </c>
      <c r="B117" s="2097" t="s">
        <v>2475</v>
      </c>
      <c r="C117" s="2097" t="s">
        <v>2474</v>
      </c>
      <c r="D117" s="2096">
        <v>72000</v>
      </c>
      <c r="E117" s="2095" t="str">
        <f t="shared" si="2"/>
        <v>25,000</v>
      </c>
      <c r="F117" s="2095">
        <f t="shared" si="3"/>
        <v>47000</v>
      </c>
    </row>
    <row r="118" spans="1:6" x14ac:dyDescent="0.25">
      <c r="A118" s="2097" t="s">
        <v>2468</v>
      </c>
      <c r="B118" s="2097" t="s">
        <v>2467</v>
      </c>
      <c r="C118" s="2097" t="s">
        <v>2473</v>
      </c>
      <c r="D118" s="2096">
        <v>51000</v>
      </c>
      <c r="E118" s="2095" t="str">
        <f t="shared" si="2"/>
        <v>25,000</v>
      </c>
      <c r="F118" s="2095">
        <f t="shared" si="3"/>
        <v>26000</v>
      </c>
    </row>
    <row r="119" spans="1:6" x14ac:dyDescent="0.25">
      <c r="A119" s="2097" t="s">
        <v>2468</v>
      </c>
      <c r="B119" s="2097" t="s">
        <v>2467</v>
      </c>
      <c r="C119" s="2097" t="s">
        <v>2472</v>
      </c>
      <c r="D119" s="2096">
        <v>53948.7</v>
      </c>
      <c r="E119" s="2095" t="str">
        <f t="shared" si="2"/>
        <v>25,000</v>
      </c>
      <c r="F119" s="2095">
        <f t="shared" si="3"/>
        <v>28948.699999999997</v>
      </c>
    </row>
    <row r="120" spans="1:6" x14ac:dyDescent="0.25">
      <c r="A120" s="2097" t="s">
        <v>2468</v>
      </c>
      <c r="B120" s="2097" t="s">
        <v>2467</v>
      </c>
      <c r="C120" s="2097" t="s">
        <v>2471</v>
      </c>
      <c r="D120" s="2096">
        <v>132419.38</v>
      </c>
      <c r="E120" s="2095" t="str">
        <f t="shared" si="2"/>
        <v>25,000</v>
      </c>
      <c r="F120" s="2095">
        <f t="shared" si="3"/>
        <v>107419.38</v>
      </c>
    </row>
    <row r="121" spans="1:6" x14ac:dyDescent="0.25">
      <c r="A121" s="2097" t="s">
        <v>2468</v>
      </c>
      <c r="B121" s="2097" t="s">
        <v>2467</v>
      </c>
      <c r="C121" s="2097" t="s">
        <v>2470</v>
      </c>
      <c r="D121" s="2096">
        <v>400520</v>
      </c>
      <c r="E121" s="2095" t="str">
        <f t="shared" si="2"/>
        <v>25,000</v>
      </c>
      <c r="F121" s="2095">
        <f t="shared" si="3"/>
        <v>375520</v>
      </c>
    </row>
    <row r="122" spans="1:6" x14ac:dyDescent="0.25">
      <c r="A122" s="2097" t="s">
        <v>2468</v>
      </c>
      <c r="B122" s="2097" t="s">
        <v>2467</v>
      </c>
      <c r="C122" s="2097" t="s">
        <v>2229</v>
      </c>
      <c r="D122" s="2096">
        <v>344796.93000000005</v>
      </c>
      <c r="E122" s="2095" t="str">
        <f t="shared" si="2"/>
        <v>25,000</v>
      </c>
      <c r="F122" s="2095">
        <f t="shared" si="3"/>
        <v>319796.93000000005</v>
      </c>
    </row>
    <row r="123" spans="1:6" x14ac:dyDescent="0.25">
      <c r="A123" s="2097" t="s">
        <v>2468</v>
      </c>
      <c r="B123" s="2097" t="s">
        <v>2467</v>
      </c>
      <c r="C123" s="2097" t="s">
        <v>2469</v>
      </c>
      <c r="D123" s="2096">
        <v>33520</v>
      </c>
      <c r="E123" s="2095" t="str">
        <f t="shared" si="2"/>
        <v>25,000</v>
      </c>
      <c r="F123" s="2095">
        <f t="shared" si="3"/>
        <v>8520</v>
      </c>
    </row>
    <row r="124" spans="1:6" x14ac:dyDescent="0.25">
      <c r="A124" s="2097" t="s">
        <v>2468</v>
      </c>
      <c r="B124" s="2097" t="s">
        <v>2467</v>
      </c>
      <c r="C124" s="2097" t="s">
        <v>2466</v>
      </c>
      <c r="D124" s="2096">
        <v>32000</v>
      </c>
      <c r="E124" s="2095" t="str">
        <f t="shared" si="2"/>
        <v>25,000</v>
      </c>
      <c r="F124" s="2095">
        <f t="shared" si="3"/>
        <v>7000</v>
      </c>
    </row>
    <row r="125" spans="1:6" x14ac:dyDescent="0.25">
      <c r="A125" s="2097" t="s">
        <v>2465</v>
      </c>
      <c r="B125" s="2097" t="s">
        <v>2464</v>
      </c>
      <c r="C125" s="2097" t="s">
        <v>2463</v>
      </c>
      <c r="D125" s="2096">
        <v>48000</v>
      </c>
      <c r="E125" s="2095" t="str">
        <f t="shared" si="2"/>
        <v>25,000</v>
      </c>
      <c r="F125" s="2095">
        <f t="shared" si="3"/>
        <v>23000</v>
      </c>
    </row>
    <row r="126" spans="1:6" x14ac:dyDescent="0.25">
      <c r="A126" s="2097" t="s">
        <v>2460</v>
      </c>
      <c r="B126" s="2097" t="s">
        <v>2459</v>
      </c>
      <c r="C126" s="2097" t="s">
        <v>2462</v>
      </c>
      <c r="D126" s="2096">
        <v>48720</v>
      </c>
      <c r="E126" s="2095" t="str">
        <f t="shared" si="2"/>
        <v>25,000</v>
      </c>
      <c r="F126" s="2095">
        <f t="shared" si="3"/>
        <v>23720</v>
      </c>
    </row>
    <row r="127" spans="1:6" x14ac:dyDescent="0.25">
      <c r="A127" s="2097" t="s">
        <v>2460</v>
      </c>
      <c r="B127" s="2097" t="s">
        <v>2459</v>
      </c>
      <c r="C127" s="2097" t="s">
        <v>2461</v>
      </c>
      <c r="D127" s="2096">
        <v>45000</v>
      </c>
      <c r="E127" s="2095" t="str">
        <f t="shared" si="2"/>
        <v>25,000</v>
      </c>
      <c r="F127" s="2095">
        <f t="shared" si="3"/>
        <v>20000</v>
      </c>
    </row>
    <row r="128" spans="1:6" x14ac:dyDescent="0.25">
      <c r="A128" s="2097" t="s">
        <v>2460</v>
      </c>
      <c r="B128" s="2097" t="s">
        <v>2459</v>
      </c>
      <c r="C128" s="2097" t="s">
        <v>2458</v>
      </c>
      <c r="D128" s="2096">
        <v>48300</v>
      </c>
      <c r="E128" s="2095" t="str">
        <f t="shared" si="2"/>
        <v>25,000</v>
      </c>
      <c r="F128" s="2095">
        <f t="shared" si="3"/>
        <v>23300</v>
      </c>
    </row>
    <row r="129" spans="1:6" x14ac:dyDescent="0.25">
      <c r="A129" s="2097" t="s">
        <v>2457</v>
      </c>
      <c r="B129" s="2097" t="s">
        <v>2456</v>
      </c>
      <c r="C129" s="2097" t="s">
        <v>2054</v>
      </c>
      <c r="D129" s="2096">
        <v>111949.2</v>
      </c>
      <c r="E129" s="2095" t="str">
        <f t="shared" si="2"/>
        <v>25,000</v>
      </c>
      <c r="F129" s="2095">
        <f t="shared" si="3"/>
        <v>86949.2</v>
      </c>
    </row>
    <row r="130" spans="1:6" x14ac:dyDescent="0.25">
      <c r="A130" s="2097" t="s">
        <v>2457</v>
      </c>
      <c r="B130" s="2097" t="s">
        <v>2456</v>
      </c>
      <c r="C130" s="2097" t="s">
        <v>2399</v>
      </c>
      <c r="D130" s="2096">
        <v>94469.27</v>
      </c>
      <c r="E130" s="2095" t="str">
        <f t="shared" si="2"/>
        <v>25,000</v>
      </c>
      <c r="F130" s="2095">
        <f t="shared" si="3"/>
        <v>69469.27</v>
      </c>
    </row>
    <row r="131" spans="1:6" x14ac:dyDescent="0.25">
      <c r="A131" s="2097" t="s">
        <v>2455</v>
      </c>
      <c r="B131" s="2097" t="s">
        <v>2454</v>
      </c>
      <c r="C131" s="2097" t="s">
        <v>2453</v>
      </c>
      <c r="D131" s="2096">
        <v>124841.76999999997</v>
      </c>
      <c r="E131" s="2095" t="str">
        <f t="shared" si="2"/>
        <v>25,000</v>
      </c>
      <c r="F131" s="2095">
        <f t="shared" si="3"/>
        <v>99841.769999999975</v>
      </c>
    </row>
    <row r="132" spans="1:6" x14ac:dyDescent="0.25">
      <c r="A132" s="2097" t="s">
        <v>2448</v>
      </c>
      <c r="B132" s="2097" t="s">
        <v>2447</v>
      </c>
      <c r="C132" s="2097" t="s">
        <v>2452</v>
      </c>
      <c r="D132" s="2096">
        <v>30849.11</v>
      </c>
      <c r="E132" s="2095" t="str">
        <f t="shared" si="2"/>
        <v>25,000</v>
      </c>
      <c r="F132" s="2095">
        <f t="shared" si="3"/>
        <v>5849.1100000000006</v>
      </c>
    </row>
    <row r="133" spans="1:6" x14ac:dyDescent="0.25">
      <c r="A133" s="2097" t="s">
        <v>2448</v>
      </c>
      <c r="B133" s="2097" t="s">
        <v>2447</v>
      </c>
      <c r="C133" s="2097" t="s">
        <v>2451</v>
      </c>
      <c r="D133" s="2096">
        <v>40919</v>
      </c>
      <c r="E133" s="2095" t="str">
        <f t="shared" si="2"/>
        <v>25,000</v>
      </c>
      <c r="F133" s="2095">
        <f t="shared" si="3"/>
        <v>15919</v>
      </c>
    </row>
    <row r="134" spans="1:6" x14ac:dyDescent="0.25">
      <c r="A134" s="2097" t="s">
        <v>2448</v>
      </c>
      <c r="B134" s="2097" t="s">
        <v>2447</v>
      </c>
      <c r="C134" s="2097" t="s">
        <v>2450</v>
      </c>
      <c r="D134" s="2096">
        <v>52727.51</v>
      </c>
      <c r="E134" s="2095" t="str">
        <f t="shared" si="2"/>
        <v>25,000</v>
      </c>
      <c r="F134" s="2095">
        <f t="shared" si="3"/>
        <v>27727.510000000002</v>
      </c>
    </row>
    <row r="135" spans="1:6" x14ac:dyDescent="0.25">
      <c r="A135" s="2097" t="s">
        <v>2448</v>
      </c>
      <c r="B135" s="2097" t="s">
        <v>2447</v>
      </c>
      <c r="C135" s="2097" t="s">
        <v>2449</v>
      </c>
      <c r="D135" s="2096">
        <v>56569</v>
      </c>
      <c r="E135" s="2095" t="str">
        <f t="shared" si="2"/>
        <v>25,000</v>
      </c>
      <c r="F135" s="2095">
        <f t="shared" si="3"/>
        <v>31569</v>
      </c>
    </row>
    <row r="136" spans="1:6" x14ac:dyDescent="0.25">
      <c r="A136" s="2097" t="s">
        <v>2448</v>
      </c>
      <c r="B136" s="2097" t="s">
        <v>2447</v>
      </c>
      <c r="C136" s="2097" t="s">
        <v>2446</v>
      </c>
      <c r="D136" s="2096">
        <v>28762.22</v>
      </c>
      <c r="E136" s="2095" t="str">
        <f t="shared" si="2"/>
        <v>25,000</v>
      </c>
      <c r="F136" s="2095">
        <f t="shared" si="3"/>
        <v>3762.2200000000012</v>
      </c>
    </row>
    <row r="137" spans="1:6" x14ac:dyDescent="0.25">
      <c r="A137" s="2097" t="s">
        <v>2445</v>
      </c>
      <c r="B137" s="2097" t="s">
        <v>2444</v>
      </c>
      <c r="C137" s="2097" t="s">
        <v>2251</v>
      </c>
      <c r="D137" s="2096">
        <v>83632</v>
      </c>
      <c r="E137" s="2095" t="str">
        <f t="shared" si="2"/>
        <v>25,000</v>
      </c>
      <c r="F137" s="2095">
        <f t="shared" si="3"/>
        <v>58632</v>
      </c>
    </row>
    <row r="138" spans="1:6" x14ac:dyDescent="0.25">
      <c r="A138" s="2097" t="s">
        <v>2445</v>
      </c>
      <c r="B138" s="2097" t="s">
        <v>2444</v>
      </c>
      <c r="C138" s="2097" t="s">
        <v>2248</v>
      </c>
      <c r="D138" s="2096">
        <v>42359</v>
      </c>
      <c r="E138" s="2095" t="str">
        <f t="shared" si="2"/>
        <v>25,000</v>
      </c>
      <c r="F138" s="2095">
        <f t="shared" si="3"/>
        <v>17359</v>
      </c>
    </row>
    <row r="139" spans="1:6" x14ac:dyDescent="0.25">
      <c r="A139" s="2097" t="s">
        <v>2445</v>
      </c>
      <c r="B139" s="2097" t="s">
        <v>2444</v>
      </c>
      <c r="C139" s="2097" t="s">
        <v>2443</v>
      </c>
      <c r="D139" s="2096">
        <v>681360.72000000009</v>
      </c>
      <c r="E139" s="2095" t="str">
        <f t="shared" si="2"/>
        <v>25,000</v>
      </c>
      <c r="F139" s="2095">
        <f t="shared" si="3"/>
        <v>656360.72000000009</v>
      </c>
    </row>
    <row r="140" spans="1:6" x14ac:dyDescent="0.25">
      <c r="A140" s="2097" t="s">
        <v>2440</v>
      </c>
      <c r="B140" s="2097" t="s">
        <v>2439</v>
      </c>
      <c r="C140" s="2097" t="s">
        <v>2442</v>
      </c>
      <c r="D140" s="2096">
        <v>126519.32</v>
      </c>
      <c r="E140" s="2095" t="str">
        <f t="shared" si="2"/>
        <v>25,000</v>
      </c>
      <c r="F140" s="2095">
        <f t="shared" si="3"/>
        <v>101519.32</v>
      </c>
    </row>
    <row r="141" spans="1:6" x14ac:dyDescent="0.25">
      <c r="A141" s="2097" t="s">
        <v>2440</v>
      </c>
      <c r="B141" s="2097" t="s">
        <v>2439</v>
      </c>
      <c r="C141" s="2097" t="s">
        <v>2441</v>
      </c>
      <c r="D141" s="2096">
        <v>63876.530000000006</v>
      </c>
      <c r="E141" s="2095" t="str">
        <f t="shared" si="2"/>
        <v>25,000</v>
      </c>
      <c r="F141" s="2095">
        <f t="shared" si="3"/>
        <v>38876.530000000006</v>
      </c>
    </row>
    <row r="142" spans="1:6" x14ac:dyDescent="0.25">
      <c r="A142" s="2097" t="s">
        <v>2440</v>
      </c>
      <c r="B142" s="2097" t="s">
        <v>2439</v>
      </c>
      <c r="C142" s="2097" t="s">
        <v>2438</v>
      </c>
      <c r="D142" s="2096">
        <v>26211.81</v>
      </c>
      <c r="E142" s="2095" t="str">
        <f t="shared" si="2"/>
        <v>25,000</v>
      </c>
      <c r="F142" s="2095">
        <f t="shared" si="3"/>
        <v>1211.8100000000013</v>
      </c>
    </row>
    <row r="143" spans="1:6" x14ac:dyDescent="0.25">
      <c r="A143" s="2097" t="s">
        <v>2425</v>
      </c>
      <c r="B143" s="2097" t="s">
        <v>2424</v>
      </c>
      <c r="C143" s="2097" t="s">
        <v>2437</v>
      </c>
      <c r="D143" s="2096">
        <v>192764.13000000009</v>
      </c>
      <c r="E143" s="2095" t="str">
        <f t="shared" si="2"/>
        <v>25,000</v>
      </c>
      <c r="F143" s="2095">
        <f t="shared" si="3"/>
        <v>167764.13000000009</v>
      </c>
    </row>
    <row r="144" spans="1:6" x14ac:dyDescent="0.25">
      <c r="A144" s="2097" t="s">
        <v>2425</v>
      </c>
      <c r="B144" s="2097" t="s">
        <v>2424</v>
      </c>
      <c r="C144" s="2097" t="s">
        <v>2436</v>
      </c>
      <c r="D144" s="2096">
        <v>123137.82</v>
      </c>
      <c r="E144" s="2095" t="str">
        <f t="shared" si="2"/>
        <v>25,000</v>
      </c>
      <c r="F144" s="2095">
        <f t="shared" si="3"/>
        <v>98137.82</v>
      </c>
    </row>
    <row r="145" spans="1:6" x14ac:dyDescent="0.25">
      <c r="A145" s="2097" t="s">
        <v>2425</v>
      </c>
      <c r="B145" s="2097" t="s">
        <v>2424</v>
      </c>
      <c r="C145" s="2097" t="s">
        <v>2435</v>
      </c>
      <c r="D145" s="2096">
        <v>37940.05000000001</v>
      </c>
      <c r="E145" s="2095" t="str">
        <f t="shared" ref="E145:E208" si="4">IF(D145&lt;25000,D145,"25,000")</f>
        <v>25,000</v>
      </c>
      <c r="F145" s="2095">
        <f t="shared" ref="F145:F208" si="5">IF(D145&gt;=25000,(D145-E145),"0")</f>
        <v>12940.05000000001</v>
      </c>
    </row>
    <row r="146" spans="1:6" x14ac:dyDescent="0.25">
      <c r="A146" s="2097" t="s">
        <v>2425</v>
      </c>
      <c r="B146" s="2097" t="s">
        <v>2424</v>
      </c>
      <c r="C146" s="2097" t="s">
        <v>2434</v>
      </c>
      <c r="D146" s="2096">
        <v>322470.12999999995</v>
      </c>
      <c r="E146" s="2095" t="str">
        <f t="shared" si="4"/>
        <v>25,000</v>
      </c>
      <c r="F146" s="2095">
        <f t="shared" si="5"/>
        <v>297470.12999999995</v>
      </c>
    </row>
    <row r="147" spans="1:6" x14ac:dyDescent="0.25">
      <c r="A147" s="2097" t="s">
        <v>2425</v>
      </c>
      <c r="B147" s="2097" t="s">
        <v>2424</v>
      </c>
      <c r="C147" s="2097" t="s">
        <v>2433</v>
      </c>
      <c r="D147" s="2096">
        <v>353647.22999999981</v>
      </c>
      <c r="E147" s="2095" t="str">
        <f t="shared" si="4"/>
        <v>25,000</v>
      </c>
      <c r="F147" s="2095">
        <f t="shared" si="5"/>
        <v>328647.22999999981</v>
      </c>
    </row>
    <row r="148" spans="1:6" x14ac:dyDescent="0.25">
      <c r="A148" s="2097" t="s">
        <v>2425</v>
      </c>
      <c r="B148" s="2097" t="s">
        <v>2424</v>
      </c>
      <c r="C148" s="2097" t="s">
        <v>2432</v>
      </c>
      <c r="D148" s="2096">
        <v>4798911.9899999928</v>
      </c>
      <c r="E148" s="2095" t="str">
        <f t="shared" si="4"/>
        <v>25,000</v>
      </c>
      <c r="F148" s="2095">
        <f t="shared" si="5"/>
        <v>4773911.9899999928</v>
      </c>
    </row>
    <row r="149" spans="1:6" x14ac:dyDescent="0.25">
      <c r="A149" s="2097" t="s">
        <v>2425</v>
      </c>
      <c r="B149" s="2097" t="s">
        <v>2424</v>
      </c>
      <c r="C149" s="2097" t="s">
        <v>2431</v>
      </c>
      <c r="D149" s="2096">
        <v>33207.979999999996</v>
      </c>
      <c r="E149" s="2095" t="str">
        <f t="shared" si="4"/>
        <v>25,000</v>
      </c>
      <c r="F149" s="2095">
        <f t="shared" si="5"/>
        <v>8207.9799999999959</v>
      </c>
    </row>
    <row r="150" spans="1:6" x14ac:dyDescent="0.25">
      <c r="A150" s="2097" t="s">
        <v>2425</v>
      </c>
      <c r="B150" s="2097" t="s">
        <v>2424</v>
      </c>
      <c r="C150" s="2097" t="s">
        <v>2430</v>
      </c>
      <c r="D150" s="2096">
        <v>36900</v>
      </c>
      <c r="E150" s="2095" t="str">
        <f t="shared" si="4"/>
        <v>25,000</v>
      </c>
      <c r="F150" s="2095">
        <f t="shared" si="5"/>
        <v>11900</v>
      </c>
    </row>
    <row r="151" spans="1:6" x14ac:dyDescent="0.25">
      <c r="A151" s="2097" t="s">
        <v>2425</v>
      </c>
      <c r="B151" s="2097" t="s">
        <v>2424</v>
      </c>
      <c r="C151" s="2097" t="s">
        <v>2429</v>
      </c>
      <c r="D151" s="2096">
        <v>26040</v>
      </c>
      <c r="E151" s="2095" t="str">
        <f t="shared" si="4"/>
        <v>25,000</v>
      </c>
      <c r="F151" s="2095">
        <f t="shared" si="5"/>
        <v>1040</v>
      </c>
    </row>
    <row r="152" spans="1:6" x14ac:dyDescent="0.25">
      <c r="A152" s="2097" t="s">
        <v>2425</v>
      </c>
      <c r="B152" s="2097" t="s">
        <v>2424</v>
      </c>
      <c r="C152" s="2097" t="s">
        <v>2428</v>
      </c>
      <c r="D152" s="2096">
        <v>79345.08</v>
      </c>
      <c r="E152" s="2095" t="str">
        <f t="shared" si="4"/>
        <v>25,000</v>
      </c>
      <c r="F152" s="2095">
        <f t="shared" si="5"/>
        <v>54345.08</v>
      </c>
    </row>
    <row r="153" spans="1:6" x14ac:dyDescent="0.25">
      <c r="A153" s="2097" t="s">
        <v>2425</v>
      </c>
      <c r="B153" s="2097" t="s">
        <v>2424</v>
      </c>
      <c r="C153" s="2097" t="s">
        <v>2427</v>
      </c>
      <c r="D153" s="2096">
        <v>44138</v>
      </c>
      <c r="E153" s="2095" t="str">
        <f t="shared" si="4"/>
        <v>25,000</v>
      </c>
      <c r="F153" s="2095">
        <f t="shared" si="5"/>
        <v>19138</v>
      </c>
    </row>
    <row r="154" spans="1:6" x14ac:dyDescent="0.25">
      <c r="A154" s="2097" t="s">
        <v>2425</v>
      </c>
      <c r="B154" s="2097" t="s">
        <v>2424</v>
      </c>
      <c r="C154" s="2097" t="s">
        <v>2426</v>
      </c>
      <c r="D154" s="2096">
        <v>617433.67000000132</v>
      </c>
      <c r="E154" s="2095" t="str">
        <f t="shared" si="4"/>
        <v>25,000</v>
      </c>
      <c r="F154" s="2095">
        <f t="shared" si="5"/>
        <v>592433.67000000132</v>
      </c>
    </row>
    <row r="155" spans="1:6" x14ac:dyDescent="0.25">
      <c r="A155" s="2097" t="s">
        <v>2425</v>
      </c>
      <c r="B155" s="2097" t="s">
        <v>2424</v>
      </c>
      <c r="C155" s="2097" t="s">
        <v>2231</v>
      </c>
      <c r="D155" s="2096">
        <v>31849.480000000007</v>
      </c>
      <c r="E155" s="2095" t="str">
        <f t="shared" si="4"/>
        <v>25,000</v>
      </c>
      <c r="F155" s="2095">
        <f t="shared" si="5"/>
        <v>6849.4800000000068</v>
      </c>
    </row>
    <row r="156" spans="1:6" x14ac:dyDescent="0.25">
      <c r="A156" s="2097" t="s">
        <v>2420</v>
      </c>
      <c r="B156" s="2097" t="s">
        <v>2419</v>
      </c>
      <c r="C156" s="2097" t="s">
        <v>2423</v>
      </c>
      <c r="D156" s="2096">
        <v>173500</v>
      </c>
      <c r="E156" s="2095" t="str">
        <f t="shared" si="4"/>
        <v>25,000</v>
      </c>
      <c r="F156" s="2095">
        <f t="shared" si="5"/>
        <v>148500</v>
      </c>
    </row>
    <row r="157" spans="1:6" x14ac:dyDescent="0.25">
      <c r="A157" s="2097" t="s">
        <v>2420</v>
      </c>
      <c r="B157" s="2097" t="s">
        <v>2419</v>
      </c>
      <c r="C157" s="2097" t="s">
        <v>2422</v>
      </c>
      <c r="D157" s="2096">
        <v>55427.5</v>
      </c>
      <c r="E157" s="2095" t="str">
        <f t="shared" si="4"/>
        <v>25,000</v>
      </c>
      <c r="F157" s="2095">
        <f t="shared" si="5"/>
        <v>30427.5</v>
      </c>
    </row>
    <row r="158" spans="1:6" x14ac:dyDescent="0.25">
      <c r="A158" s="2097" t="s">
        <v>2420</v>
      </c>
      <c r="B158" s="2097" t="s">
        <v>2419</v>
      </c>
      <c r="C158" s="2097" t="s">
        <v>2421</v>
      </c>
      <c r="D158" s="2096">
        <v>105725.8</v>
      </c>
      <c r="E158" s="2095" t="str">
        <f t="shared" si="4"/>
        <v>25,000</v>
      </c>
      <c r="F158" s="2095">
        <f t="shared" si="5"/>
        <v>80725.8</v>
      </c>
    </row>
    <row r="159" spans="1:6" x14ac:dyDescent="0.25">
      <c r="A159" s="2097" t="s">
        <v>2420</v>
      </c>
      <c r="B159" s="2097" t="s">
        <v>2419</v>
      </c>
      <c r="C159" s="2097" t="s">
        <v>2418</v>
      </c>
      <c r="D159" s="2096">
        <v>50715</v>
      </c>
      <c r="E159" s="2095" t="str">
        <f t="shared" si="4"/>
        <v>25,000</v>
      </c>
      <c r="F159" s="2095">
        <f t="shared" si="5"/>
        <v>25715</v>
      </c>
    </row>
    <row r="160" spans="1:6" x14ac:dyDescent="0.25">
      <c r="A160" s="2097" t="s">
        <v>2414</v>
      </c>
      <c r="B160" s="2097" t="s">
        <v>2413</v>
      </c>
      <c r="C160" s="2097" t="s">
        <v>2417</v>
      </c>
      <c r="D160" s="2096">
        <v>135997</v>
      </c>
      <c r="E160" s="2095" t="str">
        <f t="shared" si="4"/>
        <v>25,000</v>
      </c>
      <c r="F160" s="2095">
        <f t="shared" si="5"/>
        <v>110997</v>
      </c>
    </row>
    <row r="161" spans="1:6" x14ac:dyDescent="0.25">
      <c r="A161" s="2097" t="s">
        <v>2414</v>
      </c>
      <c r="B161" s="2097" t="s">
        <v>2413</v>
      </c>
      <c r="C161" s="2097" t="s">
        <v>2416</v>
      </c>
      <c r="D161" s="2096">
        <v>69612.849999999991</v>
      </c>
      <c r="E161" s="2095" t="str">
        <f t="shared" si="4"/>
        <v>25,000</v>
      </c>
      <c r="F161" s="2095">
        <f t="shared" si="5"/>
        <v>44612.849999999991</v>
      </c>
    </row>
    <row r="162" spans="1:6" x14ac:dyDescent="0.25">
      <c r="A162" s="2097" t="s">
        <v>2414</v>
      </c>
      <c r="B162" s="2097" t="s">
        <v>2413</v>
      </c>
      <c r="C162" s="2097" t="s">
        <v>2368</v>
      </c>
      <c r="D162" s="2096">
        <v>168655</v>
      </c>
      <c r="E162" s="2095" t="str">
        <f t="shared" si="4"/>
        <v>25,000</v>
      </c>
      <c r="F162" s="2095">
        <f t="shared" si="5"/>
        <v>143655</v>
      </c>
    </row>
    <row r="163" spans="1:6" x14ac:dyDescent="0.25">
      <c r="A163" s="2097" t="s">
        <v>2414</v>
      </c>
      <c r="B163" s="2097" t="s">
        <v>2413</v>
      </c>
      <c r="C163" s="2097" t="s">
        <v>2415</v>
      </c>
      <c r="D163" s="2096">
        <v>111461.62000000001</v>
      </c>
      <c r="E163" s="2095" t="str">
        <f t="shared" si="4"/>
        <v>25,000</v>
      </c>
      <c r="F163" s="2095">
        <f t="shared" si="5"/>
        <v>86461.62000000001</v>
      </c>
    </row>
    <row r="164" spans="1:6" x14ac:dyDescent="0.25">
      <c r="A164" s="2097" t="s">
        <v>2414</v>
      </c>
      <c r="B164" s="2097" t="s">
        <v>2413</v>
      </c>
      <c r="C164" s="2097" t="s">
        <v>2231</v>
      </c>
      <c r="D164" s="2096">
        <v>105962.97999999998</v>
      </c>
      <c r="E164" s="2095" t="str">
        <f t="shared" si="4"/>
        <v>25,000</v>
      </c>
      <c r="F164" s="2095">
        <f t="shared" si="5"/>
        <v>80962.979999999981</v>
      </c>
    </row>
    <row r="165" spans="1:6" x14ac:dyDescent="0.25">
      <c r="A165" s="2097" t="s">
        <v>2412</v>
      </c>
      <c r="B165" s="2097" t="s">
        <v>2411</v>
      </c>
      <c r="C165" s="2097" t="s">
        <v>2410</v>
      </c>
      <c r="D165" s="2096">
        <v>52650</v>
      </c>
      <c r="E165" s="2095" t="str">
        <f t="shared" si="4"/>
        <v>25,000</v>
      </c>
      <c r="F165" s="2095">
        <f t="shared" si="5"/>
        <v>27650</v>
      </c>
    </row>
    <row r="166" spans="1:6" x14ac:dyDescent="0.25">
      <c r="A166" s="2097" t="s">
        <v>2408</v>
      </c>
      <c r="B166" s="2097" t="s">
        <v>2407</v>
      </c>
      <c r="C166" s="2097" t="s">
        <v>2409</v>
      </c>
      <c r="D166" s="2096">
        <v>30920</v>
      </c>
      <c r="E166" s="2095" t="str">
        <f t="shared" si="4"/>
        <v>25,000</v>
      </c>
      <c r="F166" s="2095">
        <f t="shared" si="5"/>
        <v>5920</v>
      </c>
    </row>
    <row r="167" spans="1:6" x14ac:dyDescent="0.25">
      <c r="A167" s="2097" t="s">
        <v>2408</v>
      </c>
      <c r="B167" s="2097" t="s">
        <v>2407</v>
      </c>
      <c r="C167" s="2097" t="s">
        <v>2406</v>
      </c>
      <c r="D167" s="2096">
        <v>160000</v>
      </c>
      <c r="E167" s="2095" t="str">
        <f t="shared" si="4"/>
        <v>25,000</v>
      </c>
      <c r="F167" s="2095">
        <f t="shared" si="5"/>
        <v>135000</v>
      </c>
    </row>
    <row r="168" spans="1:6" x14ac:dyDescent="0.25">
      <c r="A168" s="2097" t="s">
        <v>2401</v>
      </c>
      <c r="B168" s="2097" t="s">
        <v>2400</v>
      </c>
      <c r="C168" s="2097" t="s">
        <v>2405</v>
      </c>
      <c r="D168" s="2096">
        <v>31090.009999999987</v>
      </c>
      <c r="E168" s="2095" t="str">
        <f t="shared" si="4"/>
        <v>25,000</v>
      </c>
      <c r="F168" s="2095">
        <f t="shared" si="5"/>
        <v>6090.0099999999875</v>
      </c>
    </row>
    <row r="169" spans="1:6" x14ac:dyDescent="0.25">
      <c r="A169" s="2097" t="s">
        <v>2401</v>
      </c>
      <c r="B169" s="2097" t="s">
        <v>2400</v>
      </c>
      <c r="C169" s="2097" t="s">
        <v>2404</v>
      </c>
      <c r="D169" s="2096">
        <v>670440</v>
      </c>
      <c r="E169" s="2095" t="str">
        <f t="shared" si="4"/>
        <v>25,000</v>
      </c>
      <c r="F169" s="2095">
        <f t="shared" si="5"/>
        <v>645440</v>
      </c>
    </row>
    <row r="170" spans="1:6" x14ac:dyDescent="0.25">
      <c r="A170" s="2097" t="s">
        <v>2401</v>
      </c>
      <c r="B170" s="2097" t="s">
        <v>2400</v>
      </c>
      <c r="C170" s="2097" t="s">
        <v>2403</v>
      </c>
      <c r="D170" s="2096">
        <v>69521.320000000007</v>
      </c>
      <c r="E170" s="2095" t="str">
        <f t="shared" si="4"/>
        <v>25,000</v>
      </c>
      <c r="F170" s="2095">
        <f t="shared" si="5"/>
        <v>44521.320000000007</v>
      </c>
    </row>
    <row r="171" spans="1:6" x14ac:dyDescent="0.25">
      <c r="A171" s="2097" t="s">
        <v>2401</v>
      </c>
      <c r="B171" s="2097" t="s">
        <v>2400</v>
      </c>
      <c r="C171" s="2097" t="s">
        <v>2402</v>
      </c>
      <c r="D171" s="2096">
        <v>63320.75</v>
      </c>
      <c r="E171" s="2095" t="str">
        <f t="shared" si="4"/>
        <v>25,000</v>
      </c>
      <c r="F171" s="2095">
        <f t="shared" si="5"/>
        <v>38320.75</v>
      </c>
    </row>
    <row r="172" spans="1:6" x14ac:dyDescent="0.25">
      <c r="A172" s="2097" t="s">
        <v>2401</v>
      </c>
      <c r="B172" s="2097" t="s">
        <v>2400</v>
      </c>
      <c r="C172" s="2097" t="s">
        <v>2243</v>
      </c>
      <c r="D172" s="2096">
        <v>126809.60000000001</v>
      </c>
      <c r="E172" s="2095" t="str">
        <f t="shared" si="4"/>
        <v>25,000</v>
      </c>
      <c r="F172" s="2095">
        <f t="shared" si="5"/>
        <v>101809.60000000001</v>
      </c>
    </row>
    <row r="173" spans="1:6" x14ac:dyDescent="0.25">
      <c r="A173" s="2097" t="s">
        <v>2401</v>
      </c>
      <c r="B173" s="2097" t="s">
        <v>2400</v>
      </c>
      <c r="C173" s="2097" t="s">
        <v>2399</v>
      </c>
      <c r="D173" s="2096">
        <v>48110</v>
      </c>
      <c r="E173" s="2095" t="str">
        <f t="shared" si="4"/>
        <v>25,000</v>
      </c>
      <c r="F173" s="2095">
        <f t="shared" si="5"/>
        <v>23110</v>
      </c>
    </row>
    <row r="174" spans="1:6" x14ac:dyDescent="0.25">
      <c r="A174" s="2097" t="s">
        <v>2398</v>
      </c>
      <c r="B174" s="2097" t="s">
        <v>2397</v>
      </c>
      <c r="C174" s="2097" t="s">
        <v>2396</v>
      </c>
      <c r="D174" s="2096">
        <v>32233.09</v>
      </c>
      <c r="E174" s="2095" t="str">
        <f t="shared" si="4"/>
        <v>25,000</v>
      </c>
      <c r="F174" s="2095">
        <f t="shared" si="5"/>
        <v>7233.09</v>
      </c>
    </row>
    <row r="175" spans="1:6" x14ac:dyDescent="0.25">
      <c r="A175" s="2097" t="s">
        <v>2374</v>
      </c>
      <c r="B175" s="2097" t="s">
        <v>2373</v>
      </c>
      <c r="C175" s="2097" t="s">
        <v>2395</v>
      </c>
      <c r="D175" s="2096">
        <v>101401.81000000001</v>
      </c>
      <c r="E175" s="2095" t="str">
        <f t="shared" si="4"/>
        <v>25,000</v>
      </c>
      <c r="F175" s="2095">
        <f t="shared" si="5"/>
        <v>76401.810000000012</v>
      </c>
    </row>
    <row r="176" spans="1:6" x14ac:dyDescent="0.25">
      <c r="A176" s="2097" t="s">
        <v>2374</v>
      </c>
      <c r="B176" s="2097" t="s">
        <v>2373</v>
      </c>
      <c r="C176" s="2097" t="s">
        <v>2394</v>
      </c>
      <c r="D176" s="2096">
        <v>286057.10999999993</v>
      </c>
      <c r="E176" s="2095" t="str">
        <f t="shared" si="4"/>
        <v>25,000</v>
      </c>
      <c r="F176" s="2095">
        <f t="shared" si="5"/>
        <v>261057.10999999993</v>
      </c>
    </row>
    <row r="177" spans="1:6" x14ac:dyDescent="0.25">
      <c r="A177" s="2097" t="s">
        <v>2374</v>
      </c>
      <c r="B177" s="2097" t="s">
        <v>2373</v>
      </c>
      <c r="C177" s="2097" t="s">
        <v>2393</v>
      </c>
      <c r="D177" s="2096">
        <v>171800.24</v>
      </c>
      <c r="E177" s="2095" t="str">
        <f t="shared" si="4"/>
        <v>25,000</v>
      </c>
      <c r="F177" s="2095">
        <f t="shared" si="5"/>
        <v>146800.24</v>
      </c>
    </row>
    <row r="178" spans="1:6" x14ac:dyDescent="0.25">
      <c r="A178" s="2097" t="s">
        <v>2374</v>
      </c>
      <c r="B178" s="2097" t="s">
        <v>2373</v>
      </c>
      <c r="C178" s="2097" t="s">
        <v>2392</v>
      </c>
      <c r="D178" s="2096">
        <v>28536.21</v>
      </c>
      <c r="E178" s="2095" t="str">
        <f t="shared" si="4"/>
        <v>25,000</v>
      </c>
      <c r="F178" s="2095">
        <f t="shared" si="5"/>
        <v>3536.2099999999991</v>
      </c>
    </row>
    <row r="179" spans="1:6" x14ac:dyDescent="0.25">
      <c r="A179" s="2097" t="s">
        <v>2374</v>
      </c>
      <c r="B179" s="2097" t="s">
        <v>2373</v>
      </c>
      <c r="C179" s="2097" t="s">
        <v>2391</v>
      </c>
      <c r="D179" s="2096">
        <v>83991</v>
      </c>
      <c r="E179" s="2095" t="str">
        <f t="shared" si="4"/>
        <v>25,000</v>
      </c>
      <c r="F179" s="2095">
        <f t="shared" si="5"/>
        <v>58991</v>
      </c>
    </row>
    <row r="180" spans="1:6" x14ac:dyDescent="0.25">
      <c r="A180" s="2097" t="s">
        <v>2374</v>
      </c>
      <c r="B180" s="2097" t="s">
        <v>2373</v>
      </c>
      <c r="C180" s="2097" t="s">
        <v>2390</v>
      </c>
      <c r="D180" s="2096">
        <v>183727.68</v>
      </c>
      <c r="E180" s="2095" t="str">
        <f t="shared" si="4"/>
        <v>25,000</v>
      </c>
      <c r="F180" s="2095">
        <f t="shared" si="5"/>
        <v>158727.67999999999</v>
      </c>
    </row>
    <row r="181" spans="1:6" x14ac:dyDescent="0.25">
      <c r="A181" s="2097" t="s">
        <v>2374</v>
      </c>
      <c r="B181" s="2097" t="s">
        <v>2373</v>
      </c>
      <c r="C181" s="2097" t="s">
        <v>2389</v>
      </c>
      <c r="D181" s="2096">
        <v>615680.72000000009</v>
      </c>
      <c r="E181" s="2095" t="str">
        <f t="shared" si="4"/>
        <v>25,000</v>
      </c>
      <c r="F181" s="2095">
        <f t="shared" si="5"/>
        <v>590680.72000000009</v>
      </c>
    </row>
    <row r="182" spans="1:6" x14ac:dyDescent="0.25">
      <c r="A182" s="2097" t="s">
        <v>2374</v>
      </c>
      <c r="B182" s="2097" t="s">
        <v>2373</v>
      </c>
      <c r="C182" s="2097" t="s">
        <v>2388</v>
      </c>
      <c r="D182" s="2096">
        <v>362678</v>
      </c>
      <c r="E182" s="2095" t="str">
        <f t="shared" si="4"/>
        <v>25,000</v>
      </c>
      <c r="F182" s="2095">
        <f t="shared" si="5"/>
        <v>337678</v>
      </c>
    </row>
    <row r="183" spans="1:6" x14ac:dyDescent="0.25">
      <c r="A183" s="2097" t="s">
        <v>2374</v>
      </c>
      <c r="B183" s="2097" t="s">
        <v>2373</v>
      </c>
      <c r="C183" s="2097" t="s">
        <v>2387</v>
      </c>
      <c r="D183" s="2096">
        <v>188239.39</v>
      </c>
      <c r="E183" s="2095" t="str">
        <f t="shared" si="4"/>
        <v>25,000</v>
      </c>
      <c r="F183" s="2095">
        <f t="shared" si="5"/>
        <v>163239.39000000001</v>
      </c>
    </row>
    <row r="184" spans="1:6" x14ac:dyDescent="0.25">
      <c r="A184" s="2097" t="s">
        <v>2374</v>
      </c>
      <c r="B184" s="2097" t="s">
        <v>2373</v>
      </c>
      <c r="C184" s="2097" t="s">
        <v>2368</v>
      </c>
      <c r="D184" s="2096">
        <v>105179</v>
      </c>
      <c r="E184" s="2095" t="str">
        <f t="shared" si="4"/>
        <v>25,000</v>
      </c>
      <c r="F184" s="2095">
        <f t="shared" si="5"/>
        <v>80179</v>
      </c>
    </row>
    <row r="185" spans="1:6" x14ac:dyDescent="0.25">
      <c r="A185" s="2097" t="s">
        <v>2374</v>
      </c>
      <c r="B185" s="2097" t="s">
        <v>2373</v>
      </c>
      <c r="C185" s="2097" t="s">
        <v>2386</v>
      </c>
      <c r="D185" s="2096">
        <v>29025</v>
      </c>
      <c r="E185" s="2095" t="str">
        <f t="shared" si="4"/>
        <v>25,000</v>
      </c>
      <c r="F185" s="2095">
        <f t="shared" si="5"/>
        <v>4025</v>
      </c>
    </row>
    <row r="186" spans="1:6" x14ac:dyDescent="0.25">
      <c r="A186" s="2097" t="s">
        <v>2374</v>
      </c>
      <c r="B186" s="2097" t="s">
        <v>2373</v>
      </c>
      <c r="C186" s="2097" t="s">
        <v>2385</v>
      </c>
      <c r="D186" s="2096">
        <v>37097.79</v>
      </c>
      <c r="E186" s="2095" t="str">
        <f t="shared" si="4"/>
        <v>25,000</v>
      </c>
      <c r="F186" s="2095">
        <f t="shared" si="5"/>
        <v>12097.79</v>
      </c>
    </row>
    <row r="187" spans="1:6" x14ac:dyDescent="0.25">
      <c r="A187" s="2097" t="s">
        <v>2374</v>
      </c>
      <c r="B187" s="2097" t="s">
        <v>2373</v>
      </c>
      <c r="C187" s="2097" t="s">
        <v>2384</v>
      </c>
      <c r="D187" s="2096">
        <v>226711.2</v>
      </c>
      <c r="E187" s="2095" t="str">
        <f t="shared" si="4"/>
        <v>25,000</v>
      </c>
      <c r="F187" s="2095">
        <f t="shared" si="5"/>
        <v>201711.2</v>
      </c>
    </row>
    <row r="188" spans="1:6" x14ac:dyDescent="0.25">
      <c r="A188" s="2097" t="s">
        <v>2374</v>
      </c>
      <c r="B188" s="2097" t="s">
        <v>2373</v>
      </c>
      <c r="C188" s="2097" t="s">
        <v>2383</v>
      </c>
      <c r="D188" s="2096">
        <v>150674.41</v>
      </c>
      <c r="E188" s="2095" t="str">
        <f t="shared" si="4"/>
        <v>25,000</v>
      </c>
      <c r="F188" s="2095">
        <f t="shared" si="5"/>
        <v>125674.41</v>
      </c>
    </row>
    <row r="189" spans="1:6" x14ac:dyDescent="0.25">
      <c r="A189" s="2097" t="s">
        <v>2374</v>
      </c>
      <c r="B189" s="2097" t="s">
        <v>2373</v>
      </c>
      <c r="C189" s="2097" t="s">
        <v>2382</v>
      </c>
      <c r="D189" s="2096">
        <v>45600</v>
      </c>
      <c r="E189" s="2095" t="str">
        <f t="shared" si="4"/>
        <v>25,000</v>
      </c>
      <c r="F189" s="2095">
        <f t="shared" si="5"/>
        <v>20600</v>
      </c>
    </row>
    <row r="190" spans="1:6" x14ac:dyDescent="0.25">
      <c r="A190" s="2097" t="s">
        <v>2374</v>
      </c>
      <c r="B190" s="2097" t="s">
        <v>2373</v>
      </c>
      <c r="C190" s="2097" t="s">
        <v>2381</v>
      </c>
      <c r="D190" s="2096">
        <v>140000</v>
      </c>
      <c r="E190" s="2095" t="str">
        <f t="shared" si="4"/>
        <v>25,000</v>
      </c>
      <c r="F190" s="2095">
        <f t="shared" si="5"/>
        <v>115000</v>
      </c>
    </row>
    <row r="191" spans="1:6" x14ac:dyDescent="0.25">
      <c r="A191" s="2097" t="s">
        <v>2374</v>
      </c>
      <c r="B191" s="2097" t="s">
        <v>2373</v>
      </c>
      <c r="C191" s="2097" t="s">
        <v>2380</v>
      </c>
      <c r="D191" s="2096">
        <v>117239.1</v>
      </c>
      <c r="E191" s="2095" t="str">
        <f t="shared" si="4"/>
        <v>25,000</v>
      </c>
      <c r="F191" s="2095">
        <f t="shared" si="5"/>
        <v>92239.1</v>
      </c>
    </row>
    <row r="192" spans="1:6" x14ac:dyDescent="0.25">
      <c r="A192" s="2097" t="s">
        <v>2374</v>
      </c>
      <c r="B192" s="2097" t="s">
        <v>2373</v>
      </c>
      <c r="C192" s="2097" t="s">
        <v>2379</v>
      </c>
      <c r="D192" s="2096">
        <v>95382.71</v>
      </c>
      <c r="E192" s="2095" t="str">
        <f t="shared" si="4"/>
        <v>25,000</v>
      </c>
      <c r="F192" s="2095">
        <f t="shared" si="5"/>
        <v>70382.710000000006</v>
      </c>
    </row>
    <row r="193" spans="1:6" x14ac:dyDescent="0.25">
      <c r="A193" s="2097" t="s">
        <v>2374</v>
      </c>
      <c r="B193" s="2097" t="s">
        <v>2373</v>
      </c>
      <c r="C193" s="2097" t="s">
        <v>2378</v>
      </c>
      <c r="D193" s="2096">
        <v>86421</v>
      </c>
      <c r="E193" s="2095" t="str">
        <f t="shared" si="4"/>
        <v>25,000</v>
      </c>
      <c r="F193" s="2095">
        <f t="shared" si="5"/>
        <v>61421</v>
      </c>
    </row>
    <row r="194" spans="1:6" x14ac:dyDescent="0.25">
      <c r="A194" s="2097" t="s">
        <v>2374</v>
      </c>
      <c r="B194" s="2097" t="s">
        <v>2373</v>
      </c>
      <c r="C194" s="2097" t="s">
        <v>2377</v>
      </c>
      <c r="D194" s="2096">
        <v>70249.98</v>
      </c>
      <c r="E194" s="2095" t="str">
        <f t="shared" si="4"/>
        <v>25,000</v>
      </c>
      <c r="F194" s="2095">
        <f t="shared" si="5"/>
        <v>45249.979999999996</v>
      </c>
    </row>
    <row r="195" spans="1:6" x14ac:dyDescent="0.25">
      <c r="A195" s="2097" t="s">
        <v>2374</v>
      </c>
      <c r="B195" s="2097" t="s">
        <v>2373</v>
      </c>
      <c r="C195" s="2097" t="s">
        <v>2376</v>
      </c>
      <c r="D195" s="2096">
        <v>75720.569999999992</v>
      </c>
      <c r="E195" s="2095" t="str">
        <f t="shared" si="4"/>
        <v>25,000</v>
      </c>
      <c r="F195" s="2095">
        <f t="shared" si="5"/>
        <v>50720.569999999992</v>
      </c>
    </row>
    <row r="196" spans="1:6" x14ac:dyDescent="0.25">
      <c r="A196" s="2097" t="s">
        <v>2374</v>
      </c>
      <c r="B196" s="2097" t="s">
        <v>2373</v>
      </c>
      <c r="C196" s="2097" t="s">
        <v>2375</v>
      </c>
      <c r="D196" s="2096">
        <v>33625.56</v>
      </c>
      <c r="E196" s="2095" t="str">
        <f t="shared" si="4"/>
        <v>25,000</v>
      </c>
      <c r="F196" s="2095">
        <f t="shared" si="5"/>
        <v>8625.5599999999977</v>
      </c>
    </row>
    <row r="197" spans="1:6" x14ac:dyDescent="0.25">
      <c r="A197" s="2097" t="s">
        <v>2374</v>
      </c>
      <c r="B197" s="2097" t="s">
        <v>2373</v>
      </c>
      <c r="C197" s="2097" t="s">
        <v>2372</v>
      </c>
      <c r="D197" s="2096">
        <v>80986.8</v>
      </c>
      <c r="E197" s="2095" t="str">
        <f t="shared" si="4"/>
        <v>25,000</v>
      </c>
      <c r="F197" s="2095">
        <f t="shared" si="5"/>
        <v>55986.8</v>
      </c>
    </row>
    <row r="198" spans="1:6" x14ac:dyDescent="0.25">
      <c r="A198" s="2097" t="s">
        <v>2365</v>
      </c>
      <c r="B198" s="2097" t="s">
        <v>2364</v>
      </c>
      <c r="C198" s="2097" t="s">
        <v>2371</v>
      </c>
      <c r="D198" s="2096">
        <v>1567170</v>
      </c>
      <c r="E198" s="2095" t="str">
        <f t="shared" si="4"/>
        <v>25,000</v>
      </c>
      <c r="F198" s="2095">
        <f t="shared" si="5"/>
        <v>1542170</v>
      </c>
    </row>
    <row r="199" spans="1:6" x14ac:dyDescent="0.25">
      <c r="A199" s="2097" t="s">
        <v>2365</v>
      </c>
      <c r="B199" s="2097" t="s">
        <v>2364</v>
      </c>
      <c r="C199" s="2097" t="s">
        <v>2370</v>
      </c>
      <c r="D199" s="2096">
        <v>79127.180000000008</v>
      </c>
      <c r="E199" s="2095" t="str">
        <f t="shared" si="4"/>
        <v>25,000</v>
      </c>
      <c r="F199" s="2095">
        <f t="shared" si="5"/>
        <v>54127.180000000008</v>
      </c>
    </row>
    <row r="200" spans="1:6" x14ac:dyDescent="0.25">
      <c r="A200" s="2097" t="s">
        <v>2365</v>
      </c>
      <c r="B200" s="2097" t="s">
        <v>2364</v>
      </c>
      <c r="C200" s="2097" t="s">
        <v>2369</v>
      </c>
      <c r="D200" s="2096">
        <v>134184.30000000002</v>
      </c>
      <c r="E200" s="2095" t="str">
        <f t="shared" si="4"/>
        <v>25,000</v>
      </c>
      <c r="F200" s="2095">
        <f t="shared" si="5"/>
        <v>109184.30000000002</v>
      </c>
    </row>
    <row r="201" spans="1:6" x14ac:dyDescent="0.25">
      <c r="A201" s="2097" t="s">
        <v>2365</v>
      </c>
      <c r="B201" s="2097" t="s">
        <v>2364</v>
      </c>
      <c r="C201" s="2097" t="s">
        <v>2368</v>
      </c>
      <c r="D201" s="2096">
        <v>1406013.2400000002</v>
      </c>
      <c r="E201" s="2095" t="str">
        <f t="shared" si="4"/>
        <v>25,000</v>
      </c>
      <c r="F201" s="2095">
        <f t="shared" si="5"/>
        <v>1381013.2400000002</v>
      </c>
    </row>
    <row r="202" spans="1:6" x14ac:dyDescent="0.25">
      <c r="A202" s="2097" t="s">
        <v>2365</v>
      </c>
      <c r="B202" s="2097" t="s">
        <v>2364</v>
      </c>
      <c r="C202" s="2097" t="s">
        <v>2367</v>
      </c>
      <c r="D202" s="2096">
        <v>205498</v>
      </c>
      <c r="E202" s="2095" t="str">
        <f t="shared" si="4"/>
        <v>25,000</v>
      </c>
      <c r="F202" s="2095">
        <f t="shared" si="5"/>
        <v>180498</v>
      </c>
    </row>
    <row r="203" spans="1:6" x14ac:dyDescent="0.25">
      <c r="A203" s="2097" t="s">
        <v>2365</v>
      </c>
      <c r="B203" s="2097" t="s">
        <v>2364</v>
      </c>
      <c r="C203" s="2097" t="s">
        <v>2366</v>
      </c>
      <c r="D203" s="2096">
        <v>29563</v>
      </c>
      <c r="E203" s="2095" t="str">
        <f t="shared" si="4"/>
        <v>25,000</v>
      </c>
      <c r="F203" s="2095">
        <f t="shared" si="5"/>
        <v>4563</v>
      </c>
    </row>
    <row r="204" spans="1:6" x14ac:dyDescent="0.25">
      <c r="A204" s="2097" t="s">
        <v>2365</v>
      </c>
      <c r="B204" s="2097" t="s">
        <v>2364</v>
      </c>
      <c r="C204" s="2097" t="s">
        <v>2363</v>
      </c>
      <c r="D204" s="2096">
        <v>107553.82</v>
      </c>
      <c r="E204" s="2095" t="str">
        <f t="shared" si="4"/>
        <v>25,000</v>
      </c>
      <c r="F204" s="2095">
        <f t="shared" si="5"/>
        <v>82553.820000000007</v>
      </c>
    </row>
    <row r="205" spans="1:6" x14ac:dyDescent="0.25">
      <c r="A205" s="2097" t="s">
        <v>2362</v>
      </c>
      <c r="B205" s="2097" t="s">
        <v>2361</v>
      </c>
      <c r="C205" s="2097" t="s">
        <v>2360</v>
      </c>
      <c r="D205" s="2096">
        <v>59618.57</v>
      </c>
      <c r="E205" s="2095" t="str">
        <f t="shared" si="4"/>
        <v>25,000</v>
      </c>
      <c r="F205" s="2095">
        <f t="shared" si="5"/>
        <v>34618.57</v>
      </c>
    </row>
    <row r="206" spans="1:6" x14ac:dyDescent="0.25">
      <c r="A206" s="2097" t="s">
        <v>2357</v>
      </c>
      <c r="B206" s="2097" t="s">
        <v>2356</v>
      </c>
      <c r="C206" s="2097" t="s">
        <v>2359</v>
      </c>
      <c r="D206" s="2096">
        <v>464750</v>
      </c>
      <c r="E206" s="2095" t="str">
        <f t="shared" si="4"/>
        <v>25,000</v>
      </c>
      <c r="F206" s="2095">
        <f t="shared" si="5"/>
        <v>439750</v>
      </c>
    </row>
    <row r="207" spans="1:6" x14ac:dyDescent="0.25">
      <c r="A207" s="2097" t="s">
        <v>2357</v>
      </c>
      <c r="B207" s="2097" t="s">
        <v>2356</v>
      </c>
      <c r="C207" s="2097" t="s">
        <v>2358</v>
      </c>
      <c r="D207" s="2096">
        <v>178750</v>
      </c>
      <c r="E207" s="2095" t="str">
        <f t="shared" si="4"/>
        <v>25,000</v>
      </c>
      <c r="F207" s="2095">
        <f t="shared" si="5"/>
        <v>153750</v>
      </c>
    </row>
    <row r="208" spans="1:6" x14ac:dyDescent="0.25">
      <c r="A208" s="2097" t="s">
        <v>2357</v>
      </c>
      <c r="B208" s="2097" t="s">
        <v>2356</v>
      </c>
      <c r="C208" s="2097" t="s">
        <v>2353</v>
      </c>
      <c r="D208" s="2096">
        <v>42261.15</v>
      </c>
      <c r="E208" s="2095" t="str">
        <f t="shared" si="4"/>
        <v>25,000</v>
      </c>
      <c r="F208" s="2095">
        <f t="shared" si="5"/>
        <v>17261.150000000001</v>
      </c>
    </row>
    <row r="209" spans="1:6" x14ac:dyDescent="0.25">
      <c r="A209" s="2097" t="s">
        <v>2355</v>
      </c>
      <c r="B209" s="2097" t="s">
        <v>2354</v>
      </c>
      <c r="C209" s="2097" t="s">
        <v>2353</v>
      </c>
      <c r="D209" s="2096">
        <v>101169.07</v>
      </c>
      <c r="E209" s="2095" t="str">
        <f t="shared" ref="E209:E272" si="6">IF(D209&lt;25000,D209,"25,000")</f>
        <v>25,000</v>
      </c>
      <c r="F209" s="2095">
        <f t="shared" ref="F209:F272" si="7">IF(D209&gt;=25000,(D209-E209),"0")</f>
        <v>76169.070000000007</v>
      </c>
    </row>
    <row r="210" spans="1:6" x14ac:dyDescent="0.25">
      <c r="A210" s="2097" t="s">
        <v>2288</v>
      </c>
      <c r="B210" s="2097" t="s">
        <v>2287</v>
      </c>
      <c r="C210" s="2097" t="s">
        <v>2352</v>
      </c>
      <c r="D210" s="2096">
        <v>42130</v>
      </c>
      <c r="E210" s="2095" t="str">
        <f t="shared" si="6"/>
        <v>25,000</v>
      </c>
      <c r="F210" s="2095">
        <f t="shared" si="7"/>
        <v>17130</v>
      </c>
    </row>
    <row r="211" spans="1:6" x14ac:dyDescent="0.25">
      <c r="A211" s="2097" t="s">
        <v>2288</v>
      </c>
      <c r="B211" s="2097" t="s">
        <v>2287</v>
      </c>
      <c r="C211" s="2097" t="s">
        <v>2351</v>
      </c>
      <c r="D211" s="2096">
        <v>25100</v>
      </c>
      <c r="E211" s="2095" t="str">
        <f t="shared" si="6"/>
        <v>25,000</v>
      </c>
      <c r="F211" s="2095">
        <f t="shared" si="7"/>
        <v>100</v>
      </c>
    </row>
    <row r="212" spans="1:6" x14ac:dyDescent="0.25">
      <c r="A212" s="2097" t="s">
        <v>2288</v>
      </c>
      <c r="B212" s="2097" t="s">
        <v>2287</v>
      </c>
      <c r="C212" s="2097" t="s">
        <v>2350</v>
      </c>
      <c r="D212" s="2096">
        <v>1135350.6199999999</v>
      </c>
      <c r="E212" s="2095" t="str">
        <f t="shared" si="6"/>
        <v>25,000</v>
      </c>
      <c r="F212" s="2095">
        <f t="shared" si="7"/>
        <v>1110350.6199999999</v>
      </c>
    </row>
    <row r="213" spans="1:6" x14ac:dyDescent="0.25">
      <c r="A213" s="2097" t="s">
        <v>2288</v>
      </c>
      <c r="B213" s="2097" t="s">
        <v>2287</v>
      </c>
      <c r="C213" s="2097" t="s">
        <v>2349</v>
      </c>
      <c r="D213" s="2096">
        <v>208143.2</v>
      </c>
      <c r="E213" s="2095" t="str">
        <f t="shared" si="6"/>
        <v>25,000</v>
      </c>
      <c r="F213" s="2095">
        <f t="shared" si="7"/>
        <v>183143.2</v>
      </c>
    </row>
    <row r="214" spans="1:6" x14ac:dyDescent="0.25">
      <c r="A214" s="2097" t="s">
        <v>2288</v>
      </c>
      <c r="B214" s="2097" t="s">
        <v>2287</v>
      </c>
      <c r="C214" s="2097" t="s">
        <v>2348</v>
      </c>
      <c r="D214" s="2096">
        <v>102754.08</v>
      </c>
      <c r="E214" s="2095" t="str">
        <f t="shared" si="6"/>
        <v>25,000</v>
      </c>
      <c r="F214" s="2095">
        <f t="shared" si="7"/>
        <v>77754.080000000002</v>
      </c>
    </row>
    <row r="215" spans="1:6" x14ac:dyDescent="0.25">
      <c r="A215" s="2097" t="s">
        <v>2288</v>
      </c>
      <c r="B215" s="2097" t="s">
        <v>2287</v>
      </c>
      <c r="C215" s="2097" t="s">
        <v>2347</v>
      </c>
      <c r="D215" s="2096">
        <v>26747.46</v>
      </c>
      <c r="E215" s="2095" t="str">
        <f t="shared" si="6"/>
        <v>25,000</v>
      </c>
      <c r="F215" s="2095">
        <f t="shared" si="7"/>
        <v>1747.4599999999991</v>
      </c>
    </row>
    <row r="216" spans="1:6" x14ac:dyDescent="0.25">
      <c r="A216" s="2097" t="s">
        <v>2288</v>
      </c>
      <c r="B216" s="2097" t="s">
        <v>2287</v>
      </c>
      <c r="C216" s="2097" t="s">
        <v>2346</v>
      </c>
      <c r="D216" s="2096">
        <v>36672.410000000003</v>
      </c>
      <c r="E216" s="2095" t="str">
        <f t="shared" si="6"/>
        <v>25,000</v>
      </c>
      <c r="F216" s="2095">
        <f t="shared" si="7"/>
        <v>11672.410000000003</v>
      </c>
    </row>
    <row r="217" spans="1:6" x14ac:dyDescent="0.25">
      <c r="A217" s="2097" t="s">
        <v>2288</v>
      </c>
      <c r="B217" s="2097" t="s">
        <v>2287</v>
      </c>
      <c r="C217" s="2097" t="s">
        <v>2345</v>
      </c>
      <c r="D217" s="2096">
        <v>45130.780000000028</v>
      </c>
      <c r="E217" s="2095" t="str">
        <f t="shared" si="6"/>
        <v>25,000</v>
      </c>
      <c r="F217" s="2095">
        <f t="shared" si="7"/>
        <v>20130.780000000028</v>
      </c>
    </row>
    <row r="218" spans="1:6" x14ac:dyDescent="0.25">
      <c r="A218" s="2097" t="s">
        <v>2288</v>
      </c>
      <c r="B218" s="2097" t="s">
        <v>2287</v>
      </c>
      <c r="C218" s="2097" t="s">
        <v>2344</v>
      </c>
      <c r="D218" s="2096">
        <v>437143.20000000007</v>
      </c>
      <c r="E218" s="2095" t="str">
        <f t="shared" si="6"/>
        <v>25,000</v>
      </c>
      <c r="F218" s="2095">
        <f t="shared" si="7"/>
        <v>412143.20000000007</v>
      </c>
    </row>
    <row r="219" spans="1:6" x14ac:dyDescent="0.25">
      <c r="A219" s="2097" t="s">
        <v>2288</v>
      </c>
      <c r="B219" s="2097" t="s">
        <v>2287</v>
      </c>
      <c r="C219" s="2097" t="s">
        <v>2343</v>
      </c>
      <c r="D219" s="2096">
        <v>27920</v>
      </c>
      <c r="E219" s="2095" t="str">
        <f t="shared" si="6"/>
        <v>25,000</v>
      </c>
      <c r="F219" s="2095">
        <f t="shared" si="7"/>
        <v>2920</v>
      </c>
    </row>
    <row r="220" spans="1:6" x14ac:dyDescent="0.25">
      <c r="A220" s="2097" t="s">
        <v>2288</v>
      </c>
      <c r="B220" s="2097" t="s">
        <v>2287</v>
      </c>
      <c r="C220" s="2097" t="s">
        <v>2342</v>
      </c>
      <c r="D220" s="2096">
        <v>88400</v>
      </c>
      <c r="E220" s="2095" t="str">
        <f t="shared" si="6"/>
        <v>25,000</v>
      </c>
      <c r="F220" s="2095">
        <f t="shared" si="7"/>
        <v>63400</v>
      </c>
    </row>
    <row r="221" spans="1:6" x14ac:dyDescent="0.25">
      <c r="A221" s="2097" t="s">
        <v>2288</v>
      </c>
      <c r="B221" s="2097" t="s">
        <v>2287</v>
      </c>
      <c r="C221" s="2097" t="s">
        <v>2341</v>
      </c>
      <c r="D221" s="2096">
        <v>96793</v>
      </c>
      <c r="E221" s="2095" t="str">
        <f t="shared" si="6"/>
        <v>25,000</v>
      </c>
      <c r="F221" s="2095">
        <f t="shared" si="7"/>
        <v>71793</v>
      </c>
    </row>
    <row r="222" spans="1:6" x14ac:dyDescent="0.25">
      <c r="A222" s="2097" t="s">
        <v>2288</v>
      </c>
      <c r="B222" s="2097" t="s">
        <v>2287</v>
      </c>
      <c r="C222" s="2097" t="s">
        <v>2340</v>
      </c>
      <c r="D222" s="2096">
        <v>42569.56</v>
      </c>
      <c r="E222" s="2095" t="str">
        <f t="shared" si="6"/>
        <v>25,000</v>
      </c>
      <c r="F222" s="2095">
        <f t="shared" si="7"/>
        <v>17569.559999999998</v>
      </c>
    </row>
    <row r="223" spans="1:6" x14ac:dyDescent="0.25">
      <c r="A223" s="2097" t="s">
        <v>2288</v>
      </c>
      <c r="B223" s="2097" t="s">
        <v>2287</v>
      </c>
      <c r="C223" s="2097" t="s">
        <v>2339</v>
      </c>
      <c r="D223" s="2096">
        <v>476667</v>
      </c>
      <c r="E223" s="2095" t="str">
        <f t="shared" si="6"/>
        <v>25,000</v>
      </c>
      <c r="F223" s="2095">
        <f t="shared" si="7"/>
        <v>451667</v>
      </c>
    </row>
    <row r="224" spans="1:6" x14ac:dyDescent="0.25">
      <c r="A224" s="2097" t="s">
        <v>2288</v>
      </c>
      <c r="B224" s="2097" t="s">
        <v>2287</v>
      </c>
      <c r="C224" s="2097" t="s">
        <v>2338</v>
      </c>
      <c r="D224" s="2096">
        <v>63514.9</v>
      </c>
      <c r="E224" s="2095" t="str">
        <f t="shared" si="6"/>
        <v>25,000</v>
      </c>
      <c r="F224" s="2095">
        <f t="shared" si="7"/>
        <v>38514.9</v>
      </c>
    </row>
    <row r="225" spans="1:6" x14ac:dyDescent="0.25">
      <c r="A225" s="2097" t="s">
        <v>2288</v>
      </c>
      <c r="B225" s="2097" t="s">
        <v>2287</v>
      </c>
      <c r="C225" s="2097" t="s">
        <v>2337</v>
      </c>
      <c r="D225" s="2096">
        <v>51826.410000000011</v>
      </c>
      <c r="E225" s="2095" t="str">
        <f t="shared" si="6"/>
        <v>25,000</v>
      </c>
      <c r="F225" s="2095">
        <f t="shared" si="7"/>
        <v>26826.410000000011</v>
      </c>
    </row>
    <row r="226" spans="1:6" x14ac:dyDescent="0.25">
      <c r="A226" s="2097" t="s">
        <v>2288</v>
      </c>
      <c r="B226" s="2097" t="s">
        <v>2287</v>
      </c>
      <c r="C226" s="2097" t="s">
        <v>2336</v>
      </c>
      <c r="D226" s="2096">
        <v>369998.83999999973</v>
      </c>
      <c r="E226" s="2095" t="str">
        <f t="shared" si="6"/>
        <v>25,000</v>
      </c>
      <c r="F226" s="2095">
        <f t="shared" si="7"/>
        <v>344998.83999999973</v>
      </c>
    </row>
    <row r="227" spans="1:6" x14ac:dyDescent="0.25">
      <c r="A227" s="2097" t="s">
        <v>2288</v>
      </c>
      <c r="B227" s="2097" t="s">
        <v>2287</v>
      </c>
      <c r="C227" s="2097" t="s">
        <v>2335</v>
      </c>
      <c r="D227" s="2096">
        <v>35900</v>
      </c>
      <c r="E227" s="2095" t="str">
        <f t="shared" si="6"/>
        <v>25,000</v>
      </c>
      <c r="F227" s="2095">
        <f t="shared" si="7"/>
        <v>10900</v>
      </c>
    </row>
    <row r="228" spans="1:6" x14ac:dyDescent="0.25">
      <c r="A228" s="2097" t="s">
        <v>2288</v>
      </c>
      <c r="B228" s="2097" t="s">
        <v>2287</v>
      </c>
      <c r="C228" s="2097" t="s">
        <v>2334</v>
      </c>
      <c r="D228" s="2096">
        <v>43630</v>
      </c>
      <c r="E228" s="2095" t="str">
        <f t="shared" si="6"/>
        <v>25,000</v>
      </c>
      <c r="F228" s="2095">
        <f t="shared" si="7"/>
        <v>18630</v>
      </c>
    </row>
    <row r="229" spans="1:6" x14ac:dyDescent="0.25">
      <c r="A229" s="2097" t="s">
        <v>2288</v>
      </c>
      <c r="B229" s="2097" t="s">
        <v>2287</v>
      </c>
      <c r="C229" s="2097" t="s">
        <v>2333</v>
      </c>
      <c r="D229" s="2096">
        <v>113868.25</v>
      </c>
      <c r="E229" s="2095" t="str">
        <f t="shared" si="6"/>
        <v>25,000</v>
      </c>
      <c r="F229" s="2095">
        <f t="shared" si="7"/>
        <v>88868.25</v>
      </c>
    </row>
    <row r="230" spans="1:6" x14ac:dyDescent="0.25">
      <c r="A230" s="2097" t="s">
        <v>2288</v>
      </c>
      <c r="B230" s="2097" t="s">
        <v>2287</v>
      </c>
      <c r="C230" s="2097" t="s">
        <v>2332</v>
      </c>
      <c r="D230" s="2096">
        <v>186012.07</v>
      </c>
      <c r="E230" s="2095" t="str">
        <f t="shared" si="6"/>
        <v>25,000</v>
      </c>
      <c r="F230" s="2095">
        <f t="shared" si="7"/>
        <v>161012.07</v>
      </c>
    </row>
    <row r="231" spans="1:6" x14ac:dyDescent="0.25">
      <c r="A231" s="2097" t="s">
        <v>2288</v>
      </c>
      <c r="B231" s="2097" t="s">
        <v>2287</v>
      </c>
      <c r="C231" s="2097" t="s">
        <v>2331</v>
      </c>
      <c r="D231" s="2096">
        <v>248511.62</v>
      </c>
      <c r="E231" s="2095" t="str">
        <f t="shared" si="6"/>
        <v>25,000</v>
      </c>
      <c r="F231" s="2095">
        <f t="shared" si="7"/>
        <v>223511.62</v>
      </c>
    </row>
    <row r="232" spans="1:6" x14ac:dyDescent="0.25">
      <c r="A232" s="2097" t="s">
        <v>2288</v>
      </c>
      <c r="B232" s="2097" t="s">
        <v>2287</v>
      </c>
      <c r="C232" s="2097" t="s">
        <v>2330</v>
      </c>
      <c r="D232" s="2096">
        <v>70569.09</v>
      </c>
      <c r="E232" s="2095" t="str">
        <f t="shared" si="6"/>
        <v>25,000</v>
      </c>
      <c r="F232" s="2095">
        <f t="shared" si="7"/>
        <v>45569.09</v>
      </c>
    </row>
    <row r="233" spans="1:6" x14ac:dyDescent="0.25">
      <c r="A233" s="2097" t="s">
        <v>2288</v>
      </c>
      <c r="B233" s="2097" t="s">
        <v>2287</v>
      </c>
      <c r="C233" s="2097" t="s">
        <v>2329</v>
      </c>
      <c r="D233" s="2096">
        <v>92265.599999999991</v>
      </c>
      <c r="E233" s="2095" t="str">
        <f t="shared" si="6"/>
        <v>25,000</v>
      </c>
      <c r="F233" s="2095">
        <f t="shared" si="7"/>
        <v>67265.599999999991</v>
      </c>
    </row>
    <row r="234" spans="1:6" x14ac:dyDescent="0.25">
      <c r="A234" s="2097" t="s">
        <v>2288</v>
      </c>
      <c r="B234" s="2097" t="s">
        <v>2287</v>
      </c>
      <c r="C234" s="2097" t="s">
        <v>2328</v>
      </c>
      <c r="D234" s="2096">
        <v>76871.8</v>
      </c>
      <c r="E234" s="2095" t="str">
        <f t="shared" si="6"/>
        <v>25,000</v>
      </c>
      <c r="F234" s="2095">
        <f t="shared" si="7"/>
        <v>51871.8</v>
      </c>
    </row>
    <row r="235" spans="1:6" x14ac:dyDescent="0.25">
      <c r="A235" s="2097" t="s">
        <v>2288</v>
      </c>
      <c r="B235" s="2097" t="s">
        <v>2287</v>
      </c>
      <c r="C235" s="2097" t="s">
        <v>2327</v>
      </c>
      <c r="D235" s="2096">
        <v>144135</v>
      </c>
      <c r="E235" s="2095" t="str">
        <f t="shared" si="6"/>
        <v>25,000</v>
      </c>
      <c r="F235" s="2095">
        <f t="shared" si="7"/>
        <v>119135</v>
      </c>
    </row>
    <row r="236" spans="1:6" x14ac:dyDescent="0.25">
      <c r="A236" s="2097" t="s">
        <v>2288</v>
      </c>
      <c r="B236" s="2097" t="s">
        <v>2287</v>
      </c>
      <c r="C236" s="2097" t="s">
        <v>2326</v>
      </c>
      <c r="D236" s="2096">
        <v>57655</v>
      </c>
      <c r="E236" s="2095" t="str">
        <f t="shared" si="6"/>
        <v>25,000</v>
      </c>
      <c r="F236" s="2095">
        <f t="shared" si="7"/>
        <v>32655</v>
      </c>
    </row>
    <row r="237" spans="1:6" x14ac:dyDescent="0.25">
      <c r="A237" s="2097" t="s">
        <v>2288</v>
      </c>
      <c r="B237" s="2097" t="s">
        <v>2287</v>
      </c>
      <c r="C237" s="2097" t="s">
        <v>2276</v>
      </c>
      <c r="D237" s="2096">
        <v>41645.640000000007</v>
      </c>
      <c r="E237" s="2095" t="str">
        <f t="shared" si="6"/>
        <v>25,000</v>
      </c>
      <c r="F237" s="2095">
        <f t="shared" si="7"/>
        <v>16645.640000000007</v>
      </c>
    </row>
    <row r="238" spans="1:6" x14ac:dyDescent="0.25">
      <c r="A238" s="2097" t="s">
        <v>2288</v>
      </c>
      <c r="B238" s="2097" t="s">
        <v>2287</v>
      </c>
      <c r="C238" s="2097" t="s">
        <v>2325</v>
      </c>
      <c r="D238" s="2096">
        <v>28290</v>
      </c>
      <c r="E238" s="2095" t="str">
        <f t="shared" si="6"/>
        <v>25,000</v>
      </c>
      <c r="F238" s="2095">
        <f t="shared" si="7"/>
        <v>3290</v>
      </c>
    </row>
    <row r="239" spans="1:6" x14ac:dyDescent="0.25">
      <c r="A239" s="2097" t="s">
        <v>2288</v>
      </c>
      <c r="B239" s="2097" t="s">
        <v>2287</v>
      </c>
      <c r="C239" s="2097" t="s">
        <v>2324</v>
      </c>
      <c r="D239" s="2096">
        <v>35566.14</v>
      </c>
      <c r="E239" s="2095" t="str">
        <f t="shared" si="6"/>
        <v>25,000</v>
      </c>
      <c r="F239" s="2095">
        <f t="shared" si="7"/>
        <v>10566.14</v>
      </c>
    </row>
    <row r="240" spans="1:6" x14ac:dyDescent="0.25">
      <c r="A240" s="2097" t="s">
        <v>2288</v>
      </c>
      <c r="B240" s="2097" t="s">
        <v>2287</v>
      </c>
      <c r="C240" s="2097" t="s">
        <v>2323</v>
      </c>
      <c r="D240" s="2096">
        <v>3444333.37</v>
      </c>
      <c r="E240" s="2095" t="str">
        <f t="shared" si="6"/>
        <v>25,000</v>
      </c>
      <c r="F240" s="2095">
        <f t="shared" si="7"/>
        <v>3419333.37</v>
      </c>
    </row>
    <row r="241" spans="1:6" x14ac:dyDescent="0.25">
      <c r="A241" s="2097" t="s">
        <v>2288</v>
      </c>
      <c r="B241" s="2097" t="s">
        <v>2287</v>
      </c>
      <c r="C241" s="2097" t="s">
        <v>2322</v>
      </c>
      <c r="D241" s="2096">
        <v>501625.23</v>
      </c>
      <c r="E241" s="2095" t="str">
        <f t="shared" si="6"/>
        <v>25,000</v>
      </c>
      <c r="F241" s="2095">
        <f t="shared" si="7"/>
        <v>476625.23</v>
      </c>
    </row>
    <row r="242" spans="1:6" x14ac:dyDescent="0.25">
      <c r="A242" s="2097" t="s">
        <v>2288</v>
      </c>
      <c r="B242" s="2097" t="s">
        <v>2287</v>
      </c>
      <c r="C242" s="2097" t="s">
        <v>2321</v>
      </c>
      <c r="D242" s="2096">
        <v>75814</v>
      </c>
      <c r="E242" s="2095" t="str">
        <f t="shared" si="6"/>
        <v>25,000</v>
      </c>
      <c r="F242" s="2095">
        <f t="shared" si="7"/>
        <v>50814</v>
      </c>
    </row>
    <row r="243" spans="1:6" x14ac:dyDescent="0.25">
      <c r="A243" s="2097" t="s">
        <v>2288</v>
      </c>
      <c r="B243" s="2097" t="s">
        <v>2287</v>
      </c>
      <c r="C243" s="2097" t="s">
        <v>2320</v>
      </c>
      <c r="D243" s="2096">
        <v>75068</v>
      </c>
      <c r="E243" s="2095" t="str">
        <f t="shared" si="6"/>
        <v>25,000</v>
      </c>
      <c r="F243" s="2095">
        <f t="shared" si="7"/>
        <v>50068</v>
      </c>
    </row>
    <row r="244" spans="1:6" x14ac:dyDescent="0.25">
      <c r="A244" s="2097" t="s">
        <v>2288</v>
      </c>
      <c r="B244" s="2097" t="s">
        <v>2287</v>
      </c>
      <c r="C244" s="2097" t="s">
        <v>2319</v>
      </c>
      <c r="D244" s="2096">
        <v>53510.5</v>
      </c>
      <c r="E244" s="2095" t="str">
        <f t="shared" si="6"/>
        <v>25,000</v>
      </c>
      <c r="F244" s="2095">
        <f t="shared" si="7"/>
        <v>28510.5</v>
      </c>
    </row>
    <row r="245" spans="1:6" x14ac:dyDescent="0.25">
      <c r="A245" s="2097" t="s">
        <v>2288</v>
      </c>
      <c r="B245" s="2097" t="s">
        <v>2287</v>
      </c>
      <c r="C245" s="2097" t="s">
        <v>2318</v>
      </c>
      <c r="D245" s="2096">
        <v>163069.41999999998</v>
      </c>
      <c r="E245" s="2095" t="str">
        <f t="shared" si="6"/>
        <v>25,000</v>
      </c>
      <c r="F245" s="2095">
        <f t="shared" si="7"/>
        <v>138069.41999999998</v>
      </c>
    </row>
    <row r="246" spans="1:6" x14ac:dyDescent="0.25">
      <c r="A246" s="2097" t="s">
        <v>2288</v>
      </c>
      <c r="B246" s="2097" t="s">
        <v>2287</v>
      </c>
      <c r="C246" s="2097" t="s">
        <v>2317</v>
      </c>
      <c r="D246" s="2096">
        <v>256190.08000000002</v>
      </c>
      <c r="E246" s="2095" t="str">
        <f t="shared" si="6"/>
        <v>25,000</v>
      </c>
      <c r="F246" s="2095">
        <f t="shared" si="7"/>
        <v>231190.08000000002</v>
      </c>
    </row>
    <row r="247" spans="1:6" x14ac:dyDescent="0.25">
      <c r="A247" s="2097" t="s">
        <v>2288</v>
      </c>
      <c r="B247" s="2097" t="s">
        <v>2287</v>
      </c>
      <c r="C247" s="2097" t="s">
        <v>2316</v>
      </c>
      <c r="D247" s="2096">
        <v>107678.12</v>
      </c>
      <c r="E247" s="2095" t="str">
        <f t="shared" si="6"/>
        <v>25,000</v>
      </c>
      <c r="F247" s="2095">
        <f t="shared" si="7"/>
        <v>82678.12</v>
      </c>
    </row>
    <row r="248" spans="1:6" x14ac:dyDescent="0.25">
      <c r="A248" s="2097" t="s">
        <v>2288</v>
      </c>
      <c r="B248" s="2097" t="s">
        <v>2287</v>
      </c>
      <c r="C248" s="2097" t="s">
        <v>2315</v>
      </c>
      <c r="D248" s="2096">
        <v>30291.69</v>
      </c>
      <c r="E248" s="2095" t="str">
        <f t="shared" si="6"/>
        <v>25,000</v>
      </c>
      <c r="F248" s="2095">
        <f t="shared" si="7"/>
        <v>5291.6899999999987</v>
      </c>
    </row>
    <row r="249" spans="1:6" x14ac:dyDescent="0.25">
      <c r="A249" s="2097" t="s">
        <v>2288</v>
      </c>
      <c r="B249" s="2097" t="s">
        <v>2287</v>
      </c>
      <c r="C249" s="2097" t="s">
        <v>2314</v>
      </c>
      <c r="D249" s="2096">
        <v>121204.83</v>
      </c>
      <c r="E249" s="2095" t="str">
        <f t="shared" si="6"/>
        <v>25,000</v>
      </c>
      <c r="F249" s="2095">
        <f t="shared" si="7"/>
        <v>96204.83</v>
      </c>
    </row>
    <row r="250" spans="1:6" x14ac:dyDescent="0.25">
      <c r="A250" s="2097" t="s">
        <v>2288</v>
      </c>
      <c r="B250" s="2097" t="s">
        <v>2287</v>
      </c>
      <c r="C250" s="2097" t="s">
        <v>2313</v>
      </c>
      <c r="D250" s="2096">
        <v>212000</v>
      </c>
      <c r="E250" s="2095" t="str">
        <f t="shared" si="6"/>
        <v>25,000</v>
      </c>
      <c r="F250" s="2095">
        <f t="shared" si="7"/>
        <v>187000</v>
      </c>
    </row>
    <row r="251" spans="1:6" x14ac:dyDescent="0.25">
      <c r="A251" s="2097" t="s">
        <v>2288</v>
      </c>
      <c r="B251" s="2097" t="s">
        <v>2287</v>
      </c>
      <c r="C251" s="2097" t="s">
        <v>2312</v>
      </c>
      <c r="D251" s="2096">
        <v>213792</v>
      </c>
      <c r="E251" s="2095" t="str">
        <f t="shared" si="6"/>
        <v>25,000</v>
      </c>
      <c r="F251" s="2095">
        <f t="shared" si="7"/>
        <v>188792</v>
      </c>
    </row>
    <row r="252" spans="1:6" x14ac:dyDescent="0.25">
      <c r="A252" s="2097" t="s">
        <v>2288</v>
      </c>
      <c r="B252" s="2097" t="s">
        <v>2287</v>
      </c>
      <c r="C252" s="2097" t="s">
        <v>2311</v>
      </c>
      <c r="D252" s="2096">
        <v>29483.27</v>
      </c>
      <c r="E252" s="2095" t="str">
        <f t="shared" si="6"/>
        <v>25,000</v>
      </c>
      <c r="F252" s="2095">
        <f t="shared" si="7"/>
        <v>4483.2700000000004</v>
      </c>
    </row>
    <row r="253" spans="1:6" x14ac:dyDescent="0.25">
      <c r="A253" s="2097" t="s">
        <v>2288</v>
      </c>
      <c r="B253" s="2097" t="s">
        <v>2287</v>
      </c>
      <c r="C253" s="2097" t="s">
        <v>2310</v>
      </c>
      <c r="D253" s="2096">
        <v>42313.5</v>
      </c>
      <c r="E253" s="2095" t="str">
        <f t="shared" si="6"/>
        <v>25,000</v>
      </c>
      <c r="F253" s="2095">
        <f t="shared" si="7"/>
        <v>17313.5</v>
      </c>
    </row>
    <row r="254" spans="1:6" x14ac:dyDescent="0.25">
      <c r="A254" s="2097" t="s">
        <v>2288</v>
      </c>
      <c r="B254" s="2097" t="s">
        <v>2287</v>
      </c>
      <c r="C254" s="2097" t="s">
        <v>2309</v>
      </c>
      <c r="D254" s="2096">
        <v>88690</v>
      </c>
      <c r="E254" s="2095" t="str">
        <f t="shared" si="6"/>
        <v>25,000</v>
      </c>
      <c r="F254" s="2095">
        <f t="shared" si="7"/>
        <v>63690</v>
      </c>
    </row>
    <row r="255" spans="1:6" x14ac:dyDescent="0.25">
      <c r="A255" s="2097" t="s">
        <v>2288</v>
      </c>
      <c r="B255" s="2097" t="s">
        <v>2287</v>
      </c>
      <c r="C255" s="2097" t="s">
        <v>2308</v>
      </c>
      <c r="D255" s="2096">
        <v>255072.8</v>
      </c>
      <c r="E255" s="2095" t="str">
        <f t="shared" si="6"/>
        <v>25,000</v>
      </c>
      <c r="F255" s="2095">
        <f t="shared" si="7"/>
        <v>230072.8</v>
      </c>
    </row>
    <row r="256" spans="1:6" x14ac:dyDescent="0.25">
      <c r="A256" s="2097" t="s">
        <v>2288</v>
      </c>
      <c r="B256" s="2097" t="s">
        <v>2287</v>
      </c>
      <c r="C256" s="2097" t="s">
        <v>2307</v>
      </c>
      <c r="D256" s="2096">
        <v>252593</v>
      </c>
      <c r="E256" s="2095" t="str">
        <f t="shared" si="6"/>
        <v>25,000</v>
      </c>
      <c r="F256" s="2095">
        <f t="shared" si="7"/>
        <v>227593</v>
      </c>
    </row>
    <row r="257" spans="1:6" x14ac:dyDescent="0.25">
      <c r="A257" s="2097" t="s">
        <v>2288</v>
      </c>
      <c r="B257" s="2097" t="s">
        <v>2287</v>
      </c>
      <c r="C257" s="2097" t="s">
        <v>2306</v>
      </c>
      <c r="D257" s="2096">
        <v>189942.99</v>
      </c>
      <c r="E257" s="2095" t="str">
        <f t="shared" si="6"/>
        <v>25,000</v>
      </c>
      <c r="F257" s="2095">
        <f t="shared" si="7"/>
        <v>164942.99</v>
      </c>
    </row>
    <row r="258" spans="1:6" x14ac:dyDescent="0.25">
      <c r="A258" s="2097" t="s">
        <v>2288</v>
      </c>
      <c r="B258" s="2097" t="s">
        <v>2287</v>
      </c>
      <c r="C258" s="2097" t="s">
        <v>2305</v>
      </c>
      <c r="D258" s="2096">
        <v>31334.9</v>
      </c>
      <c r="E258" s="2095" t="str">
        <f t="shared" si="6"/>
        <v>25,000</v>
      </c>
      <c r="F258" s="2095">
        <f t="shared" si="7"/>
        <v>6334.9000000000015</v>
      </c>
    </row>
    <row r="259" spans="1:6" x14ac:dyDescent="0.25">
      <c r="A259" s="2097" t="s">
        <v>2288</v>
      </c>
      <c r="B259" s="2097" t="s">
        <v>2287</v>
      </c>
      <c r="C259" s="2097" t="s">
        <v>2304</v>
      </c>
      <c r="D259" s="2096">
        <v>28705.149999999998</v>
      </c>
      <c r="E259" s="2095" t="str">
        <f t="shared" si="6"/>
        <v>25,000</v>
      </c>
      <c r="F259" s="2095">
        <f t="shared" si="7"/>
        <v>3705.1499999999978</v>
      </c>
    </row>
    <row r="260" spans="1:6" x14ac:dyDescent="0.25">
      <c r="A260" s="2097" t="s">
        <v>2288</v>
      </c>
      <c r="B260" s="2097" t="s">
        <v>2287</v>
      </c>
      <c r="C260" s="2097" t="s">
        <v>2303</v>
      </c>
      <c r="D260" s="2096">
        <v>48049</v>
      </c>
      <c r="E260" s="2095" t="str">
        <f t="shared" si="6"/>
        <v>25,000</v>
      </c>
      <c r="F260" s="2095">
        <f t="shared" si="7"/>
        <v>23049</v>
      </c>
    </row>
    <row r="261" spans="1:6" x14ac:dyDescent="0.25">
      <c r="A261" s="2097" t="s">
        <v>2288</v>
      </c>
      <c r="B261" s="2097" t="s">
        <v>2287</v>
      </c>
      <c r="C261" s="2097" t="s">
        <v>2302</v>
      </c>
      <c r="D261" s="2096">
        <v>513553.45999999996</v>
      </c>
      <c r="E261" s="2095" t="str">
        <f t="shared" si="6"/>
        <v>25,000</v>
      </c>
      <c r="F261" s="2095">
        <f t="shared" si="7"/>
        <v>488553.45999999996</v>
      </c>
    </row>
    <row r="262" spans="1:6" x14ac:dyDescent="0.25">
      <c r="A262" s="2097" t="s">
        <v>2288</v>
      </c>
      <c r="B262" s="2097" t="s">
        <v>2287</v>
      </c>
      <c r="C262" s="2097" t="s">
        <v>2301</v>
      </c>
      <c r="D262" s="2096">
        <v>33967.699999999997</v>
      </c>
      <c r="E262" s="2095" t="str">
        <f t="shared" si="6"/>
        <v>25,000</v>
      </c>
      <c r="F262" s="2095">
        <f t="shared" si="7"/>
        <v>8967.6999999999971</v>
      </c>
    </row>
    <row r="263" spans="1:6" x14ac:dyDescent="0.25">
      <c r="A263" s="2097" t="s">
        <v>2288</v>
      </c>
      <c r="B263" s="2097" t="s">
        <v>2287</v>
      </c>
      <c r="C263" s="2097" t="s">
        <v>2300</v>
      </c>
      <c r="D263" s="2096">
        <v>41696.06</v>
      </c>
      <c r="E263" s="2095" t="str">
        <f t="shared" si="6"/>
        <v>25,000</v>
      </c>
      <c r="F263" s="2095">
        <f t="shared" si="7"/>
        <v>16696.059999999998</v>
      </c>
    </row>
    <row r="264" spans="1:6" x14ac:dyDescent="0.25">
      <c r="A264" s="2097" t="s">
        <v>2288</v>
      </c>
      <c r="B264" s="2097" t="s">
        <v>2287</v>
      </c>
      <c r="C264" s="2097" t="s">
        <v>2299</v>
      </c>
      <c r="D264" s="2096">
        <v>170115</v>
      </c>
      <c r="E264" s="2095" t="str">
        <f t="shared" si="6"/>
        <v>25,000</v>
      </c>
      <c r="F264" s="2095">
        <f t="shared" si="7"/>
        <v>145115</v>
      </c>
    </row>
    <row r="265" spans="1:6" x14ac:dyDescent="0.25">
      <c r="A265" s="2097" t="s">
        <v>2288</v>
      </c>
      <c r="B265" s="2097" t="s">
        <v>2287</v>
      </c>
      <c r="C265" s="2097" t="s">
        <v>2298</v>
      </c>
      <c r="D265" s="2096">
        <v>58982.159999999996</v>
      </c>
      <c r="E265" s="2095" t="str">
        <f t="shared" si="6"/>
        <v>25,000</v>
      </c>
      <c r="F265" s="2095">
        <f t="shared" si="7"/>
        <v>33982.159999999996</v>
      </c>
    </row>
    <row r="266" spans="1:6" x14ac:dyDescent="0.25">
      <c r="A266" s="2097" t="s">
        <v>2288</v>
      </c>
      <c r="B266" s="2097" t="s">
        <v>2287</v>
      </c>
      <c r="C266" s="2097" t="s">
        <v>2297</v>
      </c>
      <c r="D266" s="2096">
        <v>92906.85</v>
      </c>
      <c r="E266" s="2095" t="str">
        <f t="shared" si="6"/>
        <v>25,000</v>
      </c>
      <c r="F266" s="2095">
        <f t="shared" si="7"/>
        <v>67906.850000000006</v>
      </c>
    </row>
    <row r="267" spans="1:6" x14ac:dyDescent="0.25">
      <c r="A267" s="2097" t="s">
        <v>2288</v>
      </c>
      <c r="B267" s="2097" t="s">
        <v>2287</v>
      </c>
      <c r="C267" s="2097" t="s">
        <v>2296</v>
      </c>
      <c r="D267" s="2096">
        <v>143660.83000000002</v>
      </c>
      <c r="E267" s="2095" t="str">
        <f t="shared" si="6"/>
        <v>25,000</v>
      </c>
      <c r="F267" s="2095">
        <f t="shared" si="7"/>
        <v>118660.83000000002</v>
      </c>
    </row>
    <row r="268" spans="1:6" x14ac:dyDescent="0.25">
      <c r="A268" s="2097" t="s">
        <v>2288</v>
      </c>
      <c r="B268" s="2097" t="s">
        <v>2287</v>
      </c>
      <c r="C268" s="2097" t="s">
        <v>2295</v>
      </c>
      <c r="D268" s="2096">
        <v>172575.72999999998</v>
      </c>
      <c r="E268" s="2095" t="str">
        <f t="shared" si="6"/>
        <v>25,000</v>
      </c>
      <c r="F268" s="2095">
        <f t="shared" si="7"/>
        <v>147575.72999999998</v>
      </c>
    </row>
    <row r="269" spans="1:6" x14ac:dyDescent="0.25">
      <c r="A269" s="2097" t="s">
        <v>2288</v>
      </c>
      <c r="B269" s="2097" t="s">
        <v>2287</v>
      </c>
      <c r="C269" s="2097" t="s">
        <v>2263</v>
      </c>
      <c r="D269" s="2096">
        <v>662762.87</v>
      </c>
      <c r="E269" s="2095" t="str">
        <f t="shared" si="6"/>
        <v>25,000</v>
      </c>
      <c r="F269" s="2095">
        <f t="shared" si="7"/>
        <v>637762.87</v>
      </c>
    </row>
    <row r="270" spans="1:6" x14ac:dyDescent="0.25">
      <c r="A270" s="2097" t="s">
        <v>2288</v>
      </c>
      <c r="B270" s="2097" t="s">
        <v>2287</v>
      </c>
      <c r="C270" s="2097" t="s">
        <v>2294</v>
      </c>
      <c r="D270" s="2096">
        <v>208392.39</v>
      </c>
      <c r="E270" s="2095" t="str">
        <f t="shared" si="6"/>
        <v>25,000</v>
      </c>
      <c r="F270" s="2095">
        <f t="shared" si="7"/>
        <v>183392.39</v>
      </c>
    </row>
    <row r="271" spans="1:6" x14ac:dyDescent="0.25">
      <c r="A271" s="2097" t="s">
        <v>2288</v>
      </c>
      <c r="B271" s="2097" t="s">
        <v>2287</v>
      </c>
      <c r="C271" s="2097" t="s">
        <v>2243</v>
      </c>
      <c r="D271" s="2096">
        <v>28390.450000000004</v>
      </c>
      <c r="E271" s="2095" t="str">
        <f t="shared" si="6"/>
        <v>25,000</v>
      </c>
      <c r="F271" s="2095">
        <f t="shared" si="7"/>
        <v>3390.4500000000044</v>
      </c>
    </row>
    <row r="272" spans="1:6" x14ac:dyDescent="0.25">
      <c r="A272" s="2097" t="s">
        <v>2288</v>
      </c>
      <c r="B272" s="2097" t="s">
        <v>2287</v>
      </c>
      <c r="C272" s="2097" t="s">
        <v>2293</v>
      </c>
      <c r="D272" s="2096">
        <v>54030</v>
      </c>
      <c r="E272" s="2095" t="str">
        <f t="shared" si="6"/>
        <v>25,000</v>
      </c>
      <c r="F272" s="2095">
        <f t="shared" si="7"/>
        <v>29030</v>
      </c>
    </row>
    <row r="273" spans="1:6" x14ac:dyDescent="0.25">
      <c r="A273" s="2097" t="s">
        <v>2288</v>
      </c>
      <c r="B273" s="2097" t="s">
        <v>2287</v>
      </c>
      <c r="C273" s="2097" t="s">
        <v>2292</v>
      </c>
      <c r="D273" s="2096">
        <v>33609.06</v>
      </c>
      <c r="E273" s="2095" t="str">
        <f t="shared" ref="E273:E336" si="8">IF(D273&lt;25000,D273,"25,000")</f>
        <v>25,000</v>
      </c>
      <c r="F273" s="2095">
        <f t="shared" ref="F273:F336" si="9">IF(D273&gt;=25000,(D273-E273),"0")</f>
        <v>8609.0599999999977</v>
      </c>
    </row>
    <row r="274" spans="1:6" x14ac:dyDescent="0.25">
      <c r="A274" s="2097" t="s">
        <v>2288</v>
      </c>
      <c r="B274" s="2097" t="s">
        <v>2287</v>
      </c>
      <c r="C274" s="2097" t="s">
        <v>2291</v>
      </c>
      <c r="D274" s="2096">
        <v>169258.09000000008</v>
      </c>
      <c r="E274" s="2095" t="str">
        <f t="shared" si="8"/>
        <v>25,000</v>
      </c>
      <c r="F274" s="2095">
        <f t="shared" si="9"/>
        <v>144258.09000000008</v>
      </c>
    </row>
    <row r="275" spans="1:6" x14ac:dyDescent="0.25">
      <c r="A275" s="2097" t="s">
        <v>2288</v>
      </c>
      <c r="B275" s="2097" t="s">
        <v>2287</v>
      </c>
      <c r="C275" s="2097" t="s">
        <v>2223</v>
      </c>
      <c r="D275" s="2096">
        <v>79328.089999999982</v>
      </c>
      <c r="E275" s="2095" t="str">
        <f t="shared" si="8"/>
        <v>25,000</v>
      </c>
      <c r="F275" s="2095">
        <f t="shared" si="9"/>
        <v>54328.089999999982</v>
      </c>
    </row>
    <row r="276" spans="1:6" x14ac:dyDescent="0.25">
      <c r="A276" s="2097" t="s">
        <v>2288</v>
      </c>
      <c r="B276" s="2097" t="s">
        <v>2287</v>
      </c>
      <c r="C276" s="2097" t="s">
        <v>2290</v>
      </c>
      <c r="D276" s="2096">
        <v>84816.360000000073</v>
      </c>
      <c r="E276" s="2095" t="str">
        <f t="shared" si="8"/>
        <v>25,000</v>
      </c>
      <c r="F276" s="2095">
        <f t="shared" si="9"/>
        <v>59816.360000000073</v>
      </c>
    </row>
    <row r="277" spans="1:6" x14ac:dyDescent="0.25">
      <c r="A277" s="2097" t="s">
        <v>2288</v>
      </c>
      <c r="B277" s="2097" t="s">
        <v>2287</v>
      </c>
      <c r="C277" s="2097" t="s">
        <v>2231</v>
      </c>
      <c r="D277" s="2096">
        <v>223364</v>
      </c>
      <c r="E277" s="2095" t="str">
        <f t="shared" si="8"/>
        <v>25,000</v>
      </c>
      <c r="F277" s="2095">
        <f t="shared" si="9"/>
        <v>198364</v>
      </c>
    </row>
    <row r="278" spans="1:6" x14ac:dyDescent="0.25">
      <c r="A278" s="2097" t="s">
        <v>2288</v>
      </c>
      <c r="B278" s="2097" t="s">
        <v>2287</v>
      </c>
      <c r="C278" s="2097" t="s">
        <v>2289</v>
      </c>
      <c r="D278" s="2096">
        <v>193329.24</v>
      </c>
      <c r="E278" s="2095" t="str">
        <f t="shared" si="8"/>
        <v>25,000</v>
      </c>
      <c r="F278" s="2095">
        <f t="shared" si="9"/>
        <v>168329.24</v>
      </c>
    </row>
    <row r="279" spans="1:6" x14ac:dyDescent="0.25">
      <c r="A279" s="2097" t="s">
        <v>2288</v>
      </c>
      <c r="B279" s="2097" t="s">
        <v>2287</v>
      </c>
      <c r="C279" s="2097" t="s">
        <v>2286</v>
      </c>
      <c r="D279" s="2096">
        <v>51274.619999999988</v>
      </c>
      <c r="E279" s="2095" t="str">
        <f t="shared" si="8"/>
        <v>25,000</v>
      </c>
      <c r="F279" s="2095">
        <f t="shared" si="9"/>
        <v>26274.619999999988</v>
      </c>
    </row>
    <row r="280" spans="1:6" x14ac:dyDescent="0.25">
      <c r="A280" s="2097" t="s">
        <v>2259</v>
      </c>
      <c r="B280" s="2097" t="s">
        <v>2258</v>
      </c>
      <c r="C280" s="2097" t="s">
        <v>2285</v>
      </c>
      <c r="D280" s="2096">
        <v>25318.329999999998</v>
      </c>
      <c r="E280" s="2095" t="str">
        <f t="shared" si="8"/>
        <v>25,000</v>
      </c>
      <c r="F280" s="2095">
        <f t="shared" si="9"/>
        <v>318.32999999999811</v>
      </c>
    </row>
    <row r="281" spans="1:6" x14ac:dyDescent="0.25">
      <c r="A281" s="2097" t="s">
        <v>2259</v>
      </c>
      <c r="B281" s="2097" t="s">
        <v>2258</v>
      </c>
      <c r="C281" s="2097" t="s">
        <v>2284</v>
      </c>
      <c r="D281" s="2096">
        <v>207179.62000000029</v>
      </c>
      <c r="E281" s="2095" t="str">
        <f t="shared" si="8"/>
        <v>25,000</v>
      </c>
      <c r="F281" s="2095">
        <f t="shared" si="9"/>
        <v>182179.62000000029</v>
      </c>
    </row>
    <row r="282" spans="1:6" x14ac:dyDescent="0.25">
      <c r="A282" s="2097" t="s">
        <v>2259</v>
      </c>
      <c r="B282" s="2097" t="s">
        <v>2258</v>
      </c>
      <c r="C282" s="2097" t="s">
        <v>2283</v>
      </c>
      <c r="D282" s="2096">
        <v>31843.049999999996</v>
      </c>
      <c r="E282" s="2095" t="str">
        <f t="shared" si="8"/>
        <v>25,000</v>
      </c>
      <c r="F282" s="2095">
        <f t="shared" si="9"/>
        <v>6843.0499999999956</v>
      </c>
    </row>
    <row r="283" spans="1:6" x14ac:dyDescent="0.25">
      <c r="A283" s="2097" t="s">
        <v>2259</v>
      </c>
      <c r="B283" s="2097" t="s">
        <v>2258</v>
      </c>
      <c r="C283" s="2097" t="s">
        <v>2282</v>
      </c>
      <c r="D283" s="2096">
        <v>86535.670000000013</v>
      </c>
      <c r="E283" s="2095" t="str">
        <f t="shared" si="8"/>
        <v>25,000</v>
      </c>
      <c r="F283" s="2095">
        <f t="shared" si="9"/>
        <v>61535.670000000013</v>
      </c>
    </row>
    <row r="284" spans="1:6" x14ac:dyDescent="0.25">
      <c r="A284" s="2097" t="s">
        <v>2259</v>
      </c>
      <c r="B284" s="2097" t="s">
        <v>2258</v>
      </c>
      <c r="C284" s="2097" t="s">
        <v>2281</v>
      </c>
      <c r="D284" s="2096">
        <v>1036394.2699999998</v>
      </c>
      <c r="E284" s="2095" t="str">
        <f t="shared" si="8"/>
        <v>25,000</v>
      </c>
      <c r="F284" s="2095">
        <f t="shared" si="9"/>
        <v>1011394.2699999998</v>
      </c>
    </row>
    <row r="285" spans="1:6" x14ac:dyDescent="0.25">
      <c r="A285" s="2097" t="s">
        <v>2259</v>
      </c>
      <c r="B285" s="2097" t="s">
        <v>2258</v>
      </c>
      <c r="C285" s="2097" t="s">
        <v>2280</v>
      </c>
      <c r="D285" s="2096">
        <v>36567.17</v>
      </c>
      <c r="E285" s="2095" t="str">
        <f t="shared" si="8"/>
        <v>25,000</v>
      </c>
      <c r="F285" s="2095">
        <f t="shared" si="9"/>
        <v>11567.169999999998</v>
      </c>
    </row>
    <row r="286" spans="1:6" x14ac:dyDescent="0.25">
      <c r="A286" s="2097" t="s">
        <v>2259</v>
      </c>
      <c r="B286" s="2097" t="s">
        <v>2258</v>
      </c>
      <c r="C286" s="2097" t="s">
        <v>2279</v>
      </c>
      <c r="D286" s="2096">
        <v>151486.66000000009</v>
      </c>
      <c r="E286" s="2095" t="str">
        <f t="shared" si="8"/>
        <v>25,000</v>
      </c>
      <c r="F286" s="2095">
        <f t="shared" si="9"/>
        <v>126486.66000000009</v>
      </c>
    </row>
    <row r="287" spans="1:6" x14ac:dyDescent="0.25">
      <c r="A287" s="2097" t="s">
        <v>2259</v>
      </c>
      <c r="B287" s="2097" t="s">
        <v>2258</v>
      </c>
      <c r="C287" s="2097" t="s">
        <v>2278</v>
      </c>
      <c r="D287" s="2096">
        <v>54571.319999999978</v>
      </c>
      <c r="E287" s="2095" t="str">
        <f t="shared" si="8"/>
        <v>25,000</v>
      </c>
      <c r="F287" s="2095">
        <f t="shared" si="9"/>
        <v>29571.319999999978</v>
      </c>
    </row>
    <row r="288" spans="1:6" x14ac:dyDescent="0.25">
      <c r="A288" s="2097" t="s">
        <v>2259</v>
      </c>
      <c r="B288" s="2097" t="s">
        <v>2258</v>
      </c>
      <c r="C288" s="2097" t="s">
        <v>2277</v>
      </c>
      <c r="D288" s="2096">
        <v>3615126.8200000022</v>
      </c>
      <c r="E288" s="2095" t="str">
        <f t="shared" si="8"/>
        <v>25,000</v>
      </c>
      <c r="F288" s="2095">
        <f t="shared" si="9"/>
        <v>3590126.8200000022</v>
      </c>
    </row>
    <row r="289" spans="1:6" x14ac:dyDescent="0.25">
      <c r="A289" s="2097" t="s">
        <v>2259</v>
      </c>
      <c r="B289" s="2097" t="s">
        <v>2258</v>
      </c>
      <c r="C289" s="2097" t="s">
        <v>2276</v>
      </c>
      <c r="D289" s="2096">
        <v>96833.450000000041</v>
      </c>
      <c r="E289" s="2095" t="str">
        <f t="shared" si="8"/>
        <v>25,000</v>
      </c>
      <c r="F289" s="2095">
        <f t="shared" si="9"/>
        <v>71833.450000000041</v>
      </c>
    </row>
    <row r="290" spans="1:6" x14ac:dyDescent="0.25">
      <c r="A290" s="2097" t="s">
        <v>2259</v>
      </c>
      <c r="B290" s="2097" t="s">
        <v>2258</v>
      </c>
      <c r="C290" s="2097" t="s">
        <v>2275</v>
      </c>
      <c r="D290" s="2096">
        <v>59888.38</v>
      </c>
      <c r="E290" s="2095" t="str">
        <f t="shared" si="8"/>
        <v>25,000</v>
      </c>
      <c r="F290" s="2095">
        <f t="shared" si="9"/>
        <v>34888.379999999997</v>
      </c>
    </row>
    <row r="291" spans="1:6" x14ac:dyDescent="0.25">
      <c r="A291" s="2097" t="s">
        <v>2259</v>
      </c>
      <c r="B291" s="2097" t="s">
        <v>2258</v>
      </c>
      <c r="C291" s="2097" t="s">
        <v>2274</v>
      </c>
      <c r="D291" s="2096">
        <v>95929.559999999954</v>
      </c>
      <c r="E291" s="2095" t="str">
        <f t="shared" si="8"/>
        <v>25,000</v>
      </c>
      <c r="F291" s="2095">
        <f t="shared" si="9"/>
        <v>70929.559999999954</v>
      </c>
    </row>
    <row r="292" spans="1:6" x14ac:dyDescent="0.25">
      <c r="A292" s="2097" t="s">
        <v>2259</v>
      </c>
      <c r="B292" s="2097" t="s">
        <v>2258</v>
      </c>
      <c r="C292" s="2097" t="s">
        <v>2273</v>
      </c>
      <c r="D292" s="2096">
        <v>65973.859999999971</v>
      </c>
      <c r="E292" s="2095" t="str">
        <f t="shared" si="8"/>
        <v>25,000</v>
      </c>
      <c r="F292" s="2095">
        <f t="shared" si="9"/>
        <v>40973.859999999971</v>
      </c>
    </row>
    <row r="293" spans="1:6" x14ac:dyDescent="0.25">
      <c r="A293" s="2097" t="s">
        <v>2259</v>
      </c>
      <c r="B293" s="2097" t="s">
        <v>2258</v>
      </c>
      <c r="C293" s="2097" t="s">
        <v>2272</v>
      </c>
      <c r="D293" s="2096">
        <v>71395.59000000004</v>
      </c>
      <c r="E293" s="2095" t="str">
        <f t="shared" si="8"/>
        <v>25,000</v>
      </c>
      <c r="F293" s="2095">
        <f t="shared" si="9"/>
        <v>46395.59000000004</v>
      </c>
    </row>
    <row r="294" spans="1:6" x14ac:dyDescent="0.25">
      <c r="A294" s="2097" t="s">
        <v>2259</v>
      </c>
      <c r="B294" s="2097" t="s">
        <v>2258</v>
      </c>
      <c r="C294" s="2097" t="s">
        <v>2271</v>
      </c>
      <c r="D294" s="2096">
        <v>25778.369999999995</v>
      </c>
      <c r="E294" s="2095" t="str">
        <f t="shared" si="8"/>
        <v>25,000</v>
      </c>
      <c r="F294" s="2095">
        <f t="shared" si="9"/>
        <v>778.36999999999534</v>
      </c>
    </row>
    <row r="295" spans="1:6" x14ac:dyDescent="0.25">
      <c r="A295" s="2097" t="s">
        <v>2259</v>
      </c>
      <c r="B295" s="2097" t="s">
        <v>2258</v>
      </c>
      <c r="C295" s="2097" t="s">
        <v>2270</v>
      </c>
      <c r="D295" s="2096">
        <v>134539</v>
      </c>
      <c r="E295" s="2095" t="str">
        <f t="shared" si="8"/>
        <v>25,000</v>
      </c>
      <c r="F295" s="2095">
        <f t="shared" si="9"/>
        <v>109539</v>
      </c>
    </row>
    <row r="296" spans="1:6" x14ac:dyDescent="0.25">
      <c r="A296" s="2097" t="s">
        <v>2259</v>
      </c>
      <c r="B296" s="2097" t="s">
        <v>2258</v>
      </c>
      <c r="C296" s="2097" t="s">
        <v>2269</v>
      </c>
      <c r="D296" s="2096">
        <v>36128.64999999998</v>
      </c>
      <c r="E296" s="2095" t="str">
        <f t="shared" si="8"/>
        <v>25,000</v>
      </c>
      <c r="F296" s="2095">
        <f t="shared" si="9"/>
        <v>11128.64999999998</v>
      </c>
    </row>
    <row r="297" spans="1:6" x14ac:dyDescent="0.25">
      <c r="A297" s="2097" t="s">
        <v>2259</v>
      </c>
      <c r="B297" s="2097" t="s">
        <v>2258</v>
      </c>
      <c r="C297" s="2097" t="s">
        <v>2268</v>
      </c>
      <c r="D297" s="2096">
        <v>124618.85999999999</v>
      </c>
      <c r="E297" s="2095" t="str">
        <f t="shared" si="8"/>
        <v>25,000</v>
      </c>
      <c r="F297" s="2095">
        <f t="shared" si="9"/>
        <v>99618.859999999986</v>
      </c>
    </row>
    <row r="298" spans="1:6" x14ac:dyDescent="0.25">
      <c r="A298" s="2097" t="s">
        <v>2259</v>
      </c>
      <c r="B298" s="2097" t="s">
        <v>2258</v>
      </c>
      <c r="C298" s="2097" t="s">
        <v>2267</v>
      </c>
      <c r="D298" s="2096">
        <v>46889.259999999995</v>
      </c>
      <c r="E298" s="2095" t="str">
        <f t="shared" si="8"/>
        <v>25,000</v>
      </c>
      <c r="F298" s="2095">
        <f t="shared" si="9"/>
        <v>21889.259999999995</v>
      </c>
    </row>
    <row r="299" spans="1:6" x14ac:dyDescent="0.25">
      <c r="A299" s="2097" t="s">
        <v>2259</v>
      </c>
      <c r="B299" s="2097" t="s">
        <v>2258</v>
      </c>
      <c r="C299" s="2097" t="s">
        <v>2266</v>
      </c>
      <c r="D299" s="2096">
        <v>253560</v>
      </c>
      <c r="E299" s="2095" t="str">
        <f t="shared" si="8"/>
        <v>25,000</v>
      </c>
      <c r="F299" s="2095">
        <f t="shared" si="9"/>
        <v>228560</v>
      </c>
    </row>
    <row r="300" spans="1:6" x14ac:dyDescent="0.25">
      <c r="A300" s="2097" t="s">
        <v>2259</v>
      </c>
      <c r="B300" s="2097" t="s">
        <v>2258</v>
      </c>
      <c r="C300" s="2097" t="s">
        <v>2265</v>
      </c>
      <c r="D300" s="2096">
        <v>30075.79</v>
      </c>
      <c r="E300" s="2095" t="str">
        <f t="shared" si="8"/>
        <v>25,000</v>
      </c>
      <c r="F300" s="2095">
        <f t="shared" si="9"/>
        <v>5075.7900000000009</v>
      </c>
    </row>
    <row r="301" spans="1:6" x14ac:dyDescent="0.25">
      <c r="A301" s="2097" t="s">
        <v>2259</v>
      </c>
      <c r="B301" s="2097" t="s">
        <v>2258</v>
      </c>
      <c r="C301" s="2097" t="s">
        <v>2264</v>
      </c>
      <c r="D301" s="2096">
        <v>40691.250000000015</v>
      </c>
      <c r="E301" s="2095" t="str">
        <f t="shared" si="8"/>
        <v>25,000</v>
      </c>
      <c r="F301" s="2095">
        <f t="shared" si="9"/>
        <v>15691.250000000015</v>
      </c>
    </row>
    <row r="302" spans="1:6" x14ac:dyDescent="0.25">
      <c r="A302" s="2097" t="s">
        <v>2259</v>
      </c>
      <c r="B302" s="2097" t="s">
        <v>2258</v>
      </c>
      <c r="C302" s="2097" t="s">
        <v>2263</v>
      </c>
      <c r="D302" s="2096">
        <v>39971.049999999981</v>
      </c>
      <c r="E302" s="2095" t="str">
        <f t="shared" si="8"/>
        <v>25,000</v>
      </c>
      <c r="F302" s="2095">
        <f t="shared" si="9"/>
        <v>14971.049999999981</v>
      </c>
    </row>
    <row r="303" spans="1:6" x14ac:dyDescent="0.25">
      <c r="A303" s="2097" t="s">
        <v>2259</v>
      </c>
      <c r="B303" s="2097" t="s">
        <v>2258</v>
      </c>
      <c r="C303" s="2097" t="s">
        <v>2262</v>
      </c>
      <c r="D303" s="2096">
        <v>26147.62</v>
      </c>
      <c r="E303" s="2095" t="str">
        <f t="shared" si="8"/>
        <v>25,000</v>
      </c>
      <c r="F303" s="2095">
        <f t="shared" si="9"/>
        <v>1147.619999999999</v>
      </c>
    </row>
    <row r="304" spans="1:6" x14ac:dyDescent="0.25">
      <c r="A304" s="2097" t="s">
        <v>2259</v>
      </c>
      <c r="B304" s="2097" t="s">
        <v>2258</v>
      </c>
      <c r="C304" s="2097" t="s">
        <v>2261</v>
      </c>
      <c r="D304" s="2096">
        <v>53990.460000000006</v>
      </c>
      <c r="E304" s="2095" t="str">
        <f t="shared" si="8"/>
        <v>25,000</v>
      </c>
      <c r="F304" s="2095">
        <f t="shared" si="9"/>
        <v>28990.460000000006</v>
      </c>
    </row>
    <row r="305" spans="1:6" x14ac:dyDescent="0.25">
      <c r="A305" s="2097" t="s">
        <v>2259</v>
      </c>
      <c r="B305" s="2097" t="s">
        <v>2258</v>
      </c>
      <c r="C305" s="2097" t="s">
        <v>2260</v>
      </c>
      <c r="D305" s="2096">
        <v>37281</v>
      </c>
      <c r="E305" s="2095" t="str">
        <f t="shared" si="8"/>
        <v>25,000</v>
      </c>
      <c r="F305" s="2095">
        <f t="shared" si="9"/>
        <v>12281</v>
      </c>
    </row>
    <row r="306" spans="1:6" x14ac:dyDescent="0.25">
      <c r="A306" s="2097" t="s">
        <v>2259</v>
      </c>
      <c r="B306" s="2097" t="s">
        <v>2258</v>
      </c>
      <c r="C306" s="2097" t="s">
        <v>2231</v>
      </c>
      <c r="D306" s="2096">
        <v>418467.30999999988</v>
      </c>
      <c r="E306" s="2095" t="str">
        <f t="shared" si="8"/>
        <v>25,000</v>
      </c>
      <c r="F306" s="2095">
        <f t="shared" si="9"/>
        <v>393467.30999999988</v>
      </c>
    </row>
    <row r="307" spans="1:6" x14ac:dyDescent="0.25">
      <c r="A307" s="2097" t="s">
        <v>2259</v>
      </c>
      <c r="B307" s="2097" t="s">
        <v>2258</v>
      </c>
      <c r="C307" s="2097" t="s">
        <v>2257</v>
      </c>
      <c r="D307" s="2096">
        <v>26872.350000000009</v>
      </c>
      <c r="E307" s="2095" t="str">
        <f t="shared" si="8"/>
        <v>25,000</v>
      </c>
      <c r="F307" s="2095">
        <f t="shared" si="9"/>
        <v>1872.3500000000095</v>
      </c>
    </row>
    <row r="308" spans="1:6" x14ac:dyDescent="0.25">
      <c r="A308" s="2097" t="s">
        <v>2256</v>
      </c>
      <c r="B308" s="2097" t="s">
        <v>2255</v>
      </c>
      <c r="C308" s="2097" t="s">
        <v>2254</v>
      </c>
      <c r="D308" s="2096">
        <v>46906</v>
      </c>
      <c r="E308" s="2095" t="str">
        <f t="shared" si="8"/>
        <v>25,000</v>
      </c>
      <c r="F308" s="2095">
        <f t="shared" si="9"/>
        <v>21906</v>
      </c>
    </row>
    <row r="309" spans="1:6" x14ac:dyDescent="0.25">
      <c r="A309" s="2097" t="s">
        <v>2245</v>
      </c>
      <c r="B309" s="2097" t="s">
        <v>2244</v>
      </c>
      <c r="C309" s="2097" t="s">
        <v>2253</v>
      </c>
      <c r="D309" s="2096">
        <v>51347</v>
      </c>
      <c r="E309" s="2095" t="str">
        <f t="shared" si="8"/>
        <v>25,000</v>
      </c>
      <c r="F309" s="2095">
        <f t="shared" si="9"/>
        <v>26347</v>
      </c>
    </row>
    <row r="310" spans="1:6" x14ac:dyDescent="0.25">
      <c r="A310" s="2097" t="s">
        <v>2245</v>
      </c>
      <c r="B310" s="2097" t="s">
        <v>2244</v>
      </c>
      <c r="C310" s="2097" t="s">
        <v>2252</v>
      </c>
      <c r="D310" s="2096">
        <v>70149.5</v>
      </c>
      <c r="E310" s="2095" t="str">
        <f t="shared" si="8"/>
        <v>25,000</v>
      </c>
      <c r="F310" s="2095">
        <f t="shared" si="9"/>
        <v>45149.5</v>
      </c>
    </row>
    <row r="311" spans="1:6" x14ac:dyDescent="0.25">
      <c r="A311" s="2097" t="s">
        <v>2245</v>
      </c>
      <c r="B311" s="2097" t="s">
        <v>2244</v>
      </c>
      <c r="C311" s="2097" t="s">
        <v>2251</v>
      </c>
      <c r="D311" s="2096">
        <v>235994</v>
      </c>
      <c r="E311" s="2095" t="str">
        <f t="shared" si="8"/>
        <v>25,000</v>
      </c>
      <c r="F311" s="2095">
        <f t="shared" si="9"/>
        <v>210994</v>
      </c>
    </row>
    <row r="312" spans="1:6" x14ac:dyDescent="0.25">
      <c r="A312" s="2097" t="s">
        <v>2245</v>
      </c>
      <c r="B312" s="2097" t="s">
        <v>2244</v>
      </c>
      <c r="C312" s="2097" t="s">
        <v>2250</v>
      </c>
      <c r="D312" s="2096">
        <v>29385</v>
      </c>
      <c r="E312" s="2095" t="str">
        <f t="shared" si="8"/>
        <v>25,000</v>
      </c>
      <c r="F312" s="2095">
        <f t="shared" si="9"/>
        <v>4385</v>
      </c>
    </row>
    <row r="313" spans="1:6" x14ac:dyDescent="0.25">
      <c r="A313" s="2097" t="s">
        <v>2245</v>
      </c>
      <c r="B313" s="2097" t="s">
        <v>2244</v>
      </c>
      <c r="C313" s="2097" t="s">
        <v>2249</v>
      </c>
      <c r="D313" s="2096">
        <v>26250</v>
      </c>
      <c r="E313" s="2095" t="str">
        <f t="shared" si="8"/>
        <v>25,000</v>
      </c>
      <c r="F313" s="2095">
        <f t="shared" si="9"/>
        <v>1250</v>
      </c>
    </row>
    <row r="314" spans="1:6" x14ac:dyDescent="0.25">
      <c r="A314" s="2097" t="s">
        <v>2245</v>
      </c>
      <c r="B314" s="2097" t="s">
        <v>2244</v>
      </c>
      <c r="C314" s="2097" t="s">
        <v>2248</v>
      </c>
      <c r="D314" s="2096">
        <v>35677</v>
      </c>
      <c r="E314" s="2095" t="str">
        <f t="shared" si="8"/>
        <v>25,000</v>
      </c>
      <c r="F314" s="2095">
        <f t="shared" si="9"/>
        <v>10677</v>
      </c>
    </row>
    <row r="315" spans="1:6" x14ac:dyDescent="0.25">
      <c r="A315" s="2097" t="s">
        <v>2245</v>
      </c>
      <c r="B315" s="2097" t="s">
        <v>2244</v>
      </c>
      <c r="C315" s="2097" t="s">
        <v>2247</v>
      </c>
      <c r="D315" s="2096">
        <v>67365</v>
      </c>
      <c r="E315" s="2095" t="str">
        <f t="shared" si="8"/>
        <v>25,000</v>
      </c>
      <c r="F315" s="2095">
        <f t="shared" si="9"/>
        <v>42365</v>
      </c>
    </row>
    <row r="316" spans="1:6" x14ac:dyDescent="0.25">
      <c r="A316" s="2097" t="s">
        <v>2245</v>
      </c>
      <c r="B316" s="2097" t="s">
        <v>2244</v>
      </c>
      <c r="C316" s="2097" t="s">
        <v>2246</v>
      </c>
      <c r="D316" s="2096">
        <v>46991.630000000005</v>
      </c>
      <c r="E316" s="2095" t="str">
        <f t="shared" si="8"/>
        <v>25,000</v>
      </c>
      <c r="F316" s="2095">
        <f t="shared" si="9"/>
        <v>21991.630000000005</v>
      </c>
    </row>
    <row r="317" spans="1:6" x14ac:dyDescent="0.25">
      <c r="A317" s="2097" t="s">
        <v>2245</v>
      </c>
      <c r="B317" s="2097" t="s">
        <v>2244</v>
      </c>
      <c r="C317" s="2097" t="s">
        <v>2243</v>
      </c>
      <c r="D317" s="2096">
        <v>167628.61999999997</v>
      </c>
      <c r="E317" s="2095" t="str">
        <f t="shared" si="8"/>
        <v>25,000</v>
      </c>
      <c r="F317" s="2095">
        <f t="shared" si="9"/>
        <v>142628.61999999997</v>
      </c>
    </row>
    <row r="318" spans="1:6" x14ac:dyDescent="0.25">
      <c r="A318" s="2097" t="s">
        <v>2233</v>
      </c>
      <c r="B318" s="2097" t="s">
        <v>2232</v>
      </c>
      <c r="C318" s="2097" t="s">
        <v>2242</v>
      </c>
      <c r="D318" s="2096">
        <v>38777.080000000009</v>
      </c>
      <c r="E318" s="2095" t="str">
        <f t="shared" si="8"/>
        <v>25,000</v>
      </c>
      <c r="F318" s="2095">
        <f t="shared" si="9"/>
        <v>13777.080000000009</v>
      </c>
    </row>
    <row r="319" spans="1:6" x14ac:dyDescent="0.25">
      <c r="A319" s="2097" t="s">
        <v>2233</v>
      </c>
      <c r="B319" s="2097" t="s">
        <v>2232</v>
      </c>
      <c r="C319" s="2097" t="s">
        <v>2241</v>
      </c>
      <c r="D319" s="2096">
        <v>90448.279999999984</v>
      </c>
      <c r="E319" s="2095" t="str">
        <f t="shared" si="8"/>
        <v>25,000</v>
      </c>
      <c r="F319" s="2095">
        <f t="shared" si="9"/>
        <v>65448.279999999984</v>
      </c>
    </row>
    <row r="320" spans="1:6" x14ac:dyDescent="0.25">
      <c r="A320" s="2097" t="s">
        <v>2233</v>
      </c>
      <c r="B320" s="2097" t="s">
        <v>2232</v>
      </c>
      <c r="C320" s="2097" t="s">
        <v>2240</v>
      </c>
      <c r="D320" s="2096">
        <v>85630.049999999988</v>
      </c>
      <c r="E320" s="2095" t="str">
        <f t="shared" si="8"/>
        <v>25,000</v>
      </c>
      <c r="F320" s="2095">
        <f t="shared" si="9"/>
        <v>60630.049999999988</v>
      </c>
    </row>
    <row r="321" spans="1:6" x14ac:dyDescent="0.25">
      <c r="A321" s="2097" t="s">
        <v>2233</v>
      </c>
      <c r="B321" s="2097" t="s">
        <v>2232</v>
      </c>
      <c r="C321" s="2097" t="s">
        <v>2239</v>
      </c>
      <c r="D321" s="2096">
        <v>184136.06999999986</v>
      </c>
      <c r="E321" s="2095" t="str">
        <f t="shared" si="8"/>
        <v>25,000</v>
      </c>
      <c r="F321" s="2095">
        <f t="shared" si="9"/>
        <v>159136.06999999986</v>
      </c>
    </row>
    <row r="322" spans="1:6" x14ac:dyDescent="0.25">
      <c r="A322" s="2097" t="s">
        <v>2233</v>
      </c>
      <c r="B322" s="2097" t="s">
        <v>2232</v>
      </c>
      <c r="C322" s="2097" t="s">
        <v>2238</v>
      </c>
      <c r="D322" s="2096">
        <v>1269784.0900000001</v>
      </c>
      <c r="E322" s="2095" t="str">
        <f t="shared" si="8"/>
        <v>25,000</v>
      </c>
      <c r="F322" s="2095">
        <f t="shared" si="9"/>
        <v>1244784.0900000001</v>
      </c>
    </row>
    <row r="323" spans="1:6" x14ac:dyDescent="0.25">
      <c r="A323" s="2097" t="s">
        <v>2233</v>
      </c>
      <c r="B323" s="2097" t="s">
        <v>2232</v>
      </c>
      <c r="C323" s="2097" t="s">
        <v>2237</v>
      </c>
      <c r="D323" s="2096">
        <v>167216.52999999991</v>
      </c>
      <c r="E323" s="2095" t="str">
        <f t="shared" si="8"/>
        <v>25,000</v>
      </c>
      <c r="F323" s="2095">
        <f t="shared" si="9"/>
        <v>142216.52999999991</v>
      </c>
    </row>
    <row r="324" spans="1:6" x14ac:dyDescent="0.25">
      <c r="A324" s="2097" t="s">
        <v>2233</v>
      </c>
      <c r="B324" s="2097" t="s">
        <v>2232</v>
      </c>
      <c r="C324" s="2097" t="s">
        <v>2236</v>
      </c>
      <c r="D324" s="2096">
        <v>25079.5</v>
      </c>
      <c r="E324" s="2095" t="str">
        <f t="shared" si="8"/>
        <v>25,000</v>
      </c>
      <c r="F324" s="2095">
        <f t="shared" si="9"/>
        <v>79.5</v>
      </c>
    </row>
    <row r="325" spans="1:6" x14ac:dyDescent="0.25">
      <c r="A325" s="2097" t="s">
        <v>2233</v>
      </c>
      <c r="B325" s="2097" t="s">
        <v>2232</v>
      </c>
      <c r="C325" s="2097" t="s">
        <v>2235</v>
      </c>
      <c r="D325" s="2096">
        <v>331363.71000000014</v>
      </c>
      <c r="E325" s="2095" t="str">
        <f t="shared" si="8"/>
        <v>25,000</v>
      </c>
      <c r="F325" s="2095">
        <f t="shared" si="9"/>
        <v>306363.71000000014</v>
      </c>
    </row>
    <row r="326" spans="1:6" x14ac:dyDescent="0.25">
      <c r="A326" s="2097" t="s">
        <v>2233</v>
      </c>
      <c r="B326" s="2097" t="s">
        <v>2232</v>
      </c>
      <c r="C326" s="2097" t="s">
        <v>2234</v>
      </c>
      <c r="D326" s="2096">
        <v>85429.53</v>
      </c>
      <c r="E326" s="2095" t="str">
        <f t="shared" si="8"/>
        <v>25,000</v>
      </c>
      <c r="F326" s="2095">
        <f t="shared" si="9"/>
        <v>60429.53</v>
      </c>
    </row>
    <row r="327" spans="1:6" x14ac:dyDescent="0.25">
      <c r="A327" s="2097" t="s">
        <v>2233</v>
      </c>
      <c r="B327" s="2097" t="s">
        <v>2232</v>
      </c>
      <c r="C327" s="2097" t="s">
        <v>2231</v>
      </c>
      <c r="D327" s="2096">
        <v>42098.659999999989</v>
      </c>
      <c r="E327" s="2095" t="str">
        <f t="shared" si="8"/>
        <v>25,000</v>
      </c>
      <c r="F327" s="2095">
        <f t="shared" si="9"/>
        <v>17098.659999999989</v>
      </c>
    </row>
    <row r="328" spans="1:6" x14ac:dyDescent="0.25">
      <c r="A328" s="2097" t="s">
        <v>2221</v>
      </c>
      <c r="B328" s="2097" t="s">
        <v>2220</v>
      </c>
      <c r="C328" s="2097" t="s">
        <v>2230</v>
      </c>
      <c r="D328" s="2096">
        <v>540328.5</v>
      </c>
      <c r="E328" s="2095" t="str">
        <f t="shared" si="8"/>
        <v>25,000</v>
      </c>
      <c r="F328" s="2095">
        <f t="shared" si="9"/>
        <v>515328.5</v>
      </c>
    </row>
    <row r="329" spans="1:6" x14ac:dyDescent="0.25">
      <c r="A329" s="2097" t="s">
        <v>2221</v>
      </c>
      <c r="B329" s="2097" t="s">
        <v>2220</v>
      </c>
      <c r="C329" s="2097" t="s">
        <v>2229</v>
      </c>
      <c r="D329" s="2096">
        <v>182196.45</v>
      </c>
      <c r="E329" s="2095" t="str">
        <f t="shared" si="8"/>
        <v>25,000</v>
      </c>
      <c r="F329" s="2095">
        <f t="shared" si="9"/>
        <v>157196.45000000001</v>
      </c>
    </row>
    <row r="330" spans="1:6" x14ac:dyDescent="0.25">
      <c r="A330" s="2097" t="s">
        <v>2221</v>
      </c>
      <c r="B330" s="2097" t="s">
        <v>2220</v>
      </c>
      <c r="C330" s="2097" t="s">
        <v>2228</v>
      </c>
      <c r="D330" s="2096">
        <v>500000</v>
      </c>
      <c r="E330" s="2095" t="str">
        <f t="shared" si="8"/>
        <v>25,000</v>
      </c>
      <c r="F330" s="2095">
        <f t="shared" si="9"/>
        <v>475000</v>
      </c>
    </row>
    <row r="331" spans="1:6" x14ac:dyDescent="0.25">
      <c r="A331" s="2097" t="s">
        <v>2221</v>
      </c>
      <c r="B331" s="2097" t="s">
        <v>2220</v>
      </c>
      <c r="C331" s="2097" t="s">
        <v>2227</v>
      </c>
      <c r="D331" s="2096">
        <v>1000000</v>
      </c>
      <c r="E331" s="2095" t="str">
        <f t="shared" si="8"/>
        <v>25,000</v>
      </c>
      <c r="F331" s="2095">
        <f t="shared" si="9"/>
        <v>975000</v>
      </c>
    </row>
    <row r="332" spans="1:6" x14ac:dyDescent="0.25">
      <c r="A332" s="2097" t="s">
        <v>2221</v>
      </c>
      <c r="B332" s="2097" t="s">
        <v>2220</v>
      </c>
      <c r="C332" s="2097" t="s">
        <v>2226</v>
      </c>
      <c r="D332" s="2096">
        <v>431244</v>
      </c>
      <c r="E332" s="2095" t="str">
        <f t="shared" si="8"/>
        <v>25,000</v>
      </c>
      <c r="F332" s="2095">
        <f t="shared" si="9"/>
        <v>406244</v>
      </c>
    </row>
    <row r="333" spans="1:6" x14ac:dyDescent="0.25">
      <c r="A333" s="2097" t="s">
        <v>2221</v>
      </c>
      <c r="B333" s="2097" t="s">
        <v>2220</v>
      </c>
      <c r="C333" s="2097" t="s">
        <v>2225</v>
      </c>
      <c r="D333" s="2096">
        <v>200000</v>
      </c>
      <c r="E333" s="2095" t="str">
        <f t="shared" si="8"/>
        <v>25,000</v>
      </c>
      <c r="F333" s="2095">
        <f t="shared" si="9"/>
        <v>175000</v>
      </c>
    </row>
    <row r="334" spans="1:6" x14ac:dyDescent="0.25">
      <c r="A334" s="2097" t="s">
        <v>2221</v>
      </c>
      <c r="B334" s="2097" t="s">
        <v>2220</v>
      </c>
      <c r="C334" s="2097" t="s">
        <v>2224</v>
      </c>
      <c r="D334" s="2096">
        <v>164877.09</v>
      </c>
      <c r="E334" s="2095" t="str">
        <f t="shared" si="8"/>
        <v>25,000</v>
      </c>
      <c r="F334" s="2095">
        <f t="shared" si="9"/>
        <v>139877.09</v>
      </c>
    </row>
    <row r="335" spans="1:6" x14ac:dyDescent="0.25">
      <c r="A335" s="2097" t="s">
        <v>2221</v>
      </c>
      <c r="B335" s="2097" t="s">
        <v>2220</v>
      </c>
      <c r="C335" s="2097" t="s">
        <v>2223</v>
      </c>
      <c r="D335" s="2096">
        <v>163011.78</v>
      </c>
      <c r="E335" s="2095" t="str">
        <f t="shared" si="8"/>
        <v>25,000</v>
      </c>
      <c r="F335" s="2095">
        <f t="shared" si="9"/>
        <v>138011.78</v>
      </c>
    </row>
    <row r="336" spans="1:6" x14ac:dyDescent="0.25">
      <c r="A336" s="2097" t="s">
        <v>2221</v>
      </c>
      <c r="B336" s="2097" t="s">
        <v>2220</v>
      </c>
      <c r="C336" s="2097" t="s">
        <v>2222</v>
      </c>
      <c r="D336" s="2096">
        <v>248449.60000000003</v>
      </c>
      <c r="E336" s="2095" t="str">
        <f t="shared" si="8"/>
        <v>25,000</v>
      </c>
      <c r="F336" s="2095">
        <f t="shared" si="9"/>
        <v>223449.60000000003</v>
      </c>
    </row>
    <row r="337" spans="1:6" x14ac:dyDescent="0.25">
      <c r="A337" s="2097" t="s">
        <v>2221</v>
      </c>
      <c r="B337" s="2097" t="s">
        <v>2220</v>
      </c>
      <c r="C337" s="2097" t="s">
        <v>2219</v>
      </c>
      <c r="D337" s="2096">
        <v>60000</v>
      </c>
      <c r="E337" s="2095" t="str">
        <f t="shared" ref="E337" si="10">IF(D337&lt;25000,D337,"25,000")</f>
        <v>25,000</v>
      </c>
      <c r="F337" s="2095">
        <f t="shared" ref="F337" si="11">IF(D337&gt;=25000,(D337-E337),"0")</f>
        <v>35000</v>
      </c>
    </row>
    <row r="338" spans="1:6" x14ac:dyDescent="0.25">
      <c r="A338" s="2094" t="s">
        <v>155</v>
      </c>
      <c r="B338" s="2093"/>
      <c r="C338" s="2092"/>
      <c r="D338" s="2091">
        <f>SUM(D18:D337)</f>
        <v>57408609.82</v>
      </c>
      <c r="E338" s="2090">
        <f>D338-F338</f>
        <v>7999999.9999999925</v>
      </c>
      <c r="F338" s="2089">
        <f>SUM(F18:F337)</f>
        <v>49408609.820000008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4</xdr:col>
                <xdr:colOff>1209675</xdr:colOff>
                <xdr:row>6</xdr:row>
                <xdr:rowOff>476250</xdr:rowOff>
              </from>
              <to>
                <xdr:col>5</xdr:col>
                <xdr:colOff>495300</xdr:colOff>
                <xdr:row>9</xdr:row>
                <xdr:rowOff>133350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5</xdr:col>
                <xdr:colOff>609600</xdr:colOff>
                <xdr:row>6</xdr:row>
                <xdr:rowOff>476250</xdr:rowOff>
              </from>
              <to>
                <xdr:col>5</xdr:col>
                <xdr:colOff>1504950</xdr:colOff>
                <xdr:row>9</xdr:row>
                <xdr:rowOff>133350</xdr:rowOff>
              </to>
            </anchor>
          </objectPr>
        </oleObject>
      </mc:Choice>
      <mc:Fallback>
        <oleObject progId="Acrobat Document" dvAspect="DVASPECT_ICON" shapeId="43010" r:id="rId6"/>
      </mc:Fallback>
    </mc:AlternateContent>
  </oleObjec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'C:\Users\E050461\Desktop\[Robyn''s Copy of AFR with Contracts.xlsm]AFR20'!#REF!</xm:f>
          </x14:formula1>
          <xm:sqref>B18:B337</xm:sqref>
        </x14:dataValidation>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1000000}">
          <x14:formula1>
            <xm:f>'AFR20'!#REF!</xm:f>
          </x14:formula1>
          <xm:sqref>B1:B17 B338:B1048576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0" tint="-0.34998626667073579"/>
  </sheetPr>
  <dimension ref="A1:M46"/>
  <sheetViews>
    <sheetView showGridLines="0" defaultGridColor="0" topLeftCell="A6" colorId="8" zoomScale="110" zoomScaleNormal="110" workbookViewId="0">
      <selection sqref="A1:F1"/>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503" t="s">
        <v>1659</v>
      </c>
      <c r="B5" s="2504"/>
      <c r="C5" s="2504"/>
      <c r="D5" s="2504"/>
      <c r="E5" s="2504"/>
      <c r="F5" s="2504"/>
      <c r="G5" s="250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v>67148</v>
      </c>
      <c r="F9" s="805"/>
      <c r="G9" s="806"/>
      <c r="H9" s="157"/>
      <c r="I9" s="157"/>
    </row>
    <row r="10" spans="1:13" s="542" customFormat="1" ht="12" customHeight="1" x14ac:dyDescent="0.2">
      <c r="A10" s="802" t="s">
        <v>1890</v>
      </c>
      <c r="B10" s="803"/>
      <c r="C10" s="807"/>
      <c r="D10" s="804"/>
      <c r="E10" s="1800">
        <v>5759507</v>
      </c>
      <c r="F10" s="805"/>
      <c r="G10" s="806"/>
      <c r="H10" s="157"/>
      <c r="I10" s="157"/>
    </row>
    <row r="11" spans="1:13" s="542" customFormat="1" ht="22.5" customHeight="1" x14ac:dyDescent="0.2">
      <c r="A11" s="250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09"/>
      <c r="C11" s="2509"/>
      <c r="D11" s="2510"/>
      <c r="E11" s="1801">
        <v>1675422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272274304</v>
      </c>
      <c r="F19" s="1802"/>
      <c r="G19" s="1804">
        <f>'Expenditures 15-22'!K33-SUM('Expenditures 15-22'!G33,'Expenditures 15-22'!I33)+'Expenditures 15-22'!D229</f>
        <v>272274304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38644759</v>
      </c>
      <c r="F21" s="1805"/>
      <c r="G21" s="1808">
        <f>'Expenditures 15-22'!K42-SUM('Expenditures 15-22'!G42,'Expenditures 15-22'!I42)+'Expenditures 15-22'!K120-SUM('Expenditures 15-22'!G120,'Expenditures 15-22'!I120)+'Expenditures 15-22'!K180-SUM('Expenditures 15-22'!G180,'Expenditures 15-22'!I180)+'Expenditures 15-22'!D238</f>
        <v>38644759</v>
      </c>
      <c r="H21" s="817"/>
      <c r="I21" s="157"/>
    </row>
    <row r="22" spans="1:9" s="542" customFormat="1" ht="12" customHeight="1" x14ac:dyDescent="0.2">
      <c r="A22" s="824" t="s">
        <v>559</v>
      </c>
      <c r="B22" s="825"/>
      <c r="C22" s="823">
        <v>2200</v>
      </c>
      <c r="D22" s="1805"/>
      <c r="E22" s="1807">
        <f>'Expenditures 15-22'!K47-SUM('Expenditures 15-22'!G47,'Expenditures 15-22'!I47)+'Expenditures 15-22'!D243</f>
        <v>17735033</v>
      </c>
      <c r="F22" s="1805"/>
      <c r="G22" s="1808">
        <f>'Expenditures 15-22'!K47-SUM('Expenditures 15-22'!G47,'Expenditures 15-22'!I47)+'Expenditures 15-22'!D243</f>
        <v>17735033</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17071161</v>
      </c>
      <c r="F23" s="1805"/>
      <c r="G23" s="1807">
        <f>'Expenditures 15-22'!K53-SUM('Expenditures 15-22'!G53,'Expenditures 15-22'!I53)+'Expenditures 15-22'!D257+'Expenditures 15-22'!K330-SUM('Expenditures 15-22'!G330,'Expenditures 15-22'!I330)</f>
        <v>17071161</v>
      </c>
      <c r="H23" s="817"/>
      <c r="I23" s="157"/>
    </row>
    <row r="24" spans="1:9" s="542" customFormat="1" ht="12" customHeight="1" x14ac:dyDescent="0.2">
      <c r="A24" s="824" t="s">
        <v>561</v>
      </c>
      <c r="B24" s="825"/>
      <c r="C24" s="823">
        <v>2400</v>
      </c>
      <c r="D24" s="1805"/>
      <c r="E24" s="1807">
        <f>'Expenditures 15-22'!K57-SUM('Expenditures 15-22'!G57,'Expenditures 15-22'!I57)+'Expenditures 15-22'!D261</f>
        <v>29593303</v>
      </c>
      <c r="F24" s="1805"/>
      <c r="G24" s="1808">
        <f>'Expenditures 15-22'!K57-SUM('Expenditures 15-22'!G57,'Expenditures 15-22'!I57)+'Expenditures 15-22'!D261</f>
        <v>29593303</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421934</v>
      </c>
      <c r="E26" s="1807">
        <f>'Expenditures 15-22'!K122-SUM('Expenditures 15-22'!G122,'Expenditures 15-22'!I122)+E7</f>
        <v>0</v>
      </c>
      <c r="F26" s="1807">
        <f>'Expenditures 15-22'!K59-SUM('Expenditures 15-22'!G59,'Expenditures 15-22'!I59)+'Expenditures 15-22'!D263-E7</f>
        <v>421934</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2479194</v>
      </c>
      <c r="E27" s="1807">
        <f>E8</f>
        <v>0</v>
      </c>
      <c r="F27" s="1807">
        <f>'Expenditures 15-22'!K60-SUM('Expenditures 15-22'!G60,'Expenditures 15-22'!I60)+'Expenditures 15-22'!D264-E8</f>
        <v>2479194</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36201027</v>
      </c>
      <c r="F28" s="1809">
        <f>'Expenditures 15-22'!K61-SUM('Expenditures 15-22'!G61,'Expenditures 15-22'!I61)+'Expenditures 15-22'!K124-SUM('Expenditures 15-22'!G124,'Expenditures 15-22'!I124)+'Expenditures 15-22'!D266-E9</f>
        <v>36133879</v>
      </c>
      <c r="G28" s="1808">
        <f>E9</f>
        <v>67148</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27124600</v>
      </c>
      <c r="F29" s="1805"/>
      <c r="G29" s="1808">
        <f>'Expenditures 15-22'!K62-SUM('Expenditures 15-22'!G62,'Expenditures 15-22'!I62)+'Expenditures 15-22'!K125-SUM('Expenditures 15-22'!G125,'Expenditures 15-22'!I125)+'Expenditures 15-22'!K182-SUM('Expenditures 15-22'!G182,'Expenditures 15-22'!I182)+'Expenditures 15-22'!D267</f>
        <v>27124600</v>
      </c>
      <c r="H29" s="815"/>
    </row>
    <row r="30" spans="1:9" ht="12" customHeight="1" x14ac:dyDescent="0.2">
      <c r="A30" s="824" t="s">
        <v>100</v>
      </c>
      <c r="B30" s="827"/>
      <c r="C30" s="823">
        <v>2560</v>
      </c>
      <c r="D30" s="1805"/>
      <c r="E30" s="1807">
        <f>'Expenditures 15-22'!K63-SUM('Expenditures 15-22'!G63,'Expenditures 15-22'!I63)+'Expenditures 15-22'!D268-E10</f>
        <v>10480494</v>
      </c>
      <c r="F30" s="1805"/>
      <c r="G30" s="1807">
        <f>'Expenditures 15-22'!K63-SUM('Expenditures 15-22'!G63,'Expenditures 15-22'!I63)+'Expenditures 15-22'!D268-E10</f>
        <v>10480494</v>
      </c>
    </row>
    <row r="31" spans="1:9" ht="12" customHeight="1" x14ac:dyDescent="0.2">
      <c r="A31" s="824" t="s">
        <v>101</v>
      </c>
      <c r="B31" s="827"/>
      <c r="C31" s="823">
        <v>2570</v>
      </c>
      <c r="D31" s="1807">
        <f>'Expenditures 15-22'!K64-SUM('Expenditures 15-22'!G64,'Expenditures 15-22'!I64)+'Expenditures 15-22'!D269-E12</f>
        <v>2229553</v>
      </c>
      <c r="E31" s="1807">
        <f>E12</f>
        <v>0</v>
      </c>
      <c r="F31" s="1807">
        <f>'Expenditures 15-22'!K64-SUM('Expenditures 15-22'!G64,'Expenditures 15-22'!I64)+'Expenditures 15-22'!D269-E12</f>
        <v>2229553</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52650</v>
      </c>
      <c r="F34" s="1805"/>
      <c r="G34" s="1807">
        <f>'Expenditures 15-22'!K68-SUM('Expenditures 15-22'!G68,'Expenditures 15-22'!I68)+'Expenditures 15-22'!D273</f>
        <v>52650</v>
      </c>
    </row>
    <row r="35" spans="1:7" ht="12" customHeight="1" x14ac:dyDescent="0.2">
      <c r="A35" s="824" t="s">
        <v>1051</v>
      </c>
      <c r="B35" s="827"/>
      <c r="C35" s="823">
        <v>2630</v>
      </c>
      <c r="D35" s="1805"/>
      <c r="E35" s="1807">
        <f>'Expenditures 15-22'!K69-SUM('Expenditures 15-22'!G69,'Expenditures 15-22'!I69)+'Expenditures 15-22'!D274</f>
        <v>846849</v>
      </c>
      <c r="F35" s="1805"/>
      <c r="G35" s="1807">
        <f>'Expenditures 15-22'!K69-SUM('Expenditures 15-22'!G69,'Expenditures 15-22'!I69)+'Expenditures 15-22'!D274</f>
        <v>846849</v>
      </c>
    </row>
    <row r="36" spans="1:7" ht="12" customHeight="1" x14ac:dyDescent="0.2">
      <c r="A36" s="824" t="s">
        <v>399</v>
      </c>
      <c r="B36" s="827"/>
      <c r="C36" s="823">
        <v>2640</v>
      </c>
      <c r="D36" s="1807">
        <f>'Expenditures 15-22'!K70-SUM('Expenditures 15-22'!G70,'Expenditures 15-22'!I70)+'Expenditures 15-22'!D275-E13</f>
        <v>2996230</v>
      </c>
      <c r="E36" s="1807">
        <f>E13</f>
        <v>0</v>
      </c>
      <c r="F36" s="1807">
        <f>'Expenditures 15-22'!K70-SUM('Expenditures 15-22'!G70,'Expenditures 15-22'!I70)+'Expenditures 15-22'!D275-E13</f>
        <v>2996230</v>
      </c>
      <c r="G36" s="1807">
        <f>E13</f>
        <v>0</v>
      </c>
    </row>
    <row r="37" spans="1:7" ht="12" customHeight="1" x14ac:dyDescent="0.2">
      <c r="A37" s="824" t="s">
        <v>400</v>
      </c>
      <c r="B37" s="827"/>
      <c r="C37" s="823">
        <v>2660</v>
      </c>
      <c r="D37" s="1807">
        <f>'Expenditures 15-22'!K71-SUM('Expenditures 15-22'!G71,'Expenditures 15-22'!I71)+'Expenditures 15-22'!D276-E14</f>
        <v>8883212</v>
      </c>
      <c r="E37" s="1807">
        <f>E14</f>
        <v>0</v>
      </c>
      <c r="F37" s="1807">
        <f>'Expenditures 15-22'!K71-SUM('Expenditures 15-22'!G71,'Expenditures 15-22'!I71)+'Expenditures 15-22'!D276-E14</f>
        <v>8883212</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2281652</v>
      </c>
      <c r="F38" s="1805"/>
      <c r="G38" s="1807">
        <f>'Expenditures 15-22'!K73-SUM('Expenditures 15-22'!G73,'Expenditures 15-22'!I73)+'Expenditures 15-22'!K128-SUM('Expenditures 15-22'!G128,'Expenditures 15-22'!I128)+'Expenditures 15-22'!K183-SUM('Expenditures 15-22'!G183,'Expenditures 15-22'!I183)+'Expenditures 15-22'!D278</f>
        <v>2281652</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3233862</v>
      </c>
      <c r="F39" s="1805"/>
      <c r="G39" s="1807">
        <f>'Expenditures 15-22'!K75-SUM('Expenditures 15-22'!G75,'Expenditures 15-22'!I75)+'Expenditures 15-22'!K130-SUM('Expenditures 15-22'!G130,'Expenditures 15-22'!I130)+'Expenditures 15-22'!K185-SUM('Expenditures 15-22'!G185,'Expenditures 15-22'!I185)+'Expenditures 15-22'!D280</f>
        <v>3233862</v>
      </c>
    </row>
    <row r="40" spans="1:7" ht="12" customHeight="1" x14ac:dyDescent="0.2">
      <c r="A40" s="820" t="s">
        <v>1794</v>
      </c>
      <c r="B40" s="821"/>
      <c r="C40" s="823"/>
      <c r="D40" s="1805"/>
      <c r="E40" s="1809">
        <f>-'Contracts Paid in CY 29'!F338</f>
        <v>-49408609.820000008</v>
      </c>
      <c r="F40" s="1805"/>
      <c r="G40" s="1809">
        <f>-'Contracts Paid in CY 29'!F338</f>
        <v>-49408609.820000008</v>
      </c>
    </row>
    <row r="41" spans="1:7" ht="12" customHeight="1" x14ac:dyDescent="0.2">
      <c r="A41" s="828" t="s">
        <v>155</v>
      </c>
      <c r="B41" s="829"/>
      <c r="C41" s="830"/>
      <c r="D41" s="1809">
        <f>SUM(D19:D39)</f>
        <v>17010123</v>
      </c>
      <c r="E41" s="1809">
        <f>SUM(E19:E40)</f>
        <v>406131084.18000001</v>
      </c>
      <c r="F41" s="1809">
        <f>SUM(F19:F39)</f>
        <v>53144002</v>
      </c>
      <c r="G41" s="1809">
        <f>SUM(G19:G40)</f>
        <v>369997205.18000001</v>
      </c>
    </row>
    <row r="42" spans="1:7" x14ac:dyDescent="0.2">
      <c r="A42" s="817"/>
      <c r="B42" s="157"/>
      <c r="C42" s="831"/>
      <c r="D42" s="2506" t="s">
        <v>518</v>
      </c>
      <c r="E42" s="2507"/>
      <c r="F42" s="832" t="s">
        <v>519</v>
      </c>
      <c r="G42" s="833"/>
    </row>
    <row r="43" spans="1:7" ht="12" customHeight="1" x14ac:dyDescent="0.2">
      <c r="A43" s="817"/>
      <c r="B43" s="157"/>
      <c r="C43" s="831"/>
      <c r="D43" s="1458" t="s">
        <v>469</v>
      </c>
      <c r="E43" s="1810">
        <f>D41</f>
        <v>17010123</v>
      </c>
      <c r="F43" s="1458" t="s">
        <v>469</v>
      </c>
      <c r="G43" s="1810">
        <f>F41</f>
        <v>53144002</v>
      </c>
    </row>
    <row r="44" spans="1:7" ht="12" customHeight="1" x14ac:dyDescent="0.2">
      <c r="A44" s="817"/>
      <c r="B44" s="157"/>
      <c r="C44" s="831"/>
      <c r="D44" s="1458" t="s">
        <v>470</v>
      </c>
      <c r="E44" s="1810">
        <f>E41</f>
        <v>406131084.18000001</v>
      </c>
      <c r="F44" s="1458" t="s">
        <v>470</v>
      </c>
      <c r="G44" s="1810">
        <f>G41</f>
        <v>369997205.18000001</v>
      </c>
    </row>
    <row r="45" spans="1:7" ht="12" customHeight="1" x14ac:dyDescent="0.2">
      <c r="A45" s="817"/>
      <c r="B45" s="157"/>
      <c r="C45" s="157"/>
      <c r="D45" s="1459" t="s">
        <v>998</v>
      </c>
      <c r="E45" s="1811">
        <f>(E43/E44)</f>
        <v>4.1883331915714681E-2</v>
      </c>
      <c r="F45" s="1459" t="s">
        <v>998</v>
      </c>
      <c r="G45" s="1811">
        <f>(G43/G44)</f>
        <v>0.14363352278335714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0" tint="-0.34998626667073579"/>
  </sheetPr>
  <dimension ref="A1:O97"/>
  <sheetViews>
    <sheetView showGridLines="0" topLeftCell="A25" zoomScale="110" zoomScaleNormal="110" workbookViewId="0">
      <selection activeCell="F48" sqref="F48"/>
    </sheetView>
  </sheetViews>
  <sheetFormatPr defaultColWidth="9.28515625" defaultRowHeight="12.75" x14ac:dyDescent="0.2"/>
  <cols>
    <col min="1" max="1" width="54.5703125" style="1505" customWidth="1"/>
    <col min="2" max="2" width="4.28515625" style="1505" customWidth="1"/>
    <col min="3" max="4" width="9.7109375" style="1477" customWidth="1"/>
    <col min="5" max="5" width="12.5703125" style="1506" customWidth="1"/>
    <col min="6" max="6" width="67.5703125" style="1477" customWidth="1"/>
    <col min="7" max="7" width="9.28515625" style="1477" customWidth="1"/>
    <col min="8" max="8" width="5.5703125" style="1507" bestFit="1" customWidth="1"/>
    <col min="9" max="10" width="2" style="1507" bestFit="1" customWidth="1"/>
    <col min="11" max="11" width="9" style="1507" customWidth="1"/>
    <col min="12" max="16384" width="9.28515625" style="1477"/>
  </cols>
  <sheetData>
    <row r="1" spans="1:15" x14ac:dyDescent="0.2">
      <c r="A1" s="2514" t="s">
        <v>1362</v>
      </c>
      <c r="B1" s="2514"/>
      <c r="C1" s="2514"/>
      <c r="D1" s="2514"/>
      <c r="E1" s="2514"/>
      <c r="F1" s="2514"/>
    </row>
    <row r="2" spans="1:15" x14ac:dyDescent="0.2">
      <c r="A2" s="1513" t="s">
        <v>1874</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515" t="s">
        <v>1528</v>
      </c>
      <c r="B5" s="2516"/>
      <c r="C5" s="2517"/>
      <c r="D5" s="2517"/>
      <c r="E5" s="2517"/>
      <c r="F5" s="2517"/>
      <c r="G5" s="1507"/>
      <c r="L5" s="1507"/>
      <c r="M5" s="1855"/>
      <c r="N5" s="1855"/>
      <c r="O5" s="1855"/>
    </row>
    <row r="6" spans="1:15" ht="12" customHeight="1" x14ac:dyDescent="0.25">
      <c r="A6" s="1480"/>
      <c r="B6" s="1481"/>
      <c r="C6" s="2518" t="str">
        <f>COVER!A17</f>
        <v xml:space="preserve">   SD U46 - Elgin</v>
      </c>
      <c r="D6" s="2518"/>
      <c r="E6" s="2518"/>
      <c r="F6" s="1482"/>
      <c r="G6" s="1507"/>
      <c r="L6" s="1507"/>
      <c r="M6" s="1855"/>
      <c r="N6" s="1855"/>
      <c r="O6" s="1855"/>
    </row>
    <row r="7" spans="1:15" ht="11.25" customHeight="1" thickBot="1" x14ac:dyDescent="0.3">
      <c r="A7" s="1480"/>
      <c r="B7" s="1481"/>
      <c r="C7" s="2519">
        <f>COVER!A13</f>
        <v>31045046022</v>
      </c>
      <c r="D7" s="2519"/>
      <c r="E7" s="2519"/>
      <c r="F7" s="1482"/>
      <c r="G7" s="1507"/>
      <c r="L7" s="1507"/>
      <c r="M7" s="1855"/>
      <c r="N7" s="1855"/>
      <c r="O7" s="1855"/>
    </row>
    <row r="8" spans="1:15" ht="25.5" customHeight="1" thickBot="1" x14ac:dyDescent="0.25">
      <c r="A8" s="1519" t="s">
        <v>1870</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1522</v>
      </c>
      <c r="B32" s="1494"/>
      <c r="C32" s="1495" t="s">
        <v>2047</v>
      </c>
      <c r="D32" s="1495" t="s">
        <v>2047</v>
      </c>
      <c r="E32" s="1498"/>
      <c r="F32" s="1497" t="s">
        <v>2081</v>
      </c>
      <c r="G32" s="1507"/>
      <c r="H32" s="1507">
        <f t="shared" si="0"/>
        <v>5</v>
      </c>
      <c r="I32" s="1507">
        <f t="shared" si="1"/>
        <v>5</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0</v>
      </c>
      <c r="K34" s="1507">
        <f>SUM(H34:J34)</f>
        <v>10</v>
      </c>
      <c r="L34" s="1507"/>
      <c r="M34" s="1855"/>
      <c r="N34" s="1855"/>
      <c r="O34" s="1855"/>
    </row>
    <row r="35" spans="1:15" ht="12" customHeight="1" x14ac:dyDescent="0.2">
      <c r="A35" s="1500" t="s">
        <v>1375</v>
      </c>
      <c r="B35" s="1501"/>
      <c r="C35" s="2520"/>
      <c r="D35" s="2520"/>
      <c r="E35" s="2520"/>
      <c r="F35" s="2521"/>
    </row>
    <row r="36" spans="1:15" ht="12" customHeight="1" x14ac:dyDescent="0.2">
      <c r="A36" s="2511"/>
      <c r="B36" s="2512"/>
      <c r="C36" s="2512"/>
      <c r="D36" s="2512"/>
      <c r="E36" s="2512"/>
      <c r="F36" s="2513"/>
    </row>
    <row r="37" spans="1:15" ht="12" customHeight="1" x14ac:dyDescent="0.2">
      <c r="A37" s="2511"/>
      <c r="B37" s="2512"/>
      <c r="C37" s="2512"/>
      <c r="D37" s="2512"/>
      <c r="E37" s="2512"/>
      <c r="F37" s="2513"/>
    </row>
    <row r="38" spans="1:15" ht="12" customHeight="1" x14ac:dyDescent="0.2">
      <c r="A38" s="2525"/>
      <c r="B38" s="2526"/>
      <c r="C38" s="2526"/>
      <c r="D38" s="2526"/>
      <c r="E38" s="2526"/>
      <c r="F38" s="2527"/>
    </row>
    <row r="39" spans="1:15" ht="4.5" hidden="1" customHeight="1" x14ac:dyDescent="0.2">
      <c r="A39" s="1502"/>
      <c r="B39" s="1502"/>
      <c r="C39" s="1502"/>
      <c r="D39" s="1502"/>
      <c r="E39" s="1502"/>
      <c r="F39" s="1502"/>
    </row>
    <row r="40" spans="1:15" s="1499" customFormat="1" ht="12" customHeight="1" x14ac:dyDescent="0.25">
      <c r="A40" s="1503" t="s">
        <v>1374</v>
      </c>
      <c r="B40" s="1504"/>
      <c r="C40" s="2528"/>
      <c r="D40" s="2528"/>
      <c r="E40" s="2528"/>
      <c r="F40" s="2529"/>
      <c r="H40" s="1508"/>
      <c r="I40" s="1508"/>
      <c r="J40" s="1508"/>
      <c r="K40" s="1508"/>
    </row>
    <row r="41" spans="1:15" s="1499" customFormat="1" ht="12" customHeight="1" x14ac:dyDescent="0.25">
      <c r="A41" s="2530"/>
      <c r="B41" s="2531"/>
      <c r="C41" s="2531"/>
      <c r="D41" s="2531"/>
      <c r="E41" s="2531"/>
      <c r="F41" s="2532"/>
      <c r="H41" s="1508"/>
      <c r="I41" s="1508"/>
      <c r="J41" s="1508"/>
      <c r="K41" s="1508"/>
    </row>
    <row r="42" spans="1:15" s="1499" customFormat="1" ht="12" customHeight="1" x14ac:dyDescent="0.25">
      <c r="A42" s="2530"/>
      <c r="B42" s="2531"/>
      <c r="C42" s="2531"/>
      <c r="D42" s="2531"/>
      <c r="E42" s="2531"/>
      <c r="F42" s="2532"/>
      <c r="H42" s="1508"/>
      <c r="I42" s="1508"/>
      <c r="J42" s="1508"/>
      <c r="K42" s="1508"/>
    </row>
    <row r="43" spans="1:15" s="1499" customFormat="1" ht="15" x14ac:dyDescent="0.25">
      <c r="A43" s="2522"/>
      <c r="B43" s="2523"/>
      <c r="C43" s="2523"/>
      <c r="D43" s="2523"/>
      <c r="E43" s="2523"/>
      <c r="F43" s="2524"/>
      <c r="H43" s="1508"/>
      <c r="I43" s="1508"/>
      <c r="J43" s="1508"/>
      <c r="K43" s="1508"/>
    </row>
    <row r="44" spans="1:15" s="1499" customFormat="1" ht="12" hidden="1" customHeight="1" x14ac:dyDescent="0.25">
      <c r="A44" s="2522"/>
      <c r="B44" s="2523"/>
      <c r="C44" s="2523"/>
      <c r="D44" s="2523"/>
      <c r="E44" s="2523"/>
      <c r="F44" s="252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34998626667073579"/>
    <pageSetUpPr fitToPage="1"/>
  </sheetPr>
  <dimension ref="A1:N83"/>
  <sheetViews>
    <sheetView showGridLines="0" topLeftCell="A37" zoomScaleNormal="100" workbookViewId="0">
      <selection activeCell="C27" sqref="C27:D27"/>
    </sheetView>
  </sheetViews>
  <sheetFormatPr defaultColWidth="9.28515625" defaultRowHeight="12.75" x14ac:dyDescent="0.2"/>
  <cols>
    <col min="1" max="1" width="2.7109375" style="1872" customWidth="1"/>
    <col min="2" max="2" width="3" style="1872" customWidth="1"/>
    <col min="3" max="3" width="48.5703125" style="1872" customWidth="1"/>
    <col min="4" max="4" width="7.42578125" style="1872" customWidth="1"/>
    <col min="5" max="5" width="11.28515625" style="1872" customWidth="1"/>
    <col min="6" max="6" width="10.7109375" style="1872" customWidth="1"/>
    <col min="7" max="8" width="9.28515625" style="1872"/>
    <col min="9" max="9" width="11.28515625" style="1872" customWidth="1"/>
    <col min="10" max="10" width="10.7109375" style="1872" customWidth="1"/>
    <col min="11" max="11" width="9.28515625" style="1872"/>
    <col min="12" max="12" width="14.28515625" style="1872" customWidth="1"/>
    <col min="13" max="13" width="9.28515625" style="1872"/>
    <col min="14" max="14" width="18.7109375" style="1872" customWidth="1"/>
    <col min="15" max="16384" width="9.28515625" style="1872"/>
  </cols>
  <sheetData>
    <row r="1" spans="1:14" x14ac:dyDescent="0.2">
      <c r="A1" s="1930"/>
      <c r="B1" s="1931"/>
      <c r="C1" s="1931"/>
      <c r="D1" s="1931"/>
      <c r="E1" s="1931"/>
      <c r="F1" s="1931"/>
      <c r="G1" s="1946" t="s">
        <v>401</v>
      </c>
      <c r="H1" s="1947"/>
      <c r="I1" s="1931"/>
      <c r="J1" s="1931"/>
      <c r="K1" s="1931"/>
      <c r="L1" s="1931"/>
      <c r="M1" s="1931"/>
      <c r="N1" s="1932"/>
    </row>
    <row r="2" spans="1:14" x14ac:dyDescent="0.2">
      <c r="A2" s="1948"/>
      <c r="B2" s="838"/>
      <c r="C2" s="838"/>
      <c r="D2" s="838"/>
      <c r="E2" s="838"/>
      <c r="F2" s="838"/>
      <c r="G2" s="1874" t="s">
        <v>1998</v>
      </c>
      <c r="H2" s="1871"/>
      <c r="I2" s="838"/>
      <c r="J2" s="838"/>
      <c r="K2" s="838"/>
      <c r="L2" s="838"/>
      <c r="M2" s="838"/>
      <c r="N2" s="1949"/>
    </row>
    <row r="3" spans="1:14" x14ac:dyDescent="0.2">
      <c r="A3" s="1948"/>
      <c r="B3" s="838"/>
      <c r="C3" s="838"/>
      <c r="D3" s="838"/>
      <c r="E3" s="838"/>
      <c r="F3" s="838"/>
      <c r="G3" s="1874" t="s">
        <v>402</v>
      </c>
      <c r="H3" s="838"/>
      <c r="I3" s="838"/>
      <c r="J3" s="838"/>
      <c r="K3" s="838"/>
      <c r="L3" s="838"/>
      <c r="M3" s="838"/>
      <c r="N3" s="1949"/>
    </row>
    <row r="4" spans="1:14" x14ac:dyDescent="0.2">
      <c r="A4" s="1948"/>
      <c r="B4" s="838"/>
      <c r="C4" s="838"/>
      <c r="D4" s="838"/>
      <c r="E4" s="838"/>
      <c r="F4" s="838"/>
      <c r="G4" s="1874" t="s">
        <v>862</v>
      </c>
      <c r="H4" s="838"/>
      <c r="I4" s="838"/>
      <c r="J4" s="838"/>
      <c r="K4" s="838"/>
      <c r="L4" s="838"/>
      <c r="M4" s="838"/>
      <c r="N4" s="1949"/>
    </row>
    <row r="5" spans="1:14" x14ac:dyDescent="0.2">
      <c r="A5" s="1948"/>
      <c r="B5" s="838"/>
      <c r="C5" s="838"/>
      <c r="D5" s="838"/>
      <c r="E5" s="838"/>
      <c r="F5" s="1874"/>
      <c r="G5" s="1874"/>
      <c r="H5" s="838"/>
      <c r="I5" s="838"/>
      <c r="J5" s="838"/>
      <c r="K5" s="838"/>
      <c r="L5" s="838"/>
      <c r="M5" s="838"/>
      <c r="N5" s="1949"/>
    </row>
    <row r="6" spans="1:14" x14ac:dyDescent="0.2">
      <c r="A6" s="1950" t="s">
        <v>666</v>
      </c>
      <c r="B6" s="1377"/>
      <c r="C6" s="1377"/>
      <c r="D6" s="1377"/>
      <c r="E6" s="1378"/>
      <c r="F6" s="1873"/>
      <c r="G6" s="1874"/>
      <c r="H6" s="838"/>
      <c r="I6" s="1875" t="s">
        <v>1020</v>
      </c>
      <c r="J6" s="2534" t="str">
        <f>COVER!A17</f>
        <v xml:space="preserve">   SD U46 - Elgin</v>
      </c>
      <c r="K6" s="2534"/>
      <c r="L6" s="2535"/>
      <c r="M6" s="838"/>
      <c r="N6" s="1949"/>
    </row>
    <row r="7" spans="1:14" x14ac:dyDescent="0.2">
      <c r="A7" s="2536" t="s">
        <v>863</v>
      </c>
      <c r="B7" s="2537"/>
      <c r="C7" s="2537"/>
      <c r="D7" s="2537"/>
      <c r="E7" s="2538"/>
      <c r="F7" s="839"/>
      <c r="G7" s="838"/>
      <c r="H7" s="838"/>
      <c r="I7" s="1875" t="s">
        <v>368</v>
      </c>
      <c r="J7" s="2539">
        <f>COVER!A13</f>
        <v>31045046022</v>
      </c>
      <c r="K7" s="2539"/>
      <c r="L7" s="2539"/>
      <c r="M7" s="838"/>
      <c r="N7" s="1949"/>
    </row>
    <row r="8" spans="1:14" x14ac:dyDescent="0.2">
      <c r="A8" s="1951"/>
      <c r="B8" s="1876"/>
      <c r="C8" s="1876"/>
      <c r="D8" s="1876"/>
      <c r="E8" s="1877"/>
      <c r="F8" s="1878"/>
      <c r="G8" s="1864"/>
      <c r="H8" s="1864"/>
      <c r="I8" s="1864"/>
      <c r="J8" s="1864"/>
      <c r="K8" s="1864"/>
      <c r="L8" s="1864"/>
      <c r="M8" s="838"/>
      <c r="N8" s="1949"/>
    </row>
    <row r="9" spans="1:14" x14ac:dyDescent="0.2">
      <c r="A9" s="1952"/>
      <c r="B9" s="840"/>
      <c r="C9" s="840"/>
      <c r="D9" s="841"/>
      <c r="E9" s="1879" t="s">
        <v>2014</v>
      </c>
      <c r="F9" s="1857"/>
      <c r="G9" s="1857"/>
      <c r="H9" s="1857"/>
      <c r="I9" s="1880" t="s">
        <v>2015</v>
      </c>
      <c r="J9" s="1857"/>
      <c r="K9" s="1857"/>
      <c r="L9" s="1858"/>
      <c r="M9" s="838"/>
      <c r="N9" s="1949"/>
    </row>
    <row r="10" spans="1:14" x14ac:dyDescent="0.2">
      <c r="A10" s="1953"/>
      <c r="B10" s="1881"/>
      <c r="C10" s="1882"/>
      <c r="D10" s="1883"/>
      <c r="E10" s="1884" t="s">
        <v>421</v>
      </c>
      <c r="F10" s="1885" t="s">
        <v>422</v>
      </c>
      <c r="G10" s="1886" t="s">
        <v>428</v>
      </c>
      <c r="H10" s="1887"/>
      <c r="I10" s="1885" t="s">
        <v>421</v>
      </c>
      <c r="J10" s="1885" t="s">
        <v>422</v>
      </c>
      <c r="K10" s="1886" t="s">
        <v>428</v>
      </c>
      <c r="L10" s="1885"/>
      <c r="M10" s="838"/>
      <c r="N10" s="1949"/>
    </row>
    <row r="11" spans="1:14" ht="51" x14ac:dyDescent="0.2">
      <c r="A11" s="2540" t="s">
        <v>477</v>
      </c>
      <c r="B11" s="2541"/>
      <c r="C11" s="2542"/>
      <c r="D11" s="1888" t="s">
        <v>865</v>
      </c>
      <c r="E11" s="1888" t="s">
        <v>64</v>
      </c>
      <c r="F11" s="1888" t="s">
        <v>6</v>
      </c>
      <c r="G11" s="1889" t="s">
        <v>2016</v>
      </c>
      <c r="H11" s="1890" t="s">
        <v>155</v>
      </c>
      <c r="I11" s="1888" t="s">
        <v>64</v>
      </c>
      <c r="J11" s="1888" t="s">
        <v>6</v>
      </c>
      <c r="K11" s="1889" t="s">
        <v>1997</v>
      </c>
      <c r="L11" s="1890" t="s">
        <v>155</v>
      </c>
      <c r="M11" s="838"/>
      <c r="N11" s="1949"/>
    </row>
    <row r="12" spans="1:14" x14ac:dyDescent="0.2">
      <c r="A12" s="1954">
        <v>1</v>
      </c>
      <c r="B12" s="1891" t="s">
        <v>812</v>
      </c>
      <c r="C12" s="842"/>
      <c r="D12" s="1892">
        <v>2320</v>
      </c>
      <c r="E12" s="1895">
        <f>'Expenditures 15-22'!K50</f>
        <v>3749650</v>
      </c>
      <c r="F12" s="1893"/>
      <c r="G12" s="1919">
        <f>G68</f>
        <v>415463</v>
      </c>
      <c r="H12" s="1895">
        <f t="shared" ref="H12:H18" si="0">SUM(E12:G12)</f>
        <v>4165113</v>
      </c>
      <c r="I12" s="1894">
        <v>3879784</v>
      </c>
      <c r="J12" s="1893"/>
      <c r="K12" s="1894">
        <v>479308</v>
      </c>
      <c r="L12" s="1895">
        <f t="shared" ref="L12:L18" si="1">SUM(I12:K12)</f>
        <v>4359092</v>
      </c>
      <c r="M12" s="838"/>
      <c r="N12" s="1949"/>
    </row>
    <row r="13" spans="1:14" x14ac:dyDescent="0.2">
      <c r="A13" s="1954">
        <v>2</v>
      </c>
      <c r="B13" s="1891" t="s">
        <v>42</v>
      </c>
      <c r="C13" s="842"/>
      <c r="D13" s="1892">
        <v>2330</v>
      </c>
      <c r="E13" s="1895">
        <f>'Expenditures 15-22'!K51</f>
        <v>5162234</v>
      </c>
      <c r="F13" s="1893"/>
      <c r="G13" s="1919">
        <f>H68</f>
        <v>0</v>
      </c>
      <c r="H13" s="1895">
        <f t="shared" si="0"/>
        <v>5162234</v>
      </c>
      <c r="I13" s="1894">
        <v>5193030</v>
      </c>
      <c r="J13" s="1893"/>
      <c r="K13" s="1894"/>
      <c r="L13" s="1895">
        <f t="shared" si="1"/>
        <v>5193030</v>
      </c>
      <c r="M13" s="838"/>
      <c r="N13" s="1949"/>
    </row>
    <row r="14" spans="1:14" x14ac:dyDescent="0.2">
      <c r="A14" s="1954">
        <v>3</v>
      </c>
      <c r="B14" s="1891" t="s">
        <v>43</v>
      </c>
      <c r="C14" s="842"/>
      <c r="D14" s="1896">
        <v>2490</v>
      </c>
      <c r="E14" s="1895">
        <f>'Expenditures 15-22'!K56</f>
        <v>6036276</v>
      </c>
      <c r="F14" s="1893"/>
      <c r="G14" s="1919">
        <f>I68</f>
        <v>0</v>
      </c>
      <c r="H14" s="1895">
        <f t="shared" si="0"/>
        <v>6036276</v>
      </c>
      <c r="I14" s="1894">
        <v>6217923</v>
      </c>
      <c r="J14" s="1893"/>
      <c r="K14" s="1894"/>
      <c r="L14" s="1895">
        <f t="shared" si="1"/>
        <v>6217923</v>
      </c>
      <c r="M14" s="838"/>
      <c r="N14" s="1949"/>
    </row>
    <row r="15" spans="1:14" x14ac:dyDescent="0.2">
      <c r="A15" s="1954">
        <v>4</v>
      </c>
      <c r="B15" s="1891" t="s">
        <v>1058</v>
      </c>
      <c r="C15" s="842"/>
      <c r="D15" s="1892">
        <v>2510</v>
      </c>
      <c r="E15" s="1895">
        <f>'Expenditures 15-22'!K59</f>
        <v>418603</v>
      </c>
      <c r="F15" s="1895">
        <f>'Expenditures 15-22'!K122</f>
        <v>0</v>
      </c>
      <c r="G15" s="1919">
        <f>J68</f>
        <v>0</v>
      </c>
      <c r="H15" s="1895">
        <f t="shared" si="0"/>
        <v>418603</v>
      </c>
      <c r="I15" s="1894">
        <v>406790</v>
      </c>
      <c r="J15" s="1894"/>
      <c r="K15" s="1894"/>
      <c r="L15" s="1895">
        <f t="shared" si="1"/>
        <v>406790</v>
      </c>
      <c r="M15" s="838"/>
      <c r="N15" s="1949"/>
    </row>
    <row r="16" spans="1:14" x14ac:dyDescent="0.2">
      <c r="A16" s="1954">
        <v>5</v>
      </c>
      <c r="B16" s="1891" t="s">
        <v>101</v>
      </c>
      <c r="C16" s="842"/>
      <c r="D16" s="1892">
        <v>2570</v>
      </c>
      <c r="E16" s="1895">
        <f>'Expenditures 15-22'!K64</f>
        <v>2588614</v>
      </c>
      <c r="F16" s="1893"/>
      <c r="G16" s="1919">
        <f>K68</f>
        <v>0</v>
      </c>
      <c r="H16" s="1895">
        <f t="shared" si="0"/>
        <v>2588614</v>
      </c>
      <c r="I16" s="1894">
        <v>2747472</v>
      </c>
      <c r="J16" s="1893"/>
      <c r="K16" s="1894"/>
      <c r="L16" s="1895">
        <f t="shared" si="1"/>
        <v>2747472</v>
      </c>
      <c r="M16" s="838"/>
      <c r="N16" s="1949"/>
    </row>
    <row r="17" spans="1:14" x14ac:dyDescent="0.2">
      <c r="A17" s="1954">
        <v>6</v>
      </c>
      <c r="B17" s="1891" t="s">
        <v>1050</v>
      </c>
      <c r="C17" s="842"/>
      <c r="D17" s="1892">
        <v>2610</v>
      </c>
      <c r="E17" s="1895">
        <f>'Expenditures 15-22'!K67</f>
        <v>0</v>
      </c>
      <c r="F17" s="1893"/>
      <c r="G17" s="1919">
        <f>L68</f>
        <v>0</v>
      </c>
      <c r="H17" s="1895">
        <f t="shared" si="0"/>
        <v>0</v>
      </c>
      <c r="I17" s="1894"/>
      <c r="J17" s="1893"/>
      <c r="K17" s="1894"/>
      <c r="L17" s="1895">
        <f t="shared" si="1"/>
        <v>0</v>
      </c>
      <c r="M17" s="838"/>
      <c r="N17" s="1949"/>
    </row>
    <row r="18" spans="1:14" ht="26.25" customHeight="1" x14ac:dyDescent="0.2">
      <c r="A18" s="1955">
        <v>7</v>
      </c>
      <c r="B18" s="2543" t="s">
        <v>7</v>
      </c>
      <c r="C18" s="2544"/>
      <c r="D18" s="2545"/>
      <c r="E18" s="1897"/>
      <c r="F18" s="1897"/>
      <c r="G18" s="1894"/>
      <c r="H18" s="1898">
        <f t="shared" si="0"/>
        <v>0</v>
      </c>
      <c r="I18" s="1894"/>
      <c r="J18" s="1894"/>
      <c r="K18" s="1894"/>
      <c r="L18" s="1895">
        <f t="shared" si="1"/>
        <v>0</v>
      </c>
      <c r="M18" s="838"/>
      <c r="N18" s="1949"/>
    </row>
    <row r="19" spans="1:14" ht="13.5" thickBot="1" x14ac:dyDescent="0.25">
      <c r="A19" s="1954">
        <v>8</v>
      </c>
      <c r="B19" s="1899" t="s">
        <v>1150</v>
      </c>
      <c r="C19" s="838"/>
      <c r="D19" s="1900"/>
      <c r="E19" s="1901">
        <f t="shared" ref="E19:L19" si="2">SUM(E12:E17)-E18</f>
        <v>17955377</v>
      </c>
      <c r="F19" s="1901">
        <f t="shared" si="2"/>
        <v>0</v>
      </c>
      <c r="G19" s="1901">
        <f t="shared" ref="G19" si="3">SUM(G12:G17)-G18</f>
        <v>415463</v>
      </c>
      <c r="H19" s="1901">
        <f t="shared" si="2"/>
        <v>18370840</v>
      </c>
      <c r="I19" s="1901">
        <f t="shared" si="2"/>
        <v>18444999</v>
      </c>
      <c r="J19" s="1901">
        <f t="shared" si="2"/>
        <v>0</v>
      </c>
      <c r="K19" s="1901">
        <f t="shared" si="2"/>
        <v>479308</v>
      </c>
      <c r="L19" s="1901">
        <f t="shared" si="2"/>
        <v>18924307</v>
      </c>
      <c r="M19" s="838"/>
      <c r="N19" s="1949"/>
    </row>
    <row r="20" spans="1:14" ht="13.5" thickTop="1" x14ac:dyDescent="0.2">
      <c r="A20" s="1954">
        <v>9</v>
      </c>
      <c r="B20" s="2546" t="s">
        <v>2017</v>
      </c>
      <c r="C20" s="2546"/>
      <c r="D20" s="2547"/>
      <c r="E20" s="1902"/>
      <c r="F20" s="1902"/>
      <c r="G20" s="1902"/>
      <c r="H20" s="1902"/>
      <c r="I20" s="1902"/>
      <c r="J20" s="1902"/>
      <c r="K20" s="1902"/>
      <c r="L20" s="1903">
        <f>IF(AND(H19&gt;0,L19&gt;0),(((L19-H19)/H19)),"Enter Budget Data")</f>
        <v>3.0127473757324108E-2</v>
      </c>
      <c r="M20" s="838"/>
      <c r="N20" s="1949"/>
    </row>
    <row r="21" spans="1:14" x14ac:dyDescent="0.2">
      <c r="A21" s="1956" t="s">
        <v>194</v>
      </c>
      <c r="B21" s="1957" t="s">
        <v>2042</v>
      </c>
      <c r="C21" s="838"/>
      <c r="D21" s="1904"/>
      <c r="E21" s="1905"/>
      <c r="F21" s="1906"/>
      <c r="G21" s="1906"/>
      <c r="H21" s="1906"/>
      <c r="I21" s="1906"/>
      <c r="J21" s="1906"/>
      <c r="K21" s="1906"/>
      <c r="L21" s="1907"/>
      <c r="M21" s="838"/>
      <c r="N21" s="1949"/>
    </row>
    <row r="22" spans="1:14" x14ac:dyDescent="0.2">
      <c r="A22" s="1948"/>
      <c r="B22" s="1958"/>
      <c r="C22" s="838"/>
      <c r="D22" s="838"/>
      <c r="E22" s="838"/>
      <c r="F22" s="838"/>
      <c r="G22" s="838"/>
      <c r="H22" s="838"/>
      <c r="I22" s="838"/>
      <c r="J22" s="838"/>
      <c r="K22" s="838"/>
      <c r="L22" s="838"/>
      <c r="M22" s="838"/>
      <c r="N22" s="1949"/>
    </row>
    <row r="23" spans="1:14" x14ac:dyDescent="0.2">
      <c r="A23" s="1959" t="s">
        <v>132</v>
      </c>
      <c r="B23" s="1958"/>
      <c r="C23" s="838"/>
      <c r="D23" s="838"/>
      <c r="E23" s="838"/>
      <c r="F23" s="838"/>
      <c r="G23" s="838"/>
      <c r="H23" s="838"/>
      <c r="I23" s="838"/>
      <c r="J23" s="838"/>
      <c r="K23" s="838"/>
      <c r="L23" s="838"/>
      <c r="M23" s="838"/>
      <c r="N23" s="1949"/>
    </row>
    <row r="24" spans="1:14" x14ac:dyDescent="0.2">
      <c r="A24" s="1960" t="s">
        <v>2018</v>
      </c>
      <c r="B24" s="1961"/>
      <c r="C24" s="1962"/>
      <c r="D24" s="1962"/>
      <c r="E24" s="1962"/>
      <c r="F24" s="1962"/>
      <c r="G24" s="1962"/>
      <c r="H24" s="1962"/>
      <c r="I24" s="1962"/>
      <c r="J24" s="1962"/>
      <c r="K24" s="1962"/>
      <c r="L24" s="838"/>
      <c r="M24" s="838"/>
      <c r="N24" s="1949"/>
    </row>
    <row r="25" spans="1:14" x14ac:dyDescent="0.2">
      <c r="A25" s="1960" t="s">
        <v>2019</v>
      </c>
      <c r="B25" s="1961"/>
      <c r="C25" s="1962"/>
      <c r="D25" s="1962"/>
      <c r="E25" s="1962"/>
      <c r="F25" s="1962"/>
      <c r="G25" s="1962"/>
      <c r="H25" s="1962"/>
      <c r="I25" s="1962"/>
      <c r="J25" s="1962"/>
      <c r="K25" s="1962"/>
      <c r="L25" s="838"/>
      <c r="M25" s="838"/>
      <c r="N25" s="1949"/>
    </row>
    <row r="26" spans="1:14" x14ac:dyDescent="0.2">
      <c r="A26" s="1963"/>
      <c r="B26" s="1958"/>
      <c r="C26" s="838"/>
      <c r="D26" s="838"/>
      <c r="E26" s="838"/>
      <c r="F26" s="838"/>
      <c r="G26" s="838"/>
      <c r="H26" s="838"/>
      <c r="I26" s="838"/>
      <c r="J26" s="838"/>
      <c r="K26" s="838"/>
      <c r="L26" s="838"/>
      <c r="M26" s="838"/>
      <c r="N26" s="1949"/>
    </row>
    <row r="27" spans="1:14" x14ac:dyDescent="0.2">
      <c r="A27" s="1948"/>
      <c r="B27" s="1958"/>
      <c r="C27" s="2548"/>
      <c r="D27" s="2548"/>
      <c r="E27" s="843"/>
      <c r="F27" s="2549">
        <v>44245</v>
      </c>
      <c r="G27" s="2549"/>
      <c r="H27" s="2549"/>
      <c r="I27" s="838"/>
      <c r="J27" s="838"/>
      <c r="K27" s="838"/>
      <c r="L27" s="838"/>
      <c r="M27" s="838"/>
      <c r="N27" s="1949"/>
    </row>
    <row r="28" spans="1:14" x14ac:dyDescent="0.2">
      <c r="A28" s="1948"/>
      <c r="B28" s="1958"/>
      <c r="C28" s="1908" t="s">
        <v>1025</v>
      </c>
      <c r="D28" s="844"/>
      <c r="E28" s="1909"/>
      <c r="F28" s="2550" t="s">
        <v>1491</v>
      </c>
      <c r="G28" s="2550"/>
      <c r="H28" s="2550"/>
      <c r="I28" s="838"/>
      <c r="J28" s="838"/>
      <c r="K28" s="838"/>
      <c r="L28" s="838"/>
      <c r="M28" s="838"/>
      <c r="N28" s="1949"/>
    </row>
    <row r="29" spans="1:14" x14ac:dyDescent="0.2">
      <c r="A29" s="1948"/>
      <c r="B29" s="1958"/>
      <c r="C29" s="2551" t="s">
        <v>2218</v>
      </c>
      <c r="D29" s="2551"/>
      <c r="E29" s="845"/>
      <c r="F29" s="2551" t="s">
        <v>2052</v>
      </c>
      <c r="G29" s="2551"/>
      <c r="H29" s="2551"/>
      <c r="I29" s="838"/>
      <c r="J29" s="838"/>
      <c r="K29" s="838"/>
      <c r="L29" s="838"/>
      <c r="M29" s="838"/>
      <c r="N29" s="1949"/>
    </row>
    <row r="30" spans="1:14" x14ac:dyDescent="0.2">
      <c r="A30" s="1948"/>
      <c r="B30" s="1958"/>
      <c r="C30" s="1911" t="s">
        <v>1543</v>
      </c>
      <c r="D30" s="838"/>
      <c r="E30" s="1910"/>
      <c r="F30" s="2533" t="s">
        <v>1492</v>
      </c>
      <c r="G30" s="2533"/>
      <c r="H30" s="2533"/>
      <c r="I30" s="838"/>
      <c r="J30" s="838"/>
      <c r="K30" s="838"/>
      <c r="L30" s="838"/>
      <c r="M30" s="838"/>
      <c r="N30" s="1949"/>
    </row>
    <row r="31" spans="1:14" x14ac:dyDescent="0.2">
      <c r="A31" s="1948"/>
      <c r="B31" s="1958"/>
      <c r="C31" s="1964"/>
      <c r="D31" s="838"/>
      <c r="E31" s="1904"/>
      <c r="F31" s="1905"/>
      <c r="G31" s="1905"/>
      <c r="H31" s="1905"/>
      <c r="I31" s="838"/>
      <c r="J31" s="838"/>
      <c r="K31" s="838"/>
      <c r="L31" s="838"/>
      <c r="M31" s="838"/>
      <c r="N31" s="1949"/>
    </row>
    <row r="32" spans="1:14" x14ac:dyDescent="0.2">
      <c r="A32" s="1948"/>
      <c r="B32" s="1965" t="s">
        <v>1026</v>
      </c>
      <c r="C32" s="838"/>
      <c r="D32" s="838"/>
      <c r="E32" s="838"/>
      <c r="F32" s="838"/>
      <c r="G32" s="838"/>
      <c r="H32" s="838"/>
      <c r="I32" s="838"/>
      <c r="J32" s="838"/>
      <c r="K32" s="838"/>
      <c r="L32" s="838"/>
      <c r="M32" s="838"/>
      <c r="N32" s="1949"/>
    </row>
    <row r="33" spans="1:14" x14ac:dyDescent="0.2">
      <c r="A33" s="1948"/>
      <c r="B33" s="1966"/>
      <c r="C33" s="838"/>
      <c r="D33" s="838"/>
      <c r="E33" s="838"/>
      <c r="F33" s="838"/>
      <c r="G33" s="838"/>
      <c r="H33" s="838"/>
      <c r="I33" s="838"/>
      <c r="J33" s="838"/>
      <c r="K33" s="838"/>
      <c r="L33" s="838"/>
      <c r="M33" s="838"/>
      <c r="N33" s="1949"/>
    </row>
    <row r="34" spans="1:14" x14ac:dyDescent="0.2">
      <c r="A34" s="1948"/>
      <c r="B34" s="846"/>
      <c r="C34" s="2554" t="s">
        <v>2020</v>
      </c>
      <c r="D34" s="2555"/>
      <c r="E34" s="2555"/>
      <c r="F34" s="2555"/>
      <c r="G34" s="2555"/>
      <c r="H34" s="2555"/>
      <c r="I34" s="2555"/>
      <c r="J34" s="2555"/>
      <c r="K34" s="1967"/>
      <c r="L34" s="838"/>
      <c r="M34" s="838"/>
      <c r="N34" s="1949"/>
    </row>
    <row r="35" spans="1:14" x14ac:dyDescent="0.2">
      <c r="A35" s="1948"/>
      <c r="B35" s="838"/>
      <c r="C35" s="2555"/>
      <c r="D35" s="2555"/>
      <c r="E35" s="2555"/>
      <c r="F35" s="2555"/>
      <c r="G35" s="2555"/>
      <c r="H35" s="2555"/>
      <c r="I35" s="2555"/>
      <c r="J35" s="2555"/>
      <c r="K35" s="1967"/>
      <c r="L35" s="838"/>
      <c r="M35" s="838"/>
      <c r="N35" s="1949"/>
    </row>
    <row r="36" spans="1:14" x14ac:dyDescent="0.2">
      <c r="A36" s="1948"/>
      <c r="B36" s="838"/>
      <c r="C36" s="1968"/>
      <c r="D36" s="838"/>
      <c r="E36" s="838"/>
      <c r="F36" s="838"/>
      <c r="G36" s="838"/>
      <c r="H36" s="838"/>
      <c r="I36" s="838"/>
      <c r="J36" s="838"/>
      <c r="K36" s="838"/>
      <c r="L36" s="838"/>
      <c r="M36" s="838"/>
      <c r="N36" s="1949"/>
    </row>
    <row r="37" spans="1:14" x14ac:dyDescent="0.2">
      <c r="A37" s="1948"/>
      <c r="B37" s="846"/>
      <c r="C37" s="2554" t="s">
        <v>2021</v>
      </c>
      <c r="D37" s="2555"/>
      <c r="E37" s="2555"/>
      <c r="F37" s="2555"/>
      <c r="G37" s="2555"/>
      <c r="H37" s="2555"/>
      <c r="I37" s="2555"/>
      <c r="J37" s="2555"/>
      <c r="K37" s="1967"/>
      <c r="L37" s="1969"/>
      <c r="M37" s="838"/>
      <c r="N37" s="1949"/>
    </row>
    <row r="38" spans="1:14" x14ac:dyDescent="0.2">
      <c r="A38" s="1948"/>
      <c r="B38" s="838"/>
      <c r="C38" s="2555"/>
      <c r="D38" s="2555"/>
      <c r="E38" s="2555"/>
      <c r="F38" s="2555"/>
      <c r="G38" s="2555"/>
      <c r="H38" s="2555"/>
      <c r="I38" s="2555"/>
      <c r="J38" s="2555"/>
      <c r="K38" s="1967"/>
      <c r="L38" s="1969"/>
      <c r="M38" s="838"/>
      <c r="N38" s="1949"/>
    </row>
    <row r="39" spans="1:14" x14ac:dyDescent="0.2">
      <c r="A39" s="1948"/>
      <c r="B39" s="838"/>
      <c r="C39" s="1968"/>
      <c r="D39" s="838"/>
      <c r="E39" s="1912"/>
      <c r="F39" s="1913"/>
      <c r="G39" s="1913"/>
      <c r="H39" s="1912"/>
      <c r="I39" s="838"/>
      <c r="J39" s="838"/>
      <c r="K39" s="838"/>
      <c r="L39" s="838"/>
      <c r="M39" s="838"/>
      <c r="N39" s="1949"/>
    </row>
    <row r="40" spans="1:14" x14ac:dyDescent="0.2">
      <c r="A40" s="1948"/>
      <c r="B40" s="846"/>
      <c r="C40" s="2556" t="s">
        <v>2022</v>
      </c>
      <c r="D40" s="2557"/>
      <c r="E40" s="2557"/>
      <c r="F40" s="2557"/>
      <c r="G40" s="2557"/>
      <c r="H40" s="2557"/>
      <c r="I40" s="2557"/>
      <c r="J40" s="2557"/>
      <c r="K40" s="1914"/>
      <c r="L40" s="838"/>
      <c r="M40" s="838"/>
      <c r="N40" s="1949"/>
    </row>
    <row r="41" spans="1:14" x14ac:dyDescent="0.2">
      <c r="A41" s="1948"/>
      <c r="B41" s="838"/>
      <c r="C41" s="1970"/>
      <c r="D41" s="1970"/>
      <c r="E41" s="1970"/>
      <c r="F41" s="1970"/>
      <c r="G41" s="1970"/>
      <c r="H41" s="1970"/>
      <c r="I41" s="1970"/>
      <c r="J41" s="1970"/>
      <c r="K41" s="1970"/>
      <c r="L41" s="838"/>
      <c r="M41" s="838"/>
      <c r="N41" s="1949"/>
    </row>
    <row r="42" spans="1:14" ht="13.5" thickBot="1" x14ac:dyDescent="0.25">
      <c r="A42" s="1971"/>
      <c r="B42" s="1972"/>
      <c r="C42" s="1972"/>
      <c r="D42" s="1972"/>
      <c r="E42" s="1972"/>
      <c r="F42" s="1972"/>
      <c r="G42" s="1972"/>
      <c r="H42" s="1972"/>
      <c r="I42" s="1972"/>
      <c r="J42" s="1972"/>
      <c r="K42" s="1972"/>
      <c r="L42" s="1972"/>
      <c r="M42" s="1972"/>
      <c r="N42" s="1973"/>
    </row>
    <row r="43" spans="1:14" ht="27" thickBot="1" x14ac:dyDescent="0.45">
      <c r="A43" s="2558" t="s">
        <v>2023</v>
      </c>
      <c r="B43" s="2559"/>
      <c r="C43" s="2559"/>
      <c r="D43" s="2559"/>
      <c r="E43" s="2559"/>
      <c r="F43" s="2559"/>
      <c r="G43" s="2559"/>
      <c r="H43" s="2559"/>
      <c r="I43" s="2559"/>
      <c r="J43" s="2559"/>
      <c r="K43" s="2559"/>
      <c r="L43" s="2559"/>
      <c r="M43" s="2559"/>
      <c r="N43" s="2560"/>
    </row>
    <row r="44" spans="1:14" x14ac:dyDescent="0.2">
      <c r="A44" s="1933"/>
      <c r="B44" s="1934"/>
      <c r="C44" s="1934"/>
      <c r="D44" s="1934"/>
      <c r="E44" s="1934"/>
      <c r="F44" s="1934"/>
      <c r="G44" s="1934"/>
      <c r="H44" s="1934"/>
      <c r="I44" s="1934"/>
      <c r="J44" s="1934"/>
      <c r="K44" s="1934"/>
      <c r="L44" s="1934"/>
      <c r="M44" s="1934"/>
      <c r="N44" s="1935"/>
    </row>
    <row r="45" spans="1:14" x14ac:dyDescent="0.2">
      <c r="A45" s="1933" t="s">
        <v>2024</v>
      </c>
      <c r="B45" s="1934"/>
      <c r="C45" s="1934"/>
      <c r="D45" s="1934"/>
      <c r="E45" s="1934"/>
      <c r="F45" s="1934"/>
      <c r="G45" s="1934"/>
      <c r="H45" s="1934"/>
      <c r="I45" s="1934"/>
      <c r="J45" s="1934"/>
      <c r="K45" s="1934"/>
      <c r="L45" s="1934"/>
      <c r="M45" s="1934"/>
      <c r="N45" s="1935"/>
    </row>
    <row r="46" spans="1:14" x14ac:dyDescent="0.2">
      <c r="A46" s="2561" t="s">
        <v>2025</v>
      </c>
      <c r="B46" s="2562"/>
      <c r="C46" s="2562"/>
      <c r="D46" s="2562"/>
      <c r="E46" s="2562"/>
      <c r="F46" s="2562"/>
      <c r="G46" s="2562"/>
      <c r="H46" s="2562"/>
      <c r="I46" s="2562"/>
      <c r="J46" s="2562"/>
      <c r="K46" s="2562"/>
      <c r="L46" s="2562"/>
      <c r="M46" s="2562"/>
      <c r="N46" s="2563"/>
    </row>
    <row r="47" spans="1:14" x14ac:dyDescent="0.2">
      <c r="A47" s="2561"/>
      <c r="B47" s="2562"/>
      <c r="C47" s="2562"/>
      <c r="D47" s="2562"/>
      <c r="E47" s="2562"/>
      <c r="F47" s="2562"/>
      <c r="G47" s="2562"/>
      <c r="H47" s="2562"/>
      <c r="I47" s="2562"/>
      <c r="J47" s="2562"/>
      <c r="K47" s="2562"/>
      <c r="L47" s="2562"/>
      <c r="M47" s="2562"/>
      <c r="N47" s="2563"/>
    </row>
    <row r="48" spans="1:14" x14ac:dyDescent="0.2">
      <c r="A48" s="1936"/>
      <c r="B48" s="1934"/>
      <c r="C48" s="1934"/>
      <c r="D48" s="1937"/>
      <c r="E48" s="1937"/>
      <c r="F48" s="1937"/>
      <c r="G48" s="1937"/>
      <c r="H48" s="1937"/>
      <c r="I48" s="1937"/>
      <c r="J48" s="1937"/>
      <c r="K48" s="1937"/>
      <c r="L48" s="1937"/>
      <c r="M48" s="1937"/>
      <c r="N48" s="1938"/>
    </row>
    <row r="49" spans="1:14" s="1978" customFormat="1" ht="15.75" x14ac:dyDescent="0.25">
      <c r="A49" s="1979" t="s">
        <v>2041</v>
      </c>
      <c r="B49" s="1975"/>
      <c r="C49" s="1975"/>
      <c r="D49" s="1976"/>
      <c r="E49" s="1976"/>
      <c r="F49" s="1976"/>
      <c r="G49" s="1976"/>
      <c r="H49" s="1976"/>
      <c r="I49" s="1976"/>
      <c r="J49" s="1976"/>
      <c r="K49" s="1976"/>
      <c r="L49" s="1976"/>
      <c r="M49" s="1976"/>
      <c r="N49" s="1977"/>
    </row>
    <row r="50" spans="1:14" ht="15" x14ac:dyDescent="0.25">
      <c r="A50" s="1979" t="s">
        <v>2040</v>
      </c>
      <c r="B50" s="1934"/>
      <c r="C50" s="1934"/>
      <c r="D50" s="1934"/>
      <c r="E50" s="1934"/>
      <c r="F50" s="1934"/>
      <c r="G50" s="1934"/>
      <c r="H50" s="1934"/>
      <c r="I50" s="1934"/>
      <c r="J50" s="1934"/>
      <c r="K50" s="1934"/>
      <c r="L50" s="1934"/>
      <c r="M50" s="1934"/>
      <c r="N50" s="1935"/>
    </row>
    <row r="51" spans="1:14" x14ac:dyDescent="0.2">
      <c r="A51" s="1933"/>
      <c r="B51" s="1934"/>
      <c r="C51" s="1934"/>
      <c r="D51" s="1934"/>
      <c r="E51" s="1934"/>
      <c r="F51" s="1934"/>
      <c r="G51" s="1934"/>
      <c r="H51" s="1934"/>
      <c r="I51" s="1934"/>
      <c r="J51" s="1934"/>
      <c r="K51" s="1934"/>
      <c r="L51" s="1934"/>
      <c r="M51" s="1934"/>
      <c r="N51" s="1935"/>
    </row>
    <row r="52" spans="1:14" x14ac:dyDescent="0.2">
      <c r="A52" s="1933"/>
      <c r="B52" s="1934"/>
      <c r="C52" s="1934"/>
      <c r="D52" s="1934"/>
      <c r="E52" s="1934"/>
      <c r="F52" s="1934"/>
      <c r="G52" s="1934"/>
      <c r="H52" s="1934"/>
      <c r="I52" s="1934"/>
      <c r="J52" s="1934"/>
      <c r="K52" s="1875" t="s">
        <v>1020</v>
      </c>
      <c r="L52" s="2534" t="str">
        <f>J6</f>
        <v xml:space="preserve">   SD U46 - Elgin</v>
      </c>
      <c r="M52" s="2534"/>
      <c r="N52" s="2564"/>
    </row>
    <row r="53" spans="1:14" x14ac:dyDescent="0.2">
      <c r="A53" s="1933"/>
      <c r="B53" s="1934"/>
      <c r="C53" s="1934"/>
      <c r="D53" s="1934"/>
      <c r="E53" s="1934"/>
      <c r="F53" s="1934"/>
      <c r="G53" s="1934"/>
      <c r="H53" s="1934"/>
      <c r="I53" s="1934"/>
      <c r="J53" s="1934"/>
      <c r="K53" s="1875" t="s">
        <v>368</v>
      </c>
      <c r="L53" s="2539">
        <f>J7</f>
        <v>31045046022</v>
      </c>
      <c r="M53" s="2539"/>
      <c r="N53" s="2565"/>
    </row>
    <row r="54" spans="1:14" ht="13.5" thickBot="1" x14ac:dyDescent="0.25">
      <c r="A54" s="1933"/>
      <c r="B54" s="1934"/>
      <c r="C54" s="1934"/>
      <c r="D54" s="1934"/>
      <c r="E54" s="1934"/>
      <c r="F54" s="1934"/>
      <c r="G54" s="1934"/>
      <c r="H54" s="1934"/>
      <c r="I54" s="1934"/>
      <c r="J54" s="1934"/>
      <c r="K54" s="1934"/>
      <c r="L54" s="1934"/>
      <c r="M54" s="1934"/>
      <c r="N54" s="1935"/>
    </row>
    <row r="55" spans="1:14" x14ac:dyDescent="0.2">
      <c r="A55" s="2566"/>
      <c r="B55" s="2567"/>
      <c r="C55" s="2567"/>
      <c r="D55" s="1921"/>
      <c r="E55" s="1921"/>
      <c r="F55" s="1921"/>
      <c r="G55" s="2568" t="s">
        <v>2026</v>
      </c>
      <c r="H55" s="2568"/>
      <c r="I55" s="2568"/>
      <c r="J55" s="2568"/>
      <c r="K55" s="2568"/>
      <c r="L55" s="2568"/>
      <c r="M55" s="2568"/>
      <c r="N55" s="2569"/>
    </row>
    <row r="56" spans="1:14" ht="63.75" x14ac:dyDescent="0.2">
      <c r="A56" s="2570" t="s">
        <v>2027</v>
      </c>
      <c r="B56" s="2571"/>
      <c r="C56" s="2572"/>
      <c r="D56" s="1915" t="s">
        <v>2028</v>
      </c>
      <c r="E56" s="1915" t="s">
        <v>2029</v>
      </c>
      <c r="F56" s="1922"/>
      <c r="G56" s="1915" t="s">
        <v>2030</v>
      </c>
      <c r="H56" s="1915" t="s">
        <v>2031</v>
      </c>
      <c r="I56" s="1915" t="s">
        <v>2032</v>
      </c>
      <c r="J56" s="1915" t="s">
        <v>2033</v>
      </c>
      <c r="K56" s="1915" t="s">
        <v>2034</v>
      </c>
      <c r="L56" s="1915" t="s">
        <v>2035</v>
      </c>
      <c r="M56" s="1915" t="s">
        <v>2036</v>
      </c>
      <c r="N56" s="1916" t="s">
        <v>2043</v>
      </c>
    </row>
    <row r="57" spans="1:14" ht="24.75" customHeight="1" x14ac:dyDescent="0.2">
      <c r="A57" s="2573" t="s">
        <v>295</v>
      </c>
      <c r="B57" s="2574"/>
      <c r="C57" s="2574"/>
      <c r="D57" s="1917">
        <v>2361</v>
      </c>
      <c r="E57" s="1927">
        <f>'Expenditures 15-22'!K319</f>
        <v>24356</v>
      </c>
      <c r="F57" s="1923"/>
      <c r="G57" s="1980"/>
      <c r="H57" s="1981"/>
      <c r="I57" s="1981"/>
      <c r="J57" s="1981"/>
      <c r="K57" s="1981"/>
      <c r="L57" s="1981"/>
      <c r="M57" s="1981">
        <v>24356</v>
      </c>
      <c r="N57" s="1926">
        <f>IF((SUM(G57:M57))=E57,SUM(G57:M57),"Column N does not agree with Column E")</f>
        <v>24356</v>
      </c>
    </row>
    <row r="58" spans="1:14" ht="24" customHeight="1" x14ac:dyDescent="0.2">
      <c r="A58" s="2552" t="s">
        <v>2037</v>
      </c>
      <c r="B58" s="2553"/>
      <c r="C58" s="2553"/>
      <c r="D58" s="1918">
        <v>2362</v>
      </c>
      <c r="E58" s="1928">
        <f>'Expenditures 15-22'!K320</f>
        <v>2656830</v>
      </c>
      <c r="F58" s="1923"/>
      <c r="G58" s="1982"/>
      <c r="H58" s="1983"/>
      <c r="I58" s="1983"/>
      <c r="J58" s="1983"/>
      <c r="K58" s="1983"/>
      <c r="L58" s="1983"/>
      <c r="M58" s="1983">
        <f>E58</f>
        <v>2656830</v>
      </c>
      <c r="N58" s="1926">
        <f>IF((SUM(G58:M58))=E58,SUM(G58:M58),"Column N does not agree with Column E")</f>
        <v>2656830</v>
      </c>
    </row>
    <row r="59" spans="1:14" ht="24.75" customHeight="1" x14ac:dyDescent="0.2">
      <c r="A59" s="2575" t="s">
        <v>296</v>
      </c>
      <c r="B59" s="2576"/>
      <c r="C59" s="2576"/>
      <c r="D59" s="1918">
        <v>2363</v>
      </c>
      <c r="E59" s="1928">
        <f>'Expenditures 15-22'!K321</f>
        <v>0</v>
      </c>
      <c r="F59" s="1923"/>
      <c r="G59" s="1982"/>
      <c r="H59" s="1983"/>
      <c r="I59" s="1983"/>
      <c r="J59" s="1983"/>
      <c r="K59" s="1983"/>
      <c r="L59" s="1983"/>
      <c r="M59" s="1983"/>
      <c r="N59" s="1926">
        <f>IF((SUM(G59:M59))=E59,SUM(G59:M59),"Column N does not agree with Column E")</f>
        <v>0</v>
      </c>
    </row>
    <row r="60" spans="1:14" ht="24" customHeight="1" x14ac:dyDescent="0.2">
      <c r="A60" s="2575" t="s">
        <v>236</v>
      </c>
      <c r="B60" s="2576"/>
      <c r="C60" s="2576"/>
      <c r="D60" s="1918">
        <v>2364</v>
      </c>
      <c r="E60" s="1928">
        <f>'Expenditures 15-22'!K322</f>
        <v>106287</v>
      </c>
      <c r="F60" s="1923"/>
      <c r="G60" s="1982"/>
      <c r="H60" s="1983"/>
      <c r="I60" s="1983"/>
      <c r="J60" s="1983"/>
      <c r="K60" s="1983"/>
      <c r="L60" s="1983"/>
      <c r="M60" s="1983">
        <f>E60</f>
        <v>106287</v>
      </c>
      <c r="N60" s="1926">
        <f t="shared" ref="N60:N67" si="4">IF((SUM(G60:M60))=E60,SUM(G60:M60),"Column N does not agree with Column E")</f>
        <v>106287</v>
      </c>
    </row>
    <row r="61" spans="1:14" ht="24.75" customHeight="1" x14ac:dyDescent="0.2">
      <c r="A61" s="2575" t="s">
        <v>696</v>
      </c>
      <c r="B61" s="2576"/>
      <c r="C61" s="2576"/>
      <c r="D61" s="1918">
        <v>2365</v>
      </c>
      <c r="E61" s="1928">
        <f>'Expenditures 15-22'!K323</f>
        <v>0</v>
      </c>
      <c r="F61" s="1923"/>
      <c r="G61" s="1982"/>
      <c r="H61" s="1983"/>
      <c r="I61" s="1983"/>
      <c r="J61" s="1983"/>
      <c r="K61" s="1983"/>
      <c r="L61" s="1983"/>
      <c r="M61" s="1983"/>
      <c r="N61" s="1926">
        <f t="shared" si="4"/>
        <v>0</v>
      </c>
    </row>
    <row r="62" spans="1:14" ht="24" customHeight="1" x14ac:dyDescent="0.2">
      <c r="A62" s="2575" t="s">
        <v>237</v>
      </c>
      <c r="B62" s="2576"/>
      <c r="C62" s="2576"/>
      <c r="D62" s="1918">
        <v>2366</v>
      </c>
      <c r="E62" s="1928">
        <f>'Expenditures 15-22'!K324</f>
        <v>1784684</v>
      </c>
      <c r="F62" s="1923"/>
      <c r="G62" s="1982"/>
      <c r="H62" s="1983"/>
      <c r="I62" s="1983"/>
      <c r="J62" s="1983"/>
      <c r="K62" s="1983"/>
      <c r="L62" s="1983"/>
      <c r="M62" s="1983">
        <f>E62</f>
        <v>1784684</v>
      </c>
      <c r="N62" s="1926">
        <f t="shared" si="4"/>
        <v>1784684</v>
      </c>
    </row>
    <row r="63" spans="1:14" ht="24" customHeight="1" x14ac:dyDescent="0.2">
      <c r="A63" s="2552" t="s">
        <v>1021</v>
      </c>
      <c r="B63" s="2553"/>
      <c r="C63" s="2553"/>
      <c r="D63" s="1918">
        <v>2367</v>
      </c>
      <c r="E63" s="1928">
        <f>'Expenditures 15-22'!K325</f>
        <v>1570822</v>
      </c>
      <c r="F63" s="1923"/>
      <c r="G63" s="1982">
        <v>415463</v>
      </c>
      <c r="H63" s="1983"/>
      <c r="I63" s="1983"/>
      <c r="J63" s="1983"/>
      <c r="K63" s="1983"/>
      <c r="L63" s="1983"/>
      <c r="M63" s="1983">
        <f>E63-G63</f>
        <v>1155359</v>
      </c>
      <c r="N63" s="1926">
        <f t="shared" si="4"/>
        <v>1570822</v>
      </c>
    </row>
    <row r="64" spans="1:14" ht="24" customHeight="1" x14ac:dyDescent="0.2">
      <c r="A64" s="2575" t="s">
        <v>1022</v>
      </c>
      <c r="B64" s="2576"/>
      <c r="C64" s="2576"/>
      <c r="D64" s="1918">
        <v>2368</v>
      </c>
      <c r="E64" s="1928">
        <f>'Expenditures 15-22'!K326</f>
        <v>0</v>
      </c>
      <c r="F64" s="1923"/>
      <c r="G64" s="1982"/>
      <c r="H64" s="1983"/>
      <c r="I64" s="1983"/>
      <c r="J64" s="1983"/>
      <c r="K64" s="1983"/>
      <c r="L64" s="1983"/>
      <c r="M64" s="1983"/>
      <c r="N64" s="1926">
        <f t="shared" si="4"/>
        <v>0</v>
      </c>
    </row>
    <row r="65" spans="1:14" ht="24" customHeight="1" x14ac:dyDescent="0.2">
      <c r="A65" s="2575" t="s">
        <v>964</v>
      </c>
      <c r="B65" s="2576"/>
      <c r="C65" s="2576"/>
      <c r="D65" s="1918">
        <v>2369</v>
      </c>
      <c r="E65" s="1928">
        <f>'Expenditures 15-22'!K327</f>
        <v>168649</v>
      </c>
      <c r="F65" s="1923"/>
      <c r="G65" s="1982"/>
      <c r="H65" s="1983"/>
      <c r="I65" s="1983"/>
      <c r="J65" s="1983"/>
      <c r="K65" s="1983"/>
      <c r="L65" s="1983"/>
      <c r="M65" s="1983">
        <f>E65</f>
        <v>168649</v>
      </c>
      <c r="N65" s="1926">
        <f t="shared" si="4"/>
        <v>168649</v>
      </c>
    </row>
    <row r="66" spans="1:14" ht="24" customHeight="1" x14ac:dyDescent="0.2">
      <c r="A66" s="2575" t="s">
        <v>468</v>
      </c>
      <c r="B66" s="2576"/>
      <c r="C66" s="2576"/>
      <c r="D66" s="1918">
        <v>2371</v>
      </c>
      <c r="E66" s="1928">
        <f>'Expenditures 15-22'!K328</f>
        <v>406747</v>
      </c>
      <c r="F66" s="1923"/>
      <c r="G66" s="1982"/>
      <c r="H66" s="1983"/>
      <c r="I66" s="1983"/>
      <c r="J66" s="1983"/>
      <c r="K66" s="1983"/>
      <c r="L66" s="1983"/>
      <c r="M66" s="1983">
        <f>E66</f>
        <v>406747</v>
      </c>
      <c r="N66" s="1926">
        <f t="shared" si="4"/>
        <v>406747</v>
      </c>
    </row>
    <row r="67" spans="1:14" ht="24.75" customHeight="1" x14ac:dyDescent="0.2">
      <c r="A67" s="2577" t="s">
        <v>2038</v>
      </c>
      <c r="B67" s="2578"/>
      <c r="C67" s="2578"/>
      <c r="D67" s="1920">
        <v>2372</v>
      </c>
      <c r="E67" s="1929">
        <f>'Expenditures 15-22'!K329</f>
        <v>0</v>
      </c>
      <c r="F67" s="1923"/>
      <c r="G67" s="1984"/>
      <c r="H67" s="1985"/>
      <c r="I67" s="1985"/>
      <c r="J67" s="1985"/>
      <c r="K67" s="1985"/>
      <c r="L67" s="1985"/>
      <c r="M67" s="1985"/>
      <c r="N67" s="1926">
        <f t="shared" si="4"/>
        <v>0</v>
      </c>
    </row>
    <row r="68" spans="1:14" x14ac:dyDescent="0.2">
      <c r="A68" s="2579" t="s">
        <v>1150</v>
      </c>
      <c r="B68" s="2580"/>
      <c r="C68" s="2580"/>
      <c r="D68" s="1921"/>
      <c r="E68" s="1925">
        <f>SUM(E57:E67)</f>
        <v>6718375</v>
      </c>
      <c r="F68" s="1924"/>
      <c r="G68" s="1925">
        <f t="shared" ref="G68:N68" si="5">SUM(G57:G67)</f>
        <v>415463</v>
      </c>
      <c r="H68" s="1925">
        <f t="shared" si="5"/>
        <v>0</v>
      </c>
      <c r="I68" s="1925">
        <f t="shared" si="5"/>
        <v>0</v>
      </c>
      <c r="J68" s="1925">
        <f t="shared" si="5"/>
        <v>0</v>
      </c>
      <c r="K68" s="1925">
        <f t="shared" si="5"/>
        <v>0</v>
      </c>
      <c r="L68" s="1925">
        <f t="shared" si="5"/>
        <v>0</v>
      </c>
      <c r="M68" s="1925">
        <f t="shared" si="5"/>
        <v>6302912</v>
      </c>
      <c r="N68" s="1939">
        <f t="shared" si="5"/>
        <v>6718375</v>
      </c>
    </row>
    <row r="69" spans="1:14" x14ac:dyDescent="0.2">
      <c r="A69" s="1940"/>
      <c r="B69" s="1941"/>
      <c r="C69" s="1941"/>
      <c r="D69" s="1941"/>
      <c r="E69" s="1941"/>
      <c r="F69" s="1941"/>
      <c r="G69" s="1941"/>
      <c r="H69" s="1941"/>
      <c r="I69" s="1941"/>
      <c r="J69" s="1941"/>
      <c r="K69" s="1941"/>
      <c r="L69" s="1941"/>
      <c r="M69" s="1941"/>
      <c r="N69" s="1942"/>
    </row>
    <row r="70" spans="1:14" ht="15.75" x14ac:dyDescent="0.25">
      <c r="A70" s="1974" t="s">
        <v>2039</v>
      </c>
      <c r="B70" s="1941"/>
      <c r="C70" s="1941"/>
      <c r="D70" s="1941"/>
      <c r="E70" s="1941"/>
      <c r="F70" s="1941"/>
      <c r="G70" s="1941"/>
      <c r="H70" s="1941"/>
      <c r="I70" s="1941"/>
      <c r="J70" s="1941"/>
      <c r="K70" s="1941"/>
      <c r="L70" s="1941"/>
      <c r="M70" s="1941"/>
      <c r="N70" s="1942"/>
    </row>
    <row r="71" spans="1:14" x14ac:dyDescent="0.2">
      <c r="A71" s="1940"/>
      <c r="B71" s="1941"/>
      <c r="C71" s="1941"/>
      <c r="D71" s="1941"/>
      <c r="E71" s="1941"/>
      <c r="F71" s="1941"/>
      <c r="G71" s="1941"/>
      <c r="H71" s="1941"/>
      <c r="I71" s="1941"/>
      <c r="J71" s="1941"/>
      <c r="K71" s="1941"/>
      <c r="L71" s="1941"/>
      <c r="M71" s="1941"/>
      <c r="N71" s="1942"/>
    </row>
    <row r="72" spans="1:14" x14ac:dyDescent="0.2">
      <c r="A72" s="1940"/>
      <c r="B72" s="1941"/>
      <c r="C72" s="1941"/>
      <c r="D72" s="1941"/>
      <c r="E72" s="1941"/>
      <c r="F72" s="1941"/>
      <c r="G72" s="1941"/>
      <c r="H72" s="1941"/>
      <c r="I72" s="1941"/>
      <c r="J72" s="1941"/>
      <c r="K72" s="1941"/>
      <c r="L72" s="1941"/>
      <c r="M72" s="1941"/>
      <c r="N72" s="1942"/>
    </row>
    <row r="73" spans="1:14" x14ac:dyDescent="0.2">
      <c r="A73" s="1940"/>
      <c r="B73" s="1941"/>
      <c r="C73" s="1941"/>
      <c r="D73" s="1941"/>
      <c r="E73" s="1941"/>
      <c r="F73" s="1941"/>
      <c r="G73" s="1941"/>
      <c r="H73" s="1941"/>
      <c r="I73" s="1941"/>
      <c r="J73" s="1941"/>
      <c r="K73" s="1941"/>
      <c r="L73" s="1941"/>
      <c r="M73" s="1941"/>
      <c r="N73" s="1942"/>
    </row>
    <row r="74" spans="1:14" x14ac:dyDescent="0.2">
      <c r="A74" s="1940"/>
      <c r="B74" s="1941"/>
      <c r="C74" s="1941"/>
      <c r="D74" s="1941"/>
      <c r="E74" s="1941"/>
      <c r="F74" s="1941"/>
      <c r="G74" s="1941"/>
      <c r="H74" s="1941"/>
      <c r="I74" s="1941"/>
      <c r="J74" s="1941"/>
      <c r="K74" s="1941"/>
      <c r="L74" s="1941"/>
      <c r="M74" s="1941"/>
      <c r="N74" s="1942"/>
    </row>
    <row r="75" spans="1:14" x14ac:dyDescent="0.2">
      <c r="A75" s="1940"/>
      <c r="B75" s="1941"/>
      <c r="C75" s="1941"/>
      <c r="D75" s="1941"/>
      <c r="E75" s="1941"/>
      <c r="F75" s="1941"/>
      <c r="G75" s="1941"/>
      <c r="H75" s="1941"/>
      <c r="I75" s="1941"/>
      <c r="J75" s="1941"/>
      <c r="K75" s="1941"/>
      <c r="L75" s="1941"/>
      <c r="M75" s="1941"/>
      <c r="N75" s="1942"/>
    </row>
    <row r="76" spans="1:14" x14ac:dyDescent="0.2">
      <c r="A76" s="1940"/>
      <c r="B76" s="1941"/>
      <c r="C76" s="1941"/>
      <c r="D76" s="1941"/>
      <c r="E76" s="1941"/>
      <c r="F76" s="1941"/>
      <c r="G76" s="1941"/>
      <c r="H76" s="1941"/>
      <c r="I76" s="1941"/>
      <c r="J76" s="1941"/>
      <c r="K76" s="1941"/>
      <c r="L76" s="1941"/>
      <c r="M76" s="1941"/>
      <c r="N76" s="1942"/>
    </row>
    <row r="77" spans="1:14" x14ac:dyDescent="0.2">
      <c r="A77" s="1940"/>
      <c r="B77" s="1941"/>
      <c r="C77" s="1941"/>
      <c r="D77" s="1941"/>
      <c r="E77" s="1941"/>
      <c r="F77" s="1941"/>
      <c r="G77" s="1941"/>
      <c r="H77" s="1941"/>
      <c r="I77" s="1941"/>
      <c r="J77" s="1941"/>
      <c r="K77" s="1941"/>
      <c r="L77" s="1941"/>
      <c r="M77" s="1941"/>
      <c r="N77" s="1942"/>
    </row>
    <row r="78" spans="1:14" x14ac:dyDescent="0.2">
      <c r="A78" s="1940"/>
      <c r="B78" s="1941"/>
      <c r="C78" s="1941"/>
      <c r="D78" s="1941"/>
      <c r="E78" s="1941"/>
      <c r="F78" s="1941"/>
      <c r="G78" s="1941"/>
      <c r="H78" s="1941"/>
      <c r="I78" s="1941"/>
      <c r="J78" s="1941"/>
      <c r="K78" s="1941"/>
      <c r="L78" s="1941"/>
      <c r="M78" s="1941"/>
      <c r="N78" s="1942"/>
    </row>
    <row r="79" spans="1:14" x14ac:dyDescent="0.2">
      <c r="A79" s="1940"/>
      <c r="B79" s="1941"/>
      <c r="C79" s="1941"/>
      <c r="D79" s="1941"/>
      <c r="E79" s="1941"/>
      <c r="F79" s="1941"/>
      <c r="G79" s="1941"/>
      <c r="H79" s="1941"/>
      <c r="I79" s="1941"/>
      <c r="J79" s="1941"/>
      <c r="K79" s="1941"/>
      <c r="L79" s="1941"/>
      <c r="M79" s="1941"/>
      <c r="N79" s="1942"/>
    </row>
    <row r="80" spans="1:14" x14ac:dyDescent="0.2">
      <c r="A80" s="1940"/>
      <c r="B80" s="1941"/>
      <c r="C80" s="1941"/>
      <c r="D80" s="1941"/>
      <c r="E80" s="1941"/>
      <c r="F80" s="1941"/>
      <c r="G80" s="1941"/>
      <c r="H80" s="1941"/>
      <c r="I80" s="1941"/>
      <c r="J80" s="1941"/>
      <c r="K80" s="1941"/>
      <c r="L80" s="1941"/>
      <c r="M80" s="1941"/>
      <c r="N80" s="1942"/>
    </row>
    <row r="81" spans="1:14" x14ac:dyDescent="0.2">
      <c r="A81" s="1940"/>
      <c r="B81" s="1941"/>
      <c r="C81" s="1941"/>
      <c r="D81" s="1941"/>
      <c r="E81" s="1941"/>
      <c r="F81" s="1941"/>
      <c r="G81" s="1941"/>
      <c r="H81" s="1941"/>
      <c r="I81" s="1941"/>
      <c r="J81" s="1941"/>
      <c r="K81" s="1941"/>
      <c r="L81" s="1941"/>
      <c r="M81" s="1941"/>
      <c r="N81" s="1942"/>
    </row>
    <row r="82" spans="1:14" x14ac:dyDescent="0.2">
      <c r="A82" s="1940"/>
      <c r="B82" s="1941"/>
      <c r="C82" s="1941"/>
      <c r="D82" s="1941"/>
      <c r="E82" s="1941"/>
      <c r="F82" s="1941"/>
      <c r="G82" s="1941"/>
      <c r="H82" s="1941"/>
      <c r="I82" s="1941"/>
      <c r="J82" s="1941"/>
      <c r="K82" s="1941"/>
      <c r="L82" s="1941"/>
      <c r="M82" s="1941"/>
      <c r="N82" s="1942"/>
    </row>
    <row r="83" spans="1:14" ht="13.5" thickBot="1" x14ac:dyDescent="0.25">
      <c r="A83" s="1943"/>
      <c r="B83" s="1944"/>
      <c r="C83" s="1944"/>
      <c r="D83" s="1944"/>
      <c r="E83" s="1944"/>
      <c r="F83" s="1944"/>
      <c r="G83" s="1944"/>
      <c r="H83" s="1944"/>
      <c r="I83" s="1944"/>
      <c r="J83" s="1944"/>
      <c r="K83" s="1944"/>
      <c r="L83" s="1944"/>
      <c r="M83" s="1944"/>
      <c r="N83" s="194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0" tint="-0.34998626667073579"/>
  </sheetPr>
  <dimension ref="A2:B64"/>
  <sheetViews>
    <sheetView showGridLines="0" zoomScale="110" zoomScaleNormal="110" workbookViewId="0">
      <selection activeCell="H36" sqref="H36"/>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2" x14ac:dyDescent="0.2">
      <c r="A2" s="366" t="s">
        <v>256</v>
      </c>
    </row>
    <row r="3" spans="1:2" x14ac:dyDescent="0.2">
      <c r="A3" s="307" t="s">
        <v>257</v>
      </c>
    </row>
    <row r="4" spans="1:2" x14ac:dyDescent="0.2">
      <c r="B4" s="548"/>
    </row>
    <row r="5" spans="1:2" x14ac:dyDescent="0.2">
      <c r="A5" s="847">
        <v>1</v>
      </c>
      <c r="B5" s="548" t="s">
        <v>2082</v>
      </c>
    </row>
    <row r="6" spans="1:2" x14ac:dyDescent="0.2">
      <c r="A6" s="847">
        <v>2</v>
      </c>
      <c r="B6" s="548" t="s">
        <v>2083</v>
      </c>
    </row>
    <row r="7" spans="1:2" x14ac:dyDescent="0.2">
      <c r="A7" s="847">
        <v>3</v>
      </c>
      <c r="B7" s="548" t="s">
        <v>2087</v>
      </c>
    </row>
    <row r="8" spans="1:2" x14ac:dyDescent="0.2">
      <c r="A8" s="847">
        <v>4</v>
      </c>
      <c r="B8" s="548" t="s">
        <v>2084</v>
      </c>
    </row>
    <row r="9" spans="1:2" x14ac:dyDescent="0.2">
      <c r="A9" s="848">
        <v>5</v>
      </c>
      <c r="B9" s="548" t="s">
        <v>2085</v>
      </c>
    </row>
    <row r="10" spans="1:2" x14ac:dyDescent="0.2">
      <c r="A10" s="848">
        <v>6</v>
      </c>
      <c r="B10" s="548" t="s">
        <v>2088</v>
      </c>
    </row>
    <row r="11" spans="1:2" x14ac:dyDescent="0.2">
      <c r="A11" s="848">
        <v>7</v>
      </c>
      <c r="B11" s="548" t="s">
        <v>2086</v>
      </c>
    </row>
    <row r="12" spans="1:2" x14ac:dyDescent="0.2">
      <c r="A12" s="848">
        <v>8</v>
      </c>
      <c r="B12" s="548" t="s">
        <v>2216</v>
      </c>
    </row>
    <row r="13" spans="1:2" x14ac:dyDescent="0.2">
      <c r="A13" s="848">
        <v>9</v>
      </c>
      <c r="B13" s="548" t="s">
        <v>2089</v>
      </c>
    </row>
    <row r="14" spans="1:2" x14ac:dyDescent="0.2">
      <c r="A14" s="848">
        <v>10</v>
      </c>
      <c r="B14" s="548" t="s">
        <v>2090</v>
      </c>
    </row>
    <row r="15" spans="1:2" x14ac:dyDescent="0.2">
      <c r="A15" s="848">
        <v>11</v>
      </c>
      <c r="B15" s="548" t="s">
        <v>2215</v>
      </c>
    </row>
    <row r="16" spans="1:2" x14ac:dyDescent="0.2">
      <c r="A16" s="848">
        <v>12</v>
      </c>
      <c r="B16" s="548" t="s">
        <v>2091</v>
      </c>
    </row>
    <row r="17" spans="1:2" x14ac:dyDescent="0.2">
      <c r="A17" s="848">
        <v>13</v>
      </c>
      <c r="B17" s="548" t="s">
        <v>2092</v>
      </c>
    </row>
    <row r="18" spans="1:2" x14ac:dyDescent="0.2">
      <c r="A18" s="848">
        <v>14</v>
      </c>
      <c r="B18" s="548" t="s">
        <v>2093</v>
      </c>
    </row>
    <row r="19" spans="1:2" x14ac:dyDescent="0.2">
      <c r="A19" s="848">
        <v>15</v>
      </c>
      <c r="B19" s="548" t="s">
        <v>2094</v>
      </c>
    </row>
    <row r="20" spans="1:2" x14ac:dyDescent="0.2">
      <c r="A20" s="848">
        <v>16</v>
      </c>
      <c r="B20" s="548" t="s">
        <v>2098</v>
      </c>
    </row>
    <row r="21" spans="1:2" x14ac:dyDescent="0.2">
      <c r="A21" s="848">
        <v>17</v>
      </c>
      <c r="B21" s="548" t="s">
        <v>2095</v>
      </c>
    </row>
    <row r="22" spans="1:2" x14ac:dyDescent="0.2">
      <c r="A22" s="848">
        <v>18</v>
      </c>
      <c r="B22" s="548" t="s">
        <v>2096</v>
      </c>
    </row>
    <row r="23" spans="1:2" x14ac:dyDescent="0.2">
      <c r="A23" s="848">
        <v>19</v>
      </c>
      <c r="B23" s="548" t="s">
        <v>2097</v>
      </c>
    </row>
    <row r="24" spans="1:2" ht="39" customHeight="1" x14ac:dyDescent="0.2">
      <c r="A24" s="2080">
        <v>20</v>
      </c>
      <c r="B24" s="2082" t="s">
        <v>2099</v>
      </c>
    </row>
    <row r="25" spans="1:2" x14ac:dyDescent="0.2">
      <c r="A25" s="848">
        <v>21</v>
      </c>
      <c r="B25" s="2083" t="s">
        <v>2214</v>
      </c>
    </row>
    <row r="26" spans="1:2" x14ac:dyDescent="0.2">
      <c r="A26" s="848"/>
      <c r="B26" s="2081"/>
    </row>
    <row r="27" spans="1:2" x14ac:dyDescent="0.2">
      <c r="A27" s="848"/>
      <c r="B27" s="2081"/>
    </row>
    <row r="28" spans="1:2" x14ac:dyDescent="0.2">
      <c r="A28" s="848"/>
      <c r="B28" s="2081"/>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 xml:space="preserve">   SD U46 - Elgin</v>
      </c>
    </row>
    <row r="64" spans="1:2" x14ac:dyDescent="0.2">
      <c r="B64" s="849">
        <f>COVER!A13</f>
        <v>31045046022</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0" tint="-0.34998626667073579"/>
  </sheetPr>
  <dimension ref="A1:D19"/>
  <sheetViews>
    <sheetView showGridLines="0" defaultGridColor="0" colorId="8" zoomScale="110" zoomScaleNormal="110" workbookViewId="0">
      <selection activeCell="H36" sqref="H36"/>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0" tint="-0.249977111117893"/>
  </sheetPr>
  <dimension ref="A11:F18"/>
  <sheetViews>
    <sheetView showGridLines="0" zoomScale="110" zoomScaleNormal="110" workbookViewId="0">
      <selection activeCell="E7" sqref="E7:F7"/>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81" t="s">
        <v>1664</v>
      </c>
      <c r="B18" s="2581"/>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51201" r:id="rId4">
          <objectPr defaultSize="0" r:id="rId5">
            <anchor moveWithCells="1">
              <from>
                <xdr:col>1</xdr:col>
                <xdr:colOff>0</xdr:colOff>
                <xdr:row>0</xdr:row>
                <xdr:rowOff>0</xdr:rowOff>
              </from>
              <to>
                <xdr:col>1</xdr:col>
                <xdr:colOff>914400</xdr:colOff>
                <xdr:row>3</xdr:row>
                <xdr:rowOff>161925</xdr:rowOff>
              </to>
            </anchor>
          </objectPr>
        </oleObject>
      </mc:Choice>
      <mc:Fallback>
        <oleObject progId="PDF" dvAspect="DVASPECT_ICON" shapeId="51201" r:id="rId4"/>
      </mc:Fallback>
    </mc:AlternateContent>
    <mc:AlternateContent xmlns:mc="http://schemas.openxmlformats.org/markup-compatibility/2006">
      <mc:Choice Requires="x14">
        <oleObject progId="PDF" dvAspect="DVASPECT_ICON" shapeId="51202" r:id="rId6">
          <objectPr defaultSize="0" r:id="rId7">
            <anchor moveWithCells="1">
              <from>
                <xdr:col>1</xdr:col>
                <xdr:colOff>0</xdr:colOff>
                <xdr:row>4</xdr:row>
                <xdr:rowOff>0</xdr:rowOff>
              </from>
              <to>
                <xdr:col>1</xdr:col>
                <xdr:colOff>914400</xdr:colOff>
                <xdr:row>7</xdr:row>
                <xdr:rowOff>161925</xdr:rowOff>
              </to>
            </anchor>
          </objectPr>
        </oleObject>
      </mc:Choice>
      <mc:Fallback>
        <oleObject progId="PDF" dvAspect="DVASPECT_ICON" shapeId="51202" r:id="rId6"/>
      </mc:Fallback>
    </mc:AlternateContent>
    <mc:AlternateContent xmlns:mc="http://schemas.openxmlformats.org/markup-compatibility/2006">
      <mc:Choice Requires="x14">
        <oleObject progId="PDF" dvAspect="DVASPECT_ICON" shapeId="51203" r:id="rId8">
          <objectPr defaultSize="0" r:id="rId9">
            <anchor moveWithCells="1">
              <from>
                <xdr:col>2</xdr:col>
                <xdr:colOff>0</xdr:colOff>
                <xdr:row>0</xdr:row>
                <xdr:rowOff>0</xdr:rowOff>
              </from>
              <to>
                <xdr:col>3</xdr:col>
                <xdr:colOff>276225</xdr:colOff>
                <xdr:row>3</xdr:row>
                <xdr:rowOff>161925</xdr:rowOff>
              </to>
            </anchor>
          </objectPr>
        </oleObject>
      </mc:Choice>
      <mc:Fallback>
        <oleObject progId="PDF" dvAspect="DVASPECT_ICON" shapeId="51203" r:id="rId8"/>
      </mc:Fallback>
    </mc:AlternateContent>
    <mc:AlternateContent xmlns:mc="http://schemas.openxmlformats.org/markup-compatibility/2006">
      <mc:Choice Requires="x14">
        <oleObject progId="PDF" dvAspect="DVASPECT_ICON" shapeId="51204" r:id="rId10">
          <objectPr defaultSize="0" r:id="rId11">
            <anchor moveWithCells="1">
              <from>
                <xdr:col>2</xdr:col>
                <xdr:colOff>0</xdr:colOff>
                <xdr:row>4</xdr:row>
                <xdr:rowOff>0</xdr:rowOff>
              </from>
              <to>
                <xdr:col>3</xdr:col>
                <xdr:colOff>276225</xdr:colOff>
                <xdr:row>7</xdr:row>
                <xdr:rowOff>161925</xdr:rowOff>
              </to>
            </anchor>
          </objectPr>
        </oleObject>
      </mc:Choice>
      <mc:Fallback>
        <oleObject progId="PDF" dvAspect="DVASPECT_ICON" shapeId="51204" r:id="rId10"/>
      </mc:Fallback>
    </mc:AlternateContent>
    <mc:AlternateContent xmlns:mc="http://schemas.openxmlformats.org/markup-compatibility/2006">
      <mc:Choice Requires="x14">
        <oleObject progId="Acrobat Document" dvAspect="DVASPECT_ICON" shapeId="51205" r:id="rId12">
          <objectPr defaultSize="0" r:id="rId13">
            <anchor moveWithCells="1">
              <from>
                <xdr:col>1</xdr:col>
                <xdr:colOff>1000125</xdr:colOff>
                <xdr:row>0</xdr:row>
                <xdr:rowOff>38100</xdr:rowOff>
              </from>
              <to>
                <xdr:col>1</xdr:col>
                <xdr:colOff>1914525</xdr:colOff>
                <xdr:row>5</xdr:row>
                <xdr:rowOff>0</xdr:rowOff>
              </to>
            </anchor>
          </objectPr>
        </oleObject>
      </mc:Choice>
      <mc:Fallback>
        <oleObject progId="Acrobat Document" dvAspect="DVASPECT_ICON" shapeId="51205" r:id="rId12"/>
      </mc:Fallback>
    </mc:AlternateContent>
    <mc:AlternateContent xmlns:mc="http://schemas.openxmlformats.org/markup-compatibility/2006">
      <mc:Choice Requires="x14">
        <oleObject progId="Acrobat Document" dvAspect="DVASPECT_ICON" shapeId="51206" r:id="rId14">
          <objectPr defaultSize="0" r:id="rId15">
            <anchor moveWithCells="1">
              <from>
                <xdr:col>1</xdr:col>
                <xdr:colOff>981075</xdr:colOff>
                <xdr:row>5</xdr:row>
                <xdr:rowOff>104775</xdr:rowOff>
              </from>
              <to>
                <xdr:col>1</xdr:col>
                <xdr:colOff>1895475</xdr:colOff>
                <xdr:row>10</xdr:row>
                <xdr:rowOff>66675</xdr:rowOff>
              </to>
            </anchor>
          </objectPr>
        </oleObject>
      </mc:Choice>
      <mc:Fallback>
        <oleObject progId="Acrobat Document" dvAspect="DVASPECT_ICON" shapeId="51206" r:id="rId14"/>
      </mc:Fallback>
    </mc:AlternateContent>
    <mc:AlternateContent xmlns:mc="http://schemas.openxmlformats.org/markup-compatibility/2006">
      <mc:Choice Requires="x14">
        <oleObject progId="Acrobat Document" dvAspect="DVASPECT_ICON" shapeId="51207" r:id="rId16">
          <objectPr defaultSize="0" r:id="rId17">
            <anchor moveWithCells="1">
              <from>
                <xdr:col>3</xdr:col>
                <xdr:colOff>400050</xdr:colOff>
                <xdr:row>0</xdr:row>
                <xdr:rowOff>0</xdr:rowOff>
              </from>
              <to>
                <xdr:col>5</xdr:col>
                <xdr:colOff>76200</xdr:colOff>
                <xdr:row>4</xdr:row>
                <xdr:rowOff>123825</xdr:rowOff>
              </to>
            </anchor>
          </objectPr>
        </oleObject>
      </mc:Choice>
      <mc:Fallback>
        <oleObject progId="Acrobat Document" dvAspect="DVASPECT_ICON" shapeId="51207" r:id="rId16"/>
      </mc:Fallback>
    </mc:AlternateContent>
    <mc:AlternateContent xmlns:mc="http://schemas.openxmlformats.org/markup-compatibility/2006">
      <mc:Choice Requires="x14">
        <oleObject progId="Acrobat Document" dvAspect="DVASPECT_ICON" shapeId="51208" r:id="rId18">
          <objectPr defaultSize="0" r:id="rId19">
            <anchor moveWithCells="1">
              <from>
                <xdr:col>3</xdr:col>
                <xdr:colOff>381000</xdr:colOff>
                <xdr:row>5</xdr:row>
                <xdr:rowOff>38100</xdr:rowOff>
              </from>
              <to>
                <xdr:col>5</xdr:col>
                <xdr:colOff>57150</xdr:colOff>
                <xdr:row>10</xdr:row>
                <xdr:rowOff>0</xdr:rowOff>
              </to>
            </anchor>
          </objectPr>
        </oleObject>
      </mc:Choice>
      <mc:Fallback>
        <oleObject progId="Acrobat Document" dvAspect="DVASPECT_ICON" shapeId="51208"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0" tint="-0.34998626667073579"/>
    <pageSetUpPr fitToPage="1"/>
  </sheetPr>
  <dimension ref="A1:H48"/>
  <sheetViews>
    <sheetView showGridLines="0" showZeros="0" zoomScale="110" zoomScaleNormal="110" workbookViewId="0">
      <selection activeCell="H36" sqref="H36"/>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582" t="s">
        <v>1668</v>
      </c>
      <c r="B1" s="2583"/>
      <c r="C1" s="2583"/>
      <c r="D1" s="2583"/>
      <c r="E1" s="2583"/>
      <c r="F1" s="2584"/>
    </row>
    <row r="2" spans="1:8" ht="45" customHeight="1" x14ac:dyDescent="0.2">
      <c r="A2" s="25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93"/>
      <c r="C2" s="2593"/>
      <c r="D2" s="2593"/>
      <c r="E2" s="2593"/>
      <c r="F2" s="2594"/>
      <c r="G2" s="853"/>
      <c r="H2" s="853"/>
    </row>
    <row r="3" spans="1:8" ht="57" customHeight="1" x14ac:dyDescent="0.2">
      <c r="A3" s="2595" t="s">
        <v>1968</v>
      </c>
      <c r="B3" s="2596"/>
      <c r="C3" s="2596"/>
      <c r="D3" s="2596"/>
      <c r="E3" s="2596"/>
      <c r="F3" s="2597"/>
      <c r="G3" s="853"/>
      <c r="H3" s="853"/>
    </row>
    <row r="4" spans="1:8" ht="14.25" customHeight="1" x14ac:dyDescent="0.2">
      <c r="A4" s="26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02"/>
      <c r="C4" s="2602"/>
      <c r="D4" s="2602"/>
      <c r="E4" s="2602"/>
      <c r="F4" s="2603"/>
      <c r="G4" s="853"/>
      <c r="H4" s="853"/>
    </row>
    <row r="5" spans="1:8" ht="14.25" customHeight="1" x14ac:dyDescent="0.2">
      <c r="A5" s="26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05"/>
      <c r="C5" s="2605"/>
      <c r="D5" s="2605"/>
      <c r="E5" s="2605"/>
      <c r="F5" s="2606"/>
      <c r="G5" s="853"/>
      <c r="H5" s="853"/>
    </row>
    <row r="6" spans="1:8" s="854" customFormat="1" ht="41.25" customHeight="1" x14ac:dyDescent="0.2">
      <c r="A6" s="2598" t="s">
        <v>1669</v>
      </c>
      <c r="B6" s="2599"/>
      <c r="C6" s="2599"/>
      <c r="D6" s="2599"/>
      <c r="E6" s="2599"/>
      <c r="F6" s="2600"/>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456643337</v>
      </c>
      <c r="C8" s="1813">
        <f>'Acct Summary 7-8'!D8</f>
        <v>54642188</v>
      </c>
      <c r="D8" s="1813">
        <f>'Acct Summary 7-8'!F8</f>
        <v>32006739</v>
      </c>
      <c r="E8" s="1813">
        <f>'Acct Summary 7-8'!I8</f>
        <v>6325232</v>
      </c>
      <c r="F8" s="1813">
        <f>SUM(B8:E8)</f>
        <v>549617496</v>
      </c>
    </row>
    <row r="9" spans="1:8" s="858" customFormat="1" ht="14.25" customHeight="1" thickBot="1" x14ac:dyDescent="0.25">
      <c r="A9" s="857" t="s">
        <v>1352</v>
      </c>
      <c r="B9" s="1814">
        <f>'Acct Summary 7-8'!C17</f>
        <v>416282500</v>
      </c>
      <c r="C9" s="1814">
        <f>'Acct Summary 7-8'!D17</f>
        <v>74828757</v>
      </c>
      <c r="D9" s="1814">
        <f>'Acct Summary 7-8'!F17</f>
        <v>29518816</v>
      </c>
      <c r="E9" s="1813"/>
      <c r="F9" s="1813">
        <f>SUM(B9:E9)</f>
        <v>520630073</v>
      </c>
    </row>
    <row r="10" spans="1:8" s="858" customFormat="1" ht="14.25" thickTop="1" thickBot="1" x14ac:dyDescent="0.25">
      <c r="A10" s="859" t="s">
        <v>1353</v>
      </c>
      <c r="B10" s="1815">
        <f>(B8-B9)</f>
        <v>40360837</v>
      </c>
      <c r="C10" s="1815">
        <f>(C8-C9)</f>
        <v>-20186569</v>
      </c>
      <c r="D10" s="1815">
        <f>(D8-D9)</f>
        <v>2487923</v>
      </c>
      <c r="E10" s="1814">
        <f>(E8-E9)</f>
        <v>6325232</v>
      </c>
      <c r="F10" s="1816">
        <f>SUM(F8-F9)</f>
        <v>28987423</v>
      </c>
    </row>
    <row r="11" spans="1:8" s="858" customFormat="1" ht="14.25" thickTop="1" thickBot="1" x14ac:dyDescent="0.25">
      <c r="A11" s="860" t="s">
        <v>1899</v>
      </c>
      <c r="B11" s="1817">
        <f>'Acct Summary 7-8'!C81</f>
        <v>190181811</v>
      </c>
      <c r="C11" s="1817">
        <f>'Acct Summary 7-8'!D81</f>
        <v>-8352494</v>
      </c>
      <c r="D11" s="1817">
        <f>'Acct Summary 7-8'!F81</f>
        <v>20800702</v>
      </c>
      <c r="E11" s="1817">
        <f>'Acct Summary 7-8'!I81</f>
        <v>112720155</v>
      </c>
      <c r="F11" s="1818">
        <f>SUM(B11:E11)</f>
        <v>315350174</v>
      </c>
    </row>
    <row r="12" spans="1:8" ht="16.5" customHeight="1" thickTop="1" x14ac:dyDescent="0.2">
      <c r="A12" s="861"/>
      <c r="B12" s="862"/>
      <c r="C12" s="2586" t="str">
        <f>IF(AND(F10&lt;0,F11&gt;=0,ABS(F10*3)&gt;ABS(F11)),A16,IF(AND(F10&lt;0,F11&gt;0,ABS(F10*3)&lt;=ABS(F11)),A17,IF(AND(F10&lt;0,F11&lt;0),A16,IF(F11=0,A19,A18))))</f>
        <v>Balanced - no deficit reduction plan is required.</v>
      </c>
      <c r="D12" s="2587"/>
      <c r="E12" s="2587"/>
      <c r="F12" s="2588"/>
    </row>
    <row r="13" spans="1:8" ht="19.5" customHeight="1" x14ac:dyDescent="0.2">
      <c r="A13" s="863"/>
      <c r="B13" s="864"/>
      <c r="C13" s="2586"/>
      <c r="D13" s="2587"/>
      <c r="E13" s="2587"/>
      <c r="F13" s="2588"/>
      <c r="H13" s="853"/>
    </row>
    <row r="14" spans="1:8" ht="19.5" customHeight="1" x14ac:dyDescent="0.2">
      <c r="A14" s="863"/>
      <c r="B14" s="864"/>
      <c r="C14" s="2586"/>
      <c r="D14" s="2587"/>
      <c r="E14" s="2587"/>
      <c r="F14" s="2588"/>
      <c r="H14" s="853"/>
    </row>
    <row r="15" spans="1:8" ht="17.25" customHeight="1" x14ac:dyDescent="0.2">
      <c r="A15" s="863"/>
      <c r="B15" s="864"/>
      <c r="C15" s="2589"/>
      <c r="D15" s="2590"/>
      <c r="E15" s="2590"/>
      <c r="F15" s="2591"/>
      <c r="H15" s="853"/>
    </row>
    <row r="16" spans="1:8" s="288" customFormat="1" ht="51.75" hidden="1" customHeight="1" x14ac:dyDescent="0.2">
      <c r="A16" s="2585" t="s">
        <v>1665</v>
      </c>
      <c r="B16" s="2585"/>
      <c r="C16" s="2585"/>
      <c r="D16" s="2585"/>
      <c r="E16" s="2585"/>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C31" sqref="C31"/>
    </sheetView>
  </sheetViews>
  <sheetFormatPr defaultColWidth="9.28515625" defaultRowHeight="12" x14ac:dyDescent="0.2"/>
  <cols>
    <col min="1" max="1" width="2.7109375" style="912" customWidth="1"/>
    <col min="2" max="2" width="3.28515625" style="912" customWidth="1"/>
    <col min="3" max="3" width="96.28515625" style="852" customWidth="1"/>
    <col min="4" max="4" width="42.28515625" style="237" customWidth="1"/>
    <col min="5" max="5" width="2.7109375" style="871" customWidth="1"/>
    <col min="6" max="6" width="1" style="871" customWidth="1"/>
    <col min="7" max="16384" width="9.28515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607" t="s">
        <v>659</v>
      </c>
      <c r="B3" s="2608"/>
      <c r="C3" s="2608"/>
      <c r="D3" s="2609"/>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618" t="s">
        <v>1486</v>
      </c>
      <c r="D7" s="2619"/>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610" t="s">
        <v>1000</v>
      </c>
      <c r="B15" s="2611"/>
      <c r="C15" s="2611"/>
      <c r="D15" s="2612"/>
    </row>
    <row r="16" spans="1:4" s="542" customFormat="1" ht="24" customHeight="1" x14ac:dyDescent="0.2">
      <c r="A16" s="2613" t="s">
        <v>657</v>
      </c>
      <c r="B16" s="2614"/>
      <c r="C16" s="2614"/>
      <c r="D16" s="2615"/>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622" t="s">
        <v>310</v>
      </c>
      <c r="D21" s="2623"/>
    </row>
    <row r="22" spans="1:10" ht="12.75" x14ac:dyDescent="0.2">
      <c r="A22" s="918"/>
      <c r="B22" s="919">
        <v>2</v>
      </c>
      <c r="C22" s="2620" t="s">
        <v>1506</v>
      </c>
      <c r="D22" s="2621"/>
    </row>
    <row r="23" spans="1:10" ht="12.4" customHeight="1" x14ac:dyDescent="0.2">
      <c r="A23" s="918"/>
      <c r="B23" s="919"/>
      <c r="C23" s="920" t="s">
        <v>947</v>
      </c>
      <c r="D23" s="921" t="str">
        <f>IF(COVER!O11="X","CASH",IF(COVER!O12="X","ACCRUAL ","PLEASE CHECK AN ACCOUNTING BASIS."))</f>
        <v xml:space="preserve">ACCRUAL </v>
      </c>
    </row>
    <row r="24" spans="1:10" ht="12.4"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624" t="s">
        <v>532</v>
      </c>
      <c r="D43" s="2625"/>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616" t="s">
        <v>778</v>
      </c>
      <c r="D56" s="2617"/>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ERROR!</v>
      </c>
    </row>
    <row r="70" spans="1:4" x14ac:dyDescent="0.2">
      <c r="A70" s="877"/>
      <c r="B70" s="899">
        <f>B66+1</f>
        <v>9</v>
      </c>
      <c r="C70" s="2616" t="s">
        <v>1673</v>
      </c>
      <c r="D70" s="2617"/>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1" t="str">
        <f>IF('Contracts Paid in CY 29'!$D$338&gt;0,"OK","PLEASE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550</v>
      </c>
      <c r="B1" s="135" t="s">
        <v>259</v>
      </c>
      <c r="E1" s="1543" t="s">
        <v>1963</v>
      </c>
      <c r="F1" s="1543" t="s">
        <v>1964</v>
      </c>
      <c r="G1" s="1860" t="s">
        <v>1974</v>
      </c>
    </row>
    <row r="2" spans="1:7" ht="15.75" x14ac:dyDescent="0.25">
      <c r="A2" t="s">
        <v>260</v>
      </c>
      <c r="B2" s="135">
        <f>COVER!A13</f>
        <v>31045046022</v>
      </c>
      <c r="E2" s="1542">
        <v>2020</v>
      </c>
      <c r="F2" s="1542">
        <v>1</v>
      </c>
      <c r="G2" s="1859">
        <v>101000300</v>
      </c>
    </row>
    <row r="3" spans="1:7" ht="15" x14ac:dyDescent="0.25">
      <c r="A3" t="s">
        <v>949</v>
      </c>
      <c r="B3" s="135" t="str">
        <f>COVER!A15</f>
        <v>Kane</v>
      </c>
      <c r="E3" s="1830" t="s">
        <v>1967</v>
      </c>
      <c r="F3" s="1830" t="s">
        <v>1966</v>
      </c>
      <c r="G3" s="1859">
        <v>101000400</v>
      </c>
    </row>
    <row r="4" spans="1:7" ht="15" x14ac:dyDescent="0.25">
      <c r="A4" t="s">
        <v>999</v>
      </c>
      <c r="B4" s="135" t="str">
        <f>COVER!A17</f>
        <v xml:space="preserve">   SD U46 - Elgin</v>
      </c>
      <c r="E4" s="1828">
        <v>44119</v>
      </c>
      <c r="F4" s="1829">
        <v>44151</v>
      </c>
      <c r="G4" s="1859">
        <v>101000600</v>
      </c>
    </row>
    <row r="5" spans="1:7" ht="15" x14ac:dyDescent="0.25">
      <c r="A5" t="s">
        <v>698</v>
      </c>
      <c r="B5" s="135" t="str">
        <f>COVER!A38</f>
        <v>Jeff King, Deputy Superintendent of Operations</v>
      </c>
      <c r="G5" s="1859">
        <v>101000800</v>
      </c>
    </row>
    <row r="6" spans="1:7" ht="15" x14ac:dyDescent="0.25">
      <c r="A6" t="s">
        <v>703</v>
      </c>
      <c r="B6" s="135">
        <f>COVER!P35</f>
        <v>0</v>
      </c>
      <c r="G6" s="1859">
        <v>102100300</v>
      </c>
    </row>
    <row r="7" spans="1:7" ht="15" x14ac:dyDescent="0.25">
      <c r="A7" t="s">
        <v>699</v>
      </c>
      <c r="B7" s="135">
        <f>COVER!I38</f>
        <v>0</v>
      </c>
      <c r="G7" s="1859">
        <v>102100400</v>
      </c>
    </row>
    <row r="8" spans="1:7" ht="15" x14ac:dyDescent="0.25">
      <c r="A8" t="s">
        <v>700</v>
      </c>
      <c r="B8" s="135">
        <f>COVER!T38</f>
        <v>0</v>
      </c>
      <c r="G8" s="1859">
        <v>102100600</v>
      </c>
    </row>
    <row r="9" spans="1:7" ht="15" x14ac:dyDescent="0.25">
      <c r="A9" s="3" t="s">
        <v>950</v>
      </c>
      <c r="B9" s="153" t="str">
        <f>AUDITCHECK!D23</f>
        <v xml:space="preserve">ACCRUAL </v>
      </c>
      <c r="G9" s="1859">
        <v>102100800</v>
      </c>
    </row>
    <row r="10" spans="1:7" ht="15" x14ac:dyDescent="0.25">
      <c r="A10" t="s">
        <v>969</v>
      </c>
      <c r="B10" s="135" t="str">
        <f>COVER!B5</f>
        <v>x</v>
      </c>
      <c r="G10" s="1859">
        <v>202100300</v>
      </c>
    </row>
    <row r="11" spans="1:7" ht="15" x14ac:dyDescent="0.25">
      <c r="A11" t="s">
        <v>970</v>
      </c>
      <c r="B11" s="135">
        <f>COVER!B6</f>
        <v>0</v>
      </c>
      <c r="G11" s="1859">
        <v>202100400</v>
      </c>
    </row>
    <row r="12" spans="1:7" ht="15" x14ac:dyDescent="0.25">
      <c r="A12" s="1" t="s">
        <v>1525</v>
      </c>
      <c r="B12" s="135" t="str">
        <f>IF(COVER!J29="x","Yes",IF(COVER!L29="X","No",0))</f>
        <v>Yes</v>
      </c>
      <c r="G12" s="1859">
        <v>202100600</v>
      </c>
    </row>
    <row r="13" spans="1:7" ht="15" x14ac:dyDescent="0.25">
      <c r="A13" s="1" t="s">
        <v>1526</v>
      </c>
      <c r="B13" s="135" t="str">
        <f>IF(COVER!J30="x","Yes",IF(COVER!L30="x","No",0))</f>
        <v>Yes</v>
      </c>
      <c r="G13" s="1859">
        <v>202100800</v>
      </c>
    </row>
    <row r="14" spans="1:7" ht="15" x14ac:dyDescent="0.25">
      <c r="A14" t="s">
        <v>472</v>
      </c>
      <c r="B14" s="135" t="str">
        <f>IF(COVER!J31="x","Yes",IF(COVER!L31="x","No",0))</f>
        <v>No</v>
      </c>
      <c r="G14" s="1859">
        <v>402100300</v>
      </c>
    </row>
    <row r="15" spans="1:7" ht="15" x14ac:dyDescent="0.25">
      <c r="A15" t="s">
        <v>572</v>
      </c>
      <c r="B15" s="135" t="str">
        <f>COVER!T23</f>
        <v>066-003346</v>
      </c>
      <c r="G15" s="1859">
        <v>402100400</v>
      </c>
    </row>
    <row r="16" spans="1:7" ht="15" x14ac:dyDescent="0.25">
      <c r="A16" t="s">
        <v>418</v>
      </c>
      <c r="B16" s="135" t="str">
        <f>COVER!T13</f>
        <v>RSM US LLP</v>
      </c>
      <c r="G16" s="1859">
        <v>402100600</v>
      </c>
    </row>
    <row r="17" spans="1:7" ht="15" x14ac:dyDescent="0.25">
      <c r="A17" t="s">
        <v>877</v>
      </c>
      <c r="B17" s="135" t="str">
        <f>COVER!T15</f>
        <v>Katie Barry</v>
      </c>
      <c r="G17" s="1859">
        <v>402100800</v>
      </c>
    </row>
    <row r="18" spans="1:7" ht="15" x14ac:dyDescent="0.25">
      <c r="A18" t="s">
        <v>1139</v>
      </c>
      <c r="B18" s="135" t="str">
        <f>COVER!T17</f>
        <v>30 South Wacker Drive, Suite 3300</v>
      </c>
      <c r="G18" s="1859">
        <v>102200300</v>
      </c>
    </row>
    <row r="19" spans="1:7" ht="15" x14ac:dyDescent="0.25">
      <c r="A19" t="s">
        <v>879</v>
      </c>
      <c r="B19" s="135" t="str">
        <f>COVER!T25</f>
        <v>Katie.Barry@rsmus.com</v>
      </c>
      <c r="G19" s="1859">
        <v>102200400</v>
      </c>
    </row>
    <row r="20" spans="1:7" ht="15" x14ac:dyDescent="0.25">
      <c r="A20" t="s">
        <v>880</v>
      </c>
      <c r="B20" s="135" t="str">
        <f>COVER!T19</f>
        <v>Chicago</v>
      </c>
      <c r="G20" s="1859">
        <v>102200600</v>
      </c>
    </row>
    <row r="21" spans="1:7" ht="15" x14ac:dyDescent="0.25">
      <c r="A21" t="s">
        <v>475</v>
      </c>
      <c r="B21" s="135" t="str">
        <f>COVER!X19</f>
        <v>IL</v>
      </c>
      <c r="G21" s="1859">
        <v>102200800</v>
      </c>
    </row>
    <row r="22" spans="1:7" ht="15" x14ac:dyDescent="0.25">
      <c r="A22" t="s">
        <v>881</v>
      </c>
      <c r="B22" s="135">
        <f>COVER!Z19</f>
        <v>60606</v>
      </c>
      <c r="G22" s="1859">
        <v>102300300</v>
      </c>
    </row>
    <row r="23" spans="1:7" ht="15" x14ac:dyDescent="0.25">
      <c r="A23" t="s">
        <v>1141</v>
      </c>
      <c r="B23" s="135" t="str">
        <f>COVER!T21</f>
        <v>312-634-4415</v>
      </c>
      <c r="G23" s="1859">
        <v>102300400</v>
      </c>
    </row>
    <row r="24" spans="1:7" ht="15" x14ac:dyDescent="0.25">
      <c r="A24" t="s">
        <v>1140</v>
      </c>
      <c r="B24" s="135">
        <f>COVER!Y21</f>
        <v>0</v>
      </c>
      <c r="G24" s="1859">
        <v>102300600</v>
      </c>
    </row>
    <row r="25" spans="1:7" ht="15" x14ac:dyDescent="0.25">
      <c r="A25" t="s">
        <v>755</v>
      </c>
      <c r="B25" s="135">
        <f>COVER!B34</f>
        <v>0</v>
      </c>
      <c r="G25" s="1859">
        <v>102300800</v>
      </c>
    </row>
    <row r="26" spans="1:7" ht="15" x14ac:dyDescent="0.25">
      <c r="A26" t="s">
        <v>1142</v>
      </c>
      <c r="B26" s="135">
        <f>COVER!L34</f>
        <v>0</v>
      </c>
      <c r="G26" s="1859">
        <v>802300300</v>
      </c>
    </row>
    <row r="27" spans="1:7" ht="15" x14ac:dyDescent="0.25">
      <c r="A27" t="s">
        <v>265</v>
      </c>
      <c r="B27" s="135">
        <f>COVER!U34</f>
        <v>0</v>
      </c>
      <c r="G27" s="1859">
        <v>802300400</v>
      </c>
    </row>
    <row r="28" spans="1:7" ht="15" x14ac:dyDescent="0.25">
      <c r="A28" t="s">
        <v>312</v>
      </c>
      <c r="B28" s="135" t="str">
        <f>IF('Aud Quest 2'!B9="x","Yes",IF('Aud Quest 2'!B9&lt;&gt;"x","0"))</f>
        <v>0</v>
      </c>
      <c r="G28" s="1859">
        <v>802300600</v>
      </c>
    </row>
    <row r="29" spans="1:7" ht="15" x14ac:dyDescent="0.25">
      <c r="A29" t="s">
        <v>313</v>
      </c>
      <c r="B29" s="135" t="str">
        <f>IF('Aud Quest 2'!B11="x","Yes",IF('Aud Quest 2'!B11&lt;&gt;"x","0"))</f>
        <v>0</v>
      </c>
      <c r="G29" s="1859">
        <v>802300800</v>
      </c>
    </row>
    <row r="30" spans="1:7" ht="15" x14ac:dyDescent="0.25">
      <c r="A30" t="s">
        <v>314</v>
      </c>
      <c r="B30" s="135" t="str">
        <f>IF('Aud Quest 2'!B13="x","Yes",IF('Aud Quest 2'!B13&lt;&gt;"x","0"))</f>
        <v>0</v>
      </c>
      <c r="G30" s="1859">
        <v>102400300</v>
      </c>
    </row>
    <row r="31" spans="1:7" ht="15" x14ac:dyDescent="0.25">
      <c r="A31" t="s">
        <v>653</v>
      </c>
      <c r="B31" s="135" t="str">
        <f>IF('Aud Quest 2'!B14="x","Yes",IF('Aud Quest 2'!B14&lt;&gt;"x","0"))</f>
        <v>0</v>
      </c>
      <c r="G31" s="1859">
        <v>102400400</v>
      </c>
    </row>
    <row r="32" spans="1:7" ht="15" x14ac:dyDescent="0.25">
      <c r="A32" t="s">
        <v>652</v>
      </c>
      <c r="B32" s="135" t="str">
        <f>IF('Aud Quest 2'!B15="x","Yes",IF('Aud Quest 2'!B15&lt;&gt;"x","0"))</f>
        <v>0</v>
      </c>
      <c r="G32" s="1859">
        <v>102400600</v>
      </c>
    </row>
    <row r="33" spans="1:7" ht="15" x14ac:dyDescent="0.25">
      <c r="A33" t="s">
        <v>654</v>
      </c>
      <c r="B33" s="135" t="str">
        <f>IF('Aud Quest 2'!B16="x","Yes",IF('Aud Quest 2'!B16&lt;&gt;"x","0"))</f>
        <v>0</v>
      </c>
      <c r="G33" s="1859">
        <v>102400800</v>
      </c>
    </row>
    <row r="34" spans="1:7" ht="15" x14ac:dyDescent="0.25">
      <c r="A34" t="s">
        <v>655</v>
      </c>
      <c r="B34" s="135" t="str">
        <f>IF('Aud Quest 2'!B18="x","Yes",IF('Aud Quest 2'!B18&lt;&gt;"x","0"))</f>
        <v>0</v>
      </c>
      <c r="G34" s="1859">
        <v>102510300</v>
      </c>
    </row>
    <row r="35" spans="1:7" ht="15" x14ac:dyDescent="0.25">
      <c r="A35" t="s">
        <v>656</v>
      </c>
      <c r="B35" s="135" t="str">
        <f>IF('Aud Quest 2'!B20="x","Yes",IF('Aud Quest 2'!B20&lt;&gt;"x","0"))</f>
        <v>0</v>
      </c>
      <c r="G35" s="1859">
        <v>102510400</v>
      </c>
    </row>
    <row r="36" spans="1:7" ht="15" x14ac:dyDescent="0.25">
      <c r="A36" t="s">
        <v>650</v>
      </c>
      <c r="B36" s="135" t="str">
        <f>IF('Aud Quest 2'!B22="x","Yes",IF('Aud Quest 2'!B22&lt;&gt;"x","0"))</f>
        <v>0</v>
      </c>
      <c r="G36" s="1859">
        <v>102510600</v>
      </c>
    </row>
    <row r="37" spans="1:7" ht="15" x14ac:dyDescent="0.25">
      <c r="A37" t="s">
        <v>754</v>
      </c>
      <c r="B37" s="135" t="str">
        <f>IF('Aud Quest 2'!B24="x","Yes",IF('Aud Quest 2'!B24&lt;&gt;"x","0"))</f>
        <v>0</v>
      </c>
      <c r="G37" s="1859">
        <v>102510800</v>
      </c>
    </row>
    <row r="38" spans="1:7" ht="15" x14ac:dyDescent="0.25">
      <c r="A38" t="s">
        <v>323</v>
      </c>
      <c r="B38" s="135" t="str">
        <f>IF('Aud Quest 2'!B25="x","Yes",IF('Aud Quest 2'!B25&lt;&gt;"x","0"))</f>
        <v>0</v>
      </c>
      <c r="G38" s="1859">
        <v>202510300</v>
      </c>
    </row>
    <row r="39" spans="1:7" ht="15" x14ac:dyDescent="0.25">
      <c r="A39" t="s">
        <v>324</v>
      </c>
      <c r="B39" s="135" t="str">
        <f>IF('Aud Quest 2'!B27="x","Yes",IF('Aud Quest 2'!B27&lt;&gt;"x","0"))</f>
        <v>0</v>
      </c>
      <c r="G39" s="1859">
        <v>202510400</v>
      </c>
    </row>
    <row r="40" spans="1:7" ht="15" x14ac:dyDescent="0.25">
      <c r="A40" t="s">
        <v>315</v>
      </c>
      <c r="B40" s="135" t="str">
        <f>IF('Aud Quest 2'!B29="x","Yes",IF('Aud Quest 2'!B29&lt;&gt;"x","0"))</f>
        <v>0</v>
      </c>
      <c r="G40" s="1859">
        <v>202510600</v>
      </c>
    </row>
    <row r="41" spans="1:7" ht="15" x14ac:dyDescent="0.25">
      <c r="A41" t="s">
        <v>316</v>
      </c>
      <c r="B41" s="135" t="str">
        <f>IF('Aud Quest 2'!B31="x","Yes",IF('Aud Quest 2'!B31&lt;&gt;"x","0"))</f>
        <v>0</v>
      </c>
      <c r="G41" s="1859">
        <v>202510800</v>
      </c>
    </row>
    <row r="42" spans="1:7" ht="15" x14ac:dyDescent="0.25">
      <c r="A42" t="s">
        <v>317</v>
      </c>
      <c r="B42" s="135" t="str">
        <f>IF('Aud Quest 2'!B37="x","Yes",IF('Aud Quest 2'!B37&lt;&gt;"x","0"))</f>
        <v>0</v>
      </c>
      <c r="G42" s="1859">
        <v>102520300</v>
      </c>
    </row>
    <row r="43" spans="1:7" ht="15" x14ac:dyDescent="0.25">
      <c r="A43" t="s">
        <v>318</v>
      </c>
      <c r="B43" s="135" t="str">
        <f>IF('Aud Quest 2'!B40="x","Yes",IF('Aud Quest 2'!B40&lt;&gt;"x","0"))</f>
        <v>0</v>
      </c>
      <c r="G43" s="1859">
        <v>102520400</v>
      </c>
    </row>
    <row r="44" spans="1:7" ht="15" x14ac:dyDescent="0.25">
      <c r="A44" s="1" t="s">
        <v>319</v>
      </c>
      <c r="B44" s="135" t="str">
        <f>IF('Aud Quest 2'!B42="x","Yes",IF('Aud Quest 2'!B42&lt;&gt;"x","0"))</f>
        <v>0</v>
      </c>
      <c r="G44" s="1859">
        <v>102520600</v>
      </c>
    </row>
    <row r="45" spans="1:7" ht="15" x14ac:dyDescent="0.25">
      <c r="A45" t="s">
        <v>320</v>
      </c>
      <c r="B45" s="135" t="str">
        <f>IF('Aud Quest 2'!B44="x","Yes",IF('Aud Quest 2'!B44&lt;&gt;"x","0"))</f>
        <v>0</v>
      </c>
      <c r="G45" s="1859">
        <v>102520800</v>
      </c>
    </row>
    <row r="46" spans="1:7" ht="15" x14ac:dyDescent="0.25">
      <c r="A46" t="s">
        <v>321</v>
      </c>
      <c r="B46" s="135" t="str">
        <f>IF('Aud Quest 2'!B49="x","Yes",IF('Aud Quest 2'!B49&lt;&gt;"x","0"))</f>
        <v>0</v>
      </c>
      <c r="G46" s="1859">
        <v>102540300</v>
      </c>
    </row>
    <row r="47" spans="1:7" ht="15" x14ac:dyDescent="0.25">
      <c r="A47" t="s">
        <v>322</v>
      </c>
      <c r="B47" s="135" t="str">
        <f>IF('Aud Quest 2'!B50="x","Yes",IF('Aud Quest 2'!B50&lt;&gt;"x","0"))</f>
        <v>0</v>
      </c>
      <c r="G47" s="1859">
        <v>102540400</v>
      </c>
    </row>
    <row r="48" spans="1:7" ht="15" x14ac:dyDescent="0.25">
      <c r="A48" t="s">
        <v>479</v>
      </c>
      <c r="B48" s="135" t="str">
        <f>IF('Aud Quest 2'!B51="x","Yes",IF('Aud Quest 2'!B51&lt;&gt;"x","0"))</f>
        <v>0</v>
      </c>
      <c r="G48" s="1859">
        <v>102540600</v>
      </c>
    </row>
    <row r="49" spans="1:7" ht="15" x14ac:dyDescent="0.25">
      <c r="A49" s="1" t="s">
        <v>1463</v>
      </c>
      <c r="B49" s="135" t="str">
        <f>IF('Aud Quest 2'!B53="x","Yes",IF('Aud Quest 2'!B53&lt;&gt;"x","0"))</f>
        <v>Yes</v>
      </c>
      <c r="G49" s="1859">
        <v>102540800</v>
      </c>
    </row>
    <row r="50" spans="1:7" ht="15" x14ac:dyDescent="0.25">
      <c r="A50" s="1" t="s">
        <v>1462</v>
      </c>
      <c r="B50" s="146">
        <f>'Aud Quest 2'!H53</f>
        <v>33512</v>
      </c>
      <c r="G50" s="1859">
        <v>202540300</v>
      </c>
    </row>
    <row r="51" spans="1:7" ht="15" x14ac:dyDescent="0.25">
      <c r="A51" s="1" t="s">
        <v>1464</v>
      </c>
      <c r="B51" s="135" t="str">
        <f>IF('Aud Quest 2'!B54="x","Yes",IF('Aud Quest 2'!B54&lt;&gt;"x","0"))</f>
        <v>0</v>
      </c>
      <c r="G51" s="1859">
        <v>202540400</v>
      </c>
    </row>
    <row r="52" spans="1:7" ht="15" x14ac:dyDescent="0.25">
      <c r="A52" t="s">
        <v>325</v>
      </c>
      <c r="B52" s="135">
        <f>('Aud Quest 2'!D56)</f>
        <v>0</v>
      </c>
      <c r="G52" s="1859">
        <v>202540600</v>
      </c>
    </row>
    <row r="53" spans="1:7" ht="15" x14ac:dyDescent="0.25">
      <c r="A53" s="1" t="s">
        <v>326</v>
      </c>
      <c r="B53" s="135">
        <f>IF('FP Info 3'!B44="X","Yes",0)</f>
        <v>0</v>
      </c>
      <c r="G53" s="1859">
        <v>202540800</v>
      </c>
    </row>
    <row r="54" spans="1:7" ht="15" x14ac:dyDescent="0.25">
      <c r="A54" t="s">
        <v>327</v>
      </c>
      <c r="B54" s="135">
        <f>IF('FP Info 3'!B45="X","Yes",0)</f>
        <v>0</v>
      </c>
      <c r="G54" s="1859">
        <v>902540300</v>
      </c>
    </row>
    <row r="55" spans="1:7" ht="15" x14ac:dyDescent="0.25">
      <c r="A55" t="s">
        <v>328</v>
      </c>
      <c r="B55" s="135">
        <f>IF('FP Info 3'!B46="X","Yes",0)</f>
        <v>0</v>
      </c>
      <c r="G55" s="1859">
        <v>902540400</v>
      </c>
    </row>
    <row r="56" spans="1:7" ht="15" x14ac:dyDescent="0.25">
      <c r="A56" t="s">
        <v>329</v>
      </c>
      <c r="B56" s="135">
        <f>IF('FP Info 3'!B47="X","Yes",0)</f>
        <v>0</v>
      </c>
      <c r="G56" s="1859">
        <v>902540600</v>
      </c>
    </row>
    <row r="57" spans="1:7" ht="15" x14ac:dyDescent="0.25">
      <c r="A57" t="s">
        <v>330</v>
      </c>
      <c r="B57" s="135">
        <f>IF('FP Info 3'!B48="X","Yes",0)</f>
        <v>0</v>
      </c>
      <c r="G57" s="1859">
        <v>902540800</v>
      </c>
    </row>
    <row r="58" spans="1:7" ht="15" x14ac:dyDescent="0.25">
      <c r="A58" t="s">
        <v>331</v>
      </c>
      <c r="B58" s="135">
        <f>IF('FP Info 3'!B49="X","Yes",0)</f>
        <v>0</v>
      </c>
      <c r="G58" s="1859">
        <v>102550300</v>
      </c>
    </row>
    <row r="59" spans="1:7" ht="15" x14ac:dyDescent="0.25">
      <c r="A59" t="s">
        <v>332</v>
      </c>
      <c r="B59" s="135">
        <f>IF('FP Info 3'!B50="X","Yes",0)</f>
        <v>0</v>
      </c>
      <c r="G59" s="1859">
        <v>102550400</v>
      </c>
    </row>
    <row r="60" spans="1:7" ht="15" x14ac:dyDescent="0.25">
      <c r="A60" t="s">
        <v>333</v>
      </c>
      <c r="B60" s="135">
        <f>IF('FP Info 3'!B51="X","Yes",0)</f>
        <v>0</v>
      </c>
      <c r="G60" s="1859">
        <v>102550600</v>
      </c>
    </row>
    <row r="61" spans="1:7" ht="15" x14ac:dyDescent="0.25">
      <c r="A61" t="s">
        <v>334</v>
      </c>
      <c r="B61" s="135">
        <f>('FP Info 3'!A53)</f>
        <v>0</v>
      </c>
      <c r="D61" s="2" t="str">
        <f>IF(ISBLANK(B62),"OK",IF(A62-B62=0,"OK","Error?"))</f>
        <v>OK</v>
      </c>
      <c r="G61" s="1859">
        <v>102550800</v>
      </c>
    </row>
    <row r="62" spans="1:7" ht="15" x14ac:dyDescent="0.25">
      <c r="A62" s="10">
        <v>1</v>
      </c>
      <c r="B62" s="1832"/>
      <c r="D62" s="2" t="str">
        <f>IF(ISBLANK(B62),"OK",IF(A62-B62=0,"OK","Error?"))</f>
        <v>OK</v>
      </c>
      <c r="G62" s="1859">
        <v>202550300</v>
      </c>
    </row>
    <row r="63" spans="1:7" ht="15" x14ac:dyDescent="0.25">
      <c r="A63" s="10">
        <v>2</v>
      </c>
      <c r="B63" s="1832"/>
      <c r="D63" s="2" t="str">
        <f t="shared" ref="D63:D126" si="0">IF(ISBLANK(B63),"OK",IF(A63-B63=0,"OK","Error?"))</f>
        <v>OK</v>
      </c>
      <c r="G63" s="1859">
        <v>202550400</v>
      </c>
    </row>
    <row r="64" spans="1:7" ht="15" x14ac:dyDescent="0.25">
      <c r="A64" s="10">
        <v>3</v>
      </c>
      <c r="B64" s="1832"/>
      <c r="D64" s="2" t="str">
        <f t="shared" si="0"/>
        <v>OK</v>
      </c>
      <c r="G64" s="1859">
        <v>202550600</v>
      </c>
    </row>
    <row r="65" spans="1:7" ht="15" x14ac:dyDescent="0.25">
      <c r="A65" s="5">
        <v>4</v>
      </c>
      <c r="B65" s="1832">
        <f>'Assets-Liab 5-6'!C6</f>
        <v>109904362</v>
      </c>
      <c r="D65" s="2" t="str">
        <f t="shared" si="0"/>
        <v>Error?</v>
      </c>
      <c r="G65" s="1859">
        <v>202550800</v>
      </c>
    </row>
    <row r="66" spans="1:7" ht="15" x14ac:dyDescent="0.25">
      <c r="A66" s="10">
        <v>5</v>
      </c>
      <c r="B66" s="1832"/>
      <c r="D66" s="2" t="str">
        <f t="shared" si="0"/>
        <v>OK</v>
      </c>
      <c r="G66" s="1859">
        <v>402550300</v>
      </c>
    </row>
    <row r="67" spans="1:7" ht="15" x14ac:dyDescent="0.25">
      <c r="A67" s="10">
        <v>6</v>
      </c>
      <c r="B67" s="1832"/>
      <c r="D67" s="2" t="str">
        <f t="shared" si="0"/>
        <v>OK</v>
      </c>
      <c r="G67" s="1859">
        <v>402550400</v>
      </c>
    </row>
    <row r="68" spans="1:7" ht="15" x14ac:dyDescent="0.25">
      <c r="A68" s="10">
        <v>7</v>
      </c>
      <c r="B68" s="1832"/>
      <c r="D68" s="2" t="str">
        <f t="shared" si="0"/>
        <v>OK</v>
      </c>
      <c r="G68" s="1859">
        <v>402550600</v>
      </c>
    </row>
    <row r="69" spans="1:7" ht="15" x14ac:dyDescent="0.25">
      <c r="A69" s="10">
        <v>8</v>
      </c>
      <c r="B69" s="1832"/>
      <c r="D69" s="2" t="str">
        <f t="shared" si="0"/>
        <v>OK</v>
      </c>
      <c r="G69" s="1859">
        <v>402550800</v>
      </c>
    </row>
    <row r="70" spans="1:7" ht="15" x14ac:dyDescent="0.25">
      <c r="A70" s="10">
        <v>9</v>
      </c>
      <c r="B70" s="1832"/>
      <c r="D70" s="2" t="str">
        <f t="shared" si="0"/>
        <v>OK</v>
      </c>
      <c r="G70" s="1859">
        <v>102560300</v>
      </c>
    </row>
    <row r="71" spans="1:7" ht="15" x14ac:dyDescent="0.25">
      <c r="A71" s="10">
        <v>10</v>
      </c>
      <c r="B71" s="1832"/>
      <c r="D71" s="2" t="str">
        <f t="shared" si="0"/>
        <v>OK</v>
      </c>
      <c r="G71" s="1859">
        <v>102560400</v>
      </c>
    </row>
    <row r="72" spans="1:7" ht="15" x14ac:dyDescent="0.25">
      <c r="A72" s="5">
        <v>11</v>
      </c>
      <c r="B72" s="1832">
        <f>'Assets-Liab 5-6'!C10</f>
        <v>30589</v>
      </c>
      <c r="D72" s="2" t="str">
        <f t="shared" si="0"/>
        <v>Error?</v>
      </c>
      <c r="G72" s="1859">
        <v>102560600</v>
      </c>
    </row>
    <row r="73" spans="1:7" ht="15" x14ac:dyDescent="0.25">
      <c r="A73" s="5">
        <v>12</v>
      </c>
      <c r="B73" s="1832">
        <f>'Assets-Liab 5-6'!C5</f>
        <v>0</v>
      </c>
      <c r="D73" s="2" t="str">
        <f t="shared" si="0"/>
        <v>Error?</v>
      </c>
      <c r="G73" s="1859">
        <v>102560800</v>
      </c>
    </row>
    <row r="74" spans="1:7" ht="15" x14ac:dyDescent="0.25">
      <c r="A74" s="10">
        <v>13</v>
      </c>
      <c r="B74" s="1832"/>
      <c r="D74" s="2" t="str">
        <f t="shared" si="0"/>
        <v>OK</v>
      </c>
      <c r="G74" s="1859">
        <v>102570300</v>
      </c>
    </row>
    <row r="75" spans="1:7" ht="15" x14ac:dyDescent="0.25">
      <c r="A75" s="10">
        <v>14</v>
      </c>
      <c r="B75" s="1832"/>
      <c r="D75" s="2" t="str">
        <f t="shared" si="0"/>
        <v>OK</v>
      </c>
      <c r="G75" s="1859">
        <v>102570400</v>
      </c>
    </row>
    <row r="76" spans="1:7" ht="15" x14ac:dyDescent="0.25">
      <c r="A76" s="5">
        <v>15</v>
      </c>
      <c r="B76" s="1832">
        <f>'Assets-Liab 5-6'!C12</f>
        <v>0</v>
      </c>
      <c r="D76" s="2" t="str">
        <f t="shared" si="0"/>
        <v>Error?</v>
      </c>
      <c r="G76" s="1859">
        <v>102570600</v>
      </c>
    </row>
    <row r="77" spans="1:7" ht="15" x14ac:dyDescent="0.25">
      <c r="A77" s="5">
        <v>16</v>
      </c>
      <c r="B77" s="1832">
        <f>'Assets-Liab 5-6'!C13</f>
        <v>353941173</v>
      </c>
      <c r="C77" s="2" t="s">
        <v>568</v>
      </c>
      <c r="D77" s="2" t="str">
        <f t="shared" si="0"/>
        <v>Error?</v>
      </c>
      <c r="G77" s="1859">
        <v>102570800</v>
      </c>
    </row>
    <row r="78" spans="1:7" ht="15" x14ac:dyDescent="0.25">
      <c r="A78" s="10">
        <v>17</v>
      </c>
      <c r="B78" s="1832"/>
      <c r="D78" s="2" t="str">
        <f t="shared" si="0"/>
        <v>OK</v>
      </c>
      <c r="G78" s="1859">
        <v>102610300</v>
      </c>
    </row>
    <row r="79" spans="1:7" ht="15" x14ac:dyDescent="0.25">
      <c r="A79" s="10">
        <v>18</v>
      </c>
      <c r="B79" s="1832"/>
      <c r="D79" s="2" t="str">
        <f t="shared" si="0"/>
        <v>OK</v>
      </c>
      <c r="G79" s="1859">
        <v>102610400</v>
      </c>
    </row>
    <row r="80" spans="1:7" ht="15" x14ac:dyDescent="0.25">
      <c r="A80" s="10">
        <v>19</v>
      </c>
      <c r="B80" s="1832"/>
      <c r="D80" s="2" t="str">
        <f t="shared" si="0"/>
        <v>OK</v>
      </c>
      <c r="G80" s="1859">
        <v>102610600</v>
      </c>
    </row>
    <row r="81" spans="1:7" ht="15" x14ac:dyDescent="0.25">
      <c r="A81" s="10">
        <v>20</v>
      </c>
      <c r="B81" s="1832"/>
      <c r="D81" s="2" t="str">
        <f t="shared" si="0"/>
        <v>OK</v>
      </c>
      <c r="G81" s="1859">
        <v>102610800</v>
      </c>
    </row>
    <row r="82" spans="1:7" ht="15" x14ac:dyDescent="0.25">
      <c r="A82" s="10">
        <v>21</v>
      </c>
      <c r="B82" s="1832"/>
      <c r="D82" s="2" t="str">
        <f t="shared" si="0"/>
        <v>OK</v>
      </c>
      <c r="G82" s="1859">
        <v>102620300</v>
      </c>
    </row>
    <row r="83" spans="1:7" ht="15" x14ac:dyDescent="0.25">
      <c r="A83" s="10">
        <v>22</v>
      </c>
      <c r="B83" s="1832"/>
      <c r="D83" s="2" t="str">
        <f t="shared" si="0"/>
        <v>OK</v>
      </c>
      <c r="G83" s="1859">
        <v>102620400</v>
      </c>
    </row>
    <row r="84" spans="1:7" ht="15" x14ac:dyDescent="0.25">
      <c r="A84" s="10">
        <v>23</v>
      </c>
      <c r="B84" s="1832"/>
      <c r="D84" s="2" t="str">
        <f t="shared" si="0"/>
        <v>OK</v>
      </c>
      <c r="G84" s="1859">
        <v>102620600</v>
      </c>
    </row>
    <row r="85" spans="1:7" ht="15" x14ac:dyDescent="0.25">
      <c r="A85" s="10">
        <v>24</v>
      </c>
      <c r="B85" s="1832"/>
      <c r="D85" s="2" t="str">
        <f t="shared" si="0"/>
        <v>OK</v>
      </c>
      <c r="G85" s="1859">
        <v>102620800</v>
      </c>
    </row>
    <row r="86" spans="1:7" ht="15" x14ac:dyDescent="0.25">
      <c r="A86" s="12">
        <v>25</v>
      </c>
      <c r="B86" s="1832">
        <f>'Assets-Liab 5-6'!C31</f>
        <v>422779</v>
      </c>
      <c r="D86" s="2" t="str">
        <f t="shared" si="0"/>
        <v>Error?</v>
      </c>
      <c r="G86" s="1859">
        <v>102630300</v>
      </c>
    </row>
    <row r="87" spans="1:7" ht="15" x14ac:dyDescent="0.25">
      <c r="A87" s="10">
        <v>26</v>
      </c>
      <c r="B87" s="1832"/>
      <c r="D87" s="2" t="str">
        <f t="shared" si="0"/>
        <v>OK</v>
      </c>
      <c r="G87" s="1859">
        <v>102630400</v>
      </c>
    </row>
    <row r="88" spans="1:7" ht="15" x14ac:dyDescent="0.25">
      <c r="A88" s="5">
        <v>27</v>
      </c>
      <c r="B88" s="1832">
        <f>'Assets-Liab 5-6'!C32</f>
        <v>112376878</v>
      </c>
      <c r="D88" s="2" t="str">
        <f t="shared" si="0"/>
        <v>Error?</v>
      </c>
      <c r="G88" s="1859">
        <v>102630600</v>
      </c>
    </row>
    <row r="89" spans="1:7" ht="15" x14ac:dyDescent="0.25">
      <c r="A89" s="10">
        <v>28</v>
      </c>
      <c r="B89" s="1832"/>
      <c r="D89" s="2" t="str">
        <f t="shared" si="0"/>
        <v>OK</v>
      </c>
      <c r="G89" s="1859">
        <v>102630800</v>
      </c>
    </row>
    <row r="90" spans="1:7" ht="15" x14ac:dyDescent="0.25">
      <c r="A90" s="10">
        <v>29</v>
      </c>
      <c r="B90" s="1832"/>
      <c r="D90" s="2" t="str">
        <f t="shared" si="0"/>
        <v>OK</v>
      </c>
      <c r="G90" s="1859">
        <v>102640300</v>
      </c>
    </row>
    <row r="91" spans="1:7" ht="15" x14ac:dyDescent="0.25">
      <c r="A91" s="5">
        <v>30</v>
      </c>
      <c r="B91" s="1832">
        <f>'Assets-Liab 5-6'!C34</f>
        <v>163759362</v>
      </c>
      <c r="C91" s="2" t="s">
        <v>568</v>
      </c>
      <c r="D91" s="2" t="str">
        <f t="shared" si="0"/>
        <v>Error?</v>
      </c>
      <c r="G91" s="1859">
        <v>102640400</v>
      </c>
    </row>
    <row r="92" spans="1:7" ht="15" x14ac:dyDescent="0.25">
      <c r="A92" s="5">
        <v>31</v>
      </c>
      <c r="B92" s="1832">
        <f>'Assets-Liab 5-6'!C39</f>
        <v>184623295</v>
      </c>
      <c r="D92" s="2" t="str">
        <f t="shared" si="0"/>
        <v>Error?</v>
      </c>
      <c r="G92" s="1859">
        <v>102640600</v>
      </c>
    </row>
    <row r="93" spans="1:7" ht="15" x14ac:dyDescent="0.25">
      <c r="A93" s="5">
        <v>32</v>
      </c>
      <c r="B93" s="1832">
        <f>'Assets-Liab 5-6'!C41</f>
        <v>353941173</v>
      </c>
      <c r="C93" s="2" t="s">
        <v>568</v>
      </c>
      <c r="D93" s="2" t="str">
        <f t="shared" si="0"/>
        <v>Error?</v>
      </c>
      <c r="G93" s="1859">
        <v>102640800</v>
      </c>
    </row>
    <row r="94" spans="1:7" ht="15" x14ac:dyDescent="0.25">
      <c r="A94" s="10">
        <v>33</v>
      </c>
      <c r="B94" s="1832"/>
      <c r="D94" s="2" t="str">
        <f t="shared" si="0"/>
        <v>OK</v>
      </c>
      <c r="G94" s="1859">
        <v>102660300</v>
      </c>
    </row>
    <row r="95" spans="1:7" ht="15" x14ac:dyDescent="0.25">
      <c r="A95" s="10">
        <v>34</v>
      </c>
      <c r="B95" s="1832"/>
      <c r="D95" s="2" t="str">
        <f t="shared" si="0"/>
        <v>OK</v>
      </c>
      <c r="G95" s="1859">
        <v>102660400</v>
      </c>
    </row>
    <row r="96" spans="1:7" ht="15" x14ac:dyDescent="0.25">
      <c r="A96" s="10">
        <v>35</v>
      </c>
      <c r="B96" s="1832"/>
      <c r="D96" s="2" t="str">
        <f t="shared" si="0"/>
        <v>OK</v>
      </c>
      <c r="G96" s="1859">
        <v>102660600</v>
      </c>
    </row>
    <row r="97" spans="1:7" ht="15" x14ac:dyDescent="0.25">
      <c r="A97" s="5">
        <v>36</v>
      </c>
      <c r="B97" s="1832">
        <f>'Assets-Liab 5-6'!D6</f>
        <v>18486342</v>
      </c>
      <c r="D97" s="2" t="str">
        <f t="shared" si="0"/>
        <v>Error?</v>
      </c>
      <c r="G97" s="1859">
        <v>102660800</v>
      </c>
    </row>
    <row r="98" spans="1:7" ht="15" x14ac:dyDescent="0.25">
      <c r="A98" s="10">
        <v>37</v>
      </c>
      <c r="B98" s="1832"/>
      <c r="D98" s="2" t="str">
        <f t="shared" si="0"/>
        <v>OK</v>
      </c>
      <c r="G98" s="1859">
        <v>102900300</v>
      </c>
    </row>
    <row r="99" spans="1:7" ht="15" x14ac:dyDescent="0.25">
      <c r="A99" s="10">
        <v>38</v>
      </c>
      <c r="B99" s="1832"/>
      <c r="D99" s="2" t="str">
        <f t="shared" si="0"/>
        <v>OK</v>
      </c>
      <c r="G99" s="1859">
        <v>102900400</v>
      </c>
    </row>
    <row r="100" spans="1:7" ht="15" x14ac:dyDescent="0.25">
      <c r="A100" s="10">
        <v>39</v>
      </c>
      <c r="B100" s="1832"/>
      <c r="D100" s="2" t="str">
        <f t="shared" si="0"/>
        <v>OK</v>
      </c>
      <c r="G100" s="1859">
        <v>102900600</v>
      </c>
    </row>
    <row r="101" spans="1:7" ht="15" x14ac:dyDescent="0.25">
      <c r="A101" s="10">
        <v>40</v>
      </c>
      <c r="B101" s="1832"/>
      <c r="D101" s="2" t="str">
        <f t="shared" si="0"/>
        <v>OK</v>
      </c>
      <c r="G101" s="1859">
        <v>102900800</v>
      </c>
    </row>
    <row r="102" spans="1:7" ht="15" x14ac:dyDescent="0.25">
      <c r="A102" s="10">
        <v>41</v>
      </c>
      <c r="B102" s="1832"/>
      <c r="D102" s="2" t="str">
        <f t="shared" si="0"/>
        <v>OK</v>
      </c>
      <c r="G102" s="1859">
        <v>202900300</v>
      </c>
    </row>
    <row r="103" spans="1:7" ht="15" x14ac:dyDescent="0.25">
      <c r="A103" s="10">
        <v>42</v>
      </c>
      <c r="B103" s="1832"/>
      <c r="D103" s="2" t="str">
        <f t="shared" si="0"/>
        <v>OK</v>
      </c>
      <c r="G103" s="1859">
        <v>202900400</v>
      </c>
    </row>
    <row r="104" spans="1:7" ht="15" x14ac:dyDescent="0.25">
      <c r="A104" s="5">
        <v>43</v>
      </c>
      <c r="B104" s="1832">
        <f>'Assets-Liab 5-6'!D10</f>
        <v>0</v>
      </c>
      <c r="D104" s="2" t="str">
        <f t="shared" si="0"/>
        <v>Error?</v>
      </c>
      <c r="G104" s="1859">
        <v>202900600</v>
      </c>
    </row>
    <row r="105" spans="1:7" ht="15" x14ac:dyDescent="0.25">
      <c r="A105" s="5">
        <v>44</v>
      </c>
      <c r="B105" s="1832">
        <f>'Assets-Liab 5-6'!D5</f>
        <v>0</v>
      </c>
      <c r="D105" s="2" t="str">
        <f t="shared" si="0"/>
        <v>Error?</v>
      </c>
      <c r="G105" s="1859">
        <v>202900800</v>
      </c>
    </row>
    <row r="106" spans="1:7" ht="15" x14ac:dyDescent="0.25">
      <c r="A106" s="10">
        <v>45</v>
      </c>
      <c r="B106" s="1832"/>
      <c r="D106" s="2" t="str">
        <f t="shared" si="0"/>
        <v>OK</v>
      </c>
      <c r="G106" s="1859">
        <v>402900300</v>
      </c>
    </row>
    <row r="107" spans="1:7" ht="15" x14ac:dyDescent="0.25">
      <c r="A107" s="10">
        <v>46</v>
      </c>
      <c r="B107" s="1832"/>
      <c r="D107" s="2" t="str">
        <f t="shared" si="0"/>
        <v>OK</v>
      </c>
      <c r="G107" s="1859">
        <v>402900400</v>
      </c>
    </row>
    <row r="108" spans="1:7" ht="15" x14ac:dyDescent="0.25">
      <c r="A108" s="5">
        <v>47</v>
      </c>
      <c r="B108" s="1832">
        <f>'Assets-Liab 5-6'!D12</f>
        <v>0</v>
      </c>
      <c r="D108" s="2" t="str">
        <f t="shared" si="0"/>
        <v>Error?</v>
      </c>
      <c r="G108" s="1859">
        <v>402900600</v>
      </c>
    </row>
    <row r="109" spans="1:7" ht="15" x14ac:dyDescent="0.25">
      <c r="A109" s="5">
        <v>48</v>
      </c>
      <c r="B109" s="1832">
        <f>'Assets-Liab 5-6'!D13</f>
        <v>20144905</v>
      </c>
      <c r="C109" s="2" t="s">
        <v>568</v>
      </c>
      <c r="D109" s="2" t="str">
        <f t="shared" si="0"/>
        <v>Error?</v>
      </c>
      <c r="G109" s="1859">
        <v>402900800</v>
      </c>
    </row>
    <row r="110" spans="1:7" ht="15" x14ac:dyDescent="0.25">
      <c r="A110" s="10">
        <v>49</v>
      </c>
      <c r="B110" s="1832"/>
      <c r="D110" s="2" t="str">
        <f t="shared" si="0"/>
        <v>OK</v>
      </c>
      <c r="G110" s="1859">
        <v>602900300</v>
      </c>
    </row>
    <row r="111" spans="1:7" ht="15" x14ac:dyDescent="0.25">
      <c r="A111" s="10">
        <v>50</v>
      </c>
      <c r="B111" s="1832"/>
      <c r="D111" s="2" t="str">
        <f t="shared" si="0"/>
        <v>OK</v>
      </c>
      <c r="G111" s="1859">
        <v>602900400</v>
      </c>
    </row>
    <row r="112" spans="1:7" ht="15" x14ac:dyDescent="0.25">
      <c r="A112" s="10">
        <v>51</v>
      </c>
      <c r="B112" s="1832"/>
      <c r="D112" s="2" t="str">
        <f t="shared" si="0"/>
        <v>OK</v>
      </c>
      <c r="G112" s="1859">
        <v>602900600</v>
      </c>
    </row>
    <row r="113" spans="1:7" ht="15" x14ac:dyDescent="0.25">
      <c r="A113" s="10">
        <v>52</v>
      </c>
      <c r="B113" s="1832"/>
      <c r="D113" s="2" t="str">
        <f t="shared" si="0"/>
        <v>OK</v>
      </c>
      <c r="G113" s="1859">
        <v>602900800</v>
      </c>
    </row>
    <row r="114" spans="1:7" ht="15" x14ac:dyDescent="0.25">
      <c r="A114" s="10">
        <v>53</v>
      </c>
      <c r="B114" s="1832"/>
      <c r="D114" s="2" t="str">
        <f t="shared" si="0"/>
        <v>OK</v>
      </c>
      <c r="G114" s="1859">
        <v>902900300</v>
      </c>
    </row>
    <row r="115" spans="1:7" ht="15" x14ac:dyDescent="0.25">
      <c r="A115" s="10">
        <v>54</v>
      </c>
      <c r="B115" s="1832"/>
      <c r="D115" s="2" t="str">
        <f t="shared" si="0"/>
        <v>OK</v>
      </c>
      <c r="G115" s="1859">
        <v>902900400</v>
      </c>
    </row>
    <row r="116" spans="1:7" ht="15" x14ac:dyDescent="0.25">
      <c r="A116" s="10">
        <v>55</v>
      </c>
      <c r="B116" s="1832"/>
      <c r="D116" s="2" t="str">
        <f t="shared" si="0"/>
        <v>OK</v>
      </c>
      <c r="G116" s="1859">
        <v>902900600</v>
      </c>
    </row>
    <row r="117" spans="1:7" ht="15" x14ac:dyDescent="0.25">
      <c r="A117" s="5">
        <v>56</v>
      </c>
      <c r="B117" s="1832">
        <f>'Assets-Liab 5-6'!D31</f>
        <v>0</v>
      </c>
      <c r="D117" s="2" t="str">
        <f t="shared" si="0"/>
        <v>Error?</v>
      </c>
      <c r="G117" s="1859">
        <v>902900800</v>
      </c>
    </row>
    <row r="118" spans="1:7" ht="15" x14ac:dyDescent="0.25">
      <c r="A118" s="10">
        <v>57</v>
      </c>
      <c r="B118" s="1832"/>
      <c r="D118" s="2" t="str">
        <f t="shared" si="0"/>
        <v>OK</v>
      </c>
      <c r="G118" s="1859">
        <v>103000300</v>
      </c>
    </row>
    <row r="119" spans="1:7" ht="15" x14ac:dyDescent="0.25">
      <c r="A119" s="5">
        <v>58</v>
      </c>
      <c r="B119" s="1832">
        <f>'Assets-Liab 5-6'!D32</f>
        <v>17712127</v>
      </c>
      <c r="D119" s="2" t="str">
        <f t="shared" si="0"/>
        <v>Error?</v>
      </c>
      <c r="G119" s="1859">
        <v>103000400</v>
      </c>
    </row>
    <row r="120" spans="1:7" ht="15" x14ac:dyDescent="0.25">
      <c r="A120" s="10">
        <v>59</v>
      </c>
      <c r="B120" s="1832"/>
      <c r="D120" s="2" t="str">
        <f t="shared" si="0"/>
        <v>OK</v>
      </c>
      <c r="G120" s="1859">
        <v>103000600</v>
      </c>
    </row>
    <row r="121" spans="1:7" ht="15" x14ac:dyDescent="0.25">
      <c r="A121" s="10">
        <v>60</v>
      </c>
      <c r="B121" s="1832"/>
      <c r="D121" s="2" t="str">
        <f t="shared" si="0"/>
        <v>OK</v>
      </c>
      <c r="G121" s="1859">
        <v>103000800</v>
      </c>
    </row>
    <row r="122" spans="1:7" ht="15" x14ac:dyDescent="0.25">
      <c r="A122" s="5">
        <v>61</v>
      </c>
      <c r="B122" s="1832">
        <f>'Assets-Liab 5-6'!D34</f>
        <v>28497399</v>
      </c>
      <c r="C122" s="2" t="s">
        <v>568</v>
      </c>
      <c r="D122" s="2" t="str">
        <f t="shared" si="0"/>
        <v>Error?</v>
      </c>
      <c r="G122" s="1859">
        <v>203000300</v>
      </c>
    </row>
    <row r="123" spans="1:7" ht="15" x14ac:dyDescent="0.25">
      <c r="A123" s="5">
        <v>62</v>
      </c>
      <c r="B123" s="1832">
        <f>'Assets-Liab 5-6'!D39</f>
        <v>-8410389</v>
      </c>
      <c r="D123" s="2" t="str">
        <f t="shared" si="0"/>
        <v>Error?</v>
      </c>
      <c r="G123" s="1859">
        <v>203000400</v>
      </c>
    </row>
    <row r="124" spans="1:7" ht="15" x14ac:dyDescent="0.25">
      <c r="A124" s="5">
        <v>63</v>
      </c>
      <c r="B124" s="1832">
        <f>'Assets-Liab 5-6'!D41</f>
        <v>20144905</v>
      </c>
      <c r="C124" s="2" t="s">
        <v>568</v>
      </c>
      <c r="D124" s="2" t="str">
        <f t="shared" si="0"/>
        <v>Error?</v>
      </c>
      <c r="G124" s="1859">
        <v>203000600</v>
      </c>
    </row>
    <row r="125" spans="1:7" ht="15" x14ac:dyDescent="0.25">
      <c r="A125" s="10">
        <v>64</v>
      </c>
      <c r="B125" s="1832"/>
      <c r="D125" s="2" t="str">
        <f t="shared" si="0"/>
        <v>OK</v>
      </c>
      <c r="G125" s="1859">
        <v>203000800</v>
      </c>
    </row>
    <row r="126" spans="1:7" ht="15" x14ac:dyDescent="0.25">
      <c r="A126" s="5">
        <v>65</v>
      </c>
      <c r="B126" s="1832">
        <f>'Assets-Liab 5-6'!E6</f>
        <v>17327252</v>
      </c>
      <c r="D126" s="2" t="str">
        <f t="shared" si="0"/>
        <v>Error?</v>
      </c>
      <c r="G126" s="1859">
        <v>403000300</v>
      </c>
    </row>
    <row r="127" spans="1:7" ht="15" x14ac:dyDescent="0.25">
      <c r="A127" s="10">
        <v>66</v>
      </c>
      <c r="B127" s="1832"/>
      <c r="D127" s="2" t="str">
        <f t="shared" ref="D127:D190" si="1">IF(ISBLANK(B127),"OK",IF(A127-B127=0,"OK","Error?"))</f>
        <v>OK</v>
      </c>
      <c r="G127" s="1859">
        <v>403000400</v>
      </c>
    </row>
    <row r="128" spans="1:7" ht="15" x14ac:dyDescent="0.25">
      <c r="A128" s="10">
        <v>67</v>
      </c>
      <c r="B128" s="1832"/>
      <c r="D128" s="2" t="str">
        <f t="shared" si="1"/>
        <v>OK</v>
      </c>
      <c r="G128" s="1859">
        <v>403000600</v>
      </c>
    </row>
    <row r="129" spans="1:7" ht="15" x14ac:dyDescent="0.25">
      <c r="A129" s="5">
        <v>68</v>
      </c>
      <c r="B129" s="1832">
        <f>'Assets-Liab 5-6'!E5</f>
        <v>0</v>
      </c>
      <c r="D129" s="2" t="str">
        <f t="shared" si="1"/>
        <v>Error?</v>
      </c>
      <c r="G129" s="1859">
        <v>403000800</v>
      </c>
    </row>
    <row r="130" spans="1:7" x14ac:dyDescent="0.2">
      <c r="A130" s="5">
        <v>69</v>
      </c>
      <c r="B130" s="1832">
        <f>'Assets-Liab 5-6'!E12</f>
        <v>0</v>
      </c>
      <c r="D130" s="2" t="str">
        <f t="shared" si="1"/>
        <v>Error?</v>
      </c>
    </row>
    <row r="131" spans="1:7" x14ac:dyDescent="0.2">
      <c r="A131" s="5">
        <v>70</v>
      </c>
      <c r="B131" s="1832">
        <f>'Assets-Liab 5-6'!E13</f>
        <v>49226988</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16601580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16601580</v>
      </c>
      <c r="C139" s="2" t="s">
        <v>568</v>
      </c>
      <c r="D139" s="2" t="str">
        <f t="shared" si="1"/>
        <v>Error?</v>
      </c>
    </row>
    <row r="140" spans="1:7" x14ac:dyDescent="0.2">
      <c r="A140" s="5">
        <v>79</v>
      </c>
      <c r="B140" s="1832">
        <f>'Assets-Liab 5-6'!E39</f>
        <v>0</v>
      </c>
      <c r="D140" s="2" t="str">
        <f t="shared" si="1"/>
        <v>Error?</v>
      </c>
    </row>
    <row r="141" spans="1:7" x14ac:dyDescent="0.2">
      <c r="A141" s="5">
        <v>80</v>
      </c>
      <c r="B141" s="1832">
        <f>'Assets-Liab 5-6'!E41</f>
        <v>49226988</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6269801</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42044250</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21019702</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21243548</v>
      </c>
      <c r="C169" s="2" t="s">
        <v>568</v>
      </c>
      <c r="D169" s="2" t="str">
        <f t="shared" si="1"/>
        <v>Error?</v>
      </c>
    </row>
    <row r="170" spans="1:4" x14ac:dyDescent="0.2">
      <c r="A170" s="5">
        <v>109</v>
      </c>
      <c r="B170" s="1832">
        <f>'Assets-Liab 5-6'!F39</f>
        <v>0</v>
      </c>
      <c r="D170" s="2" t="str">
        <f t="shared" si="1"/>
        <v>Error?</v>
      </c>
    </row>
    <row r="171" spans="1:4" x14ac:dyDescent="0.2">
      <c r="A171" s="5">
        <v>110</v>
      </c>
      <c r="B171" s="1832">
        <f>'Assets-Liab 5-6'!F41</f>
        <v>42044250</v>
      </c>
      <c r="C171" s="2" t="s">
        <v>568</v>
      </c>
      <c r="D171" s="2" t="str">
        <f t="shared" si="1"/>
        <v>Error?</v>
      </c>
    </row>
    <row r="172" spans="1:4" x14ac:dyDescent="0.2">
      <c r="A172" s="10">
        <v>111</v>
      </c>
      <c r="B172" s="1832"/>
      <c r="D172" s="2" t="str">
        <f t="shared" si="1"/>
        <v>OK</v>
      </c>
    </row>
    <row r="173" spans="1:4" x14ac:dyDescent="0.2">
      <c r="A173" s="5">
        <v>112</v>
      </c>
      <c r="B173" s="1832">
        <f>'Assets-Liab 5-6'!G6</f>
        <v>7476924</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9673995</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537430</v>
      </c>
      <c r="D184" s="2" t="str">
        <f t="shared" si="1"/>
        <v>Error?</v>
      </c>
    </row>
    <row r="185" spans="1:4" x14ac:dyDescent="0.2">
      <c r="A185" s="5">
        <v>124</v>
      </c>
      <c r="B185" s="1832">
        <f>'Assets-Liab 5-6'!G32</f>
        <v>6611366</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7787427</v>
      </c>
      <c r="C188" s="2" t="s">
        <v>568</v>
      </c>
      <c r="D188" s="2" t="str">
        <f t="shared" si="1"/>
        <v>Error?</v>
      </c>
    </row>
    <row r="189" spans="1:4" x14ac:dyDescent="0.2">
      <c r="A189" s="5">
        <v>128</v>
      </c>
      <c r="B189" s="1832">
        <f>'Assets-Liab 5-6'!G39</f>
        <v>0</v>
      </c>
      <c r="D189" s="2" t="str">
        <f t="shared" si="1"/>
        <v>Error?</v>
      </c>
    </row>
    <row r="190" spans="1:4" x14ac:dyDescent="0.2">
      <c r="A190" s="5">
        <v>129</v>
      </c>
      <c r="B190" s="1832">
        <f>'Assets-Liab 5-6'!G41</f>
        <v>9673995</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5079464</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90754</v>
      </c>
      <c r="C211" s="2" t="s">
        <v>568</v>
      </c>
      <c r="D211" s="2" t="str">
        <f t="shared" si="2"/>
        <v>Error?</v>
      </c>
    </row>
    <row r="212" spans="1:4" x14ac:dyDescent="0.2">
      <c r="A212" s="5">
        <v>151</v>
      </c>
      <c r="B212" s="1832">
        <f>'Assets-Liab 5-6'!H39</f>
        <v>0</v>
      </c>
      <c r="D212" s="2" t="str">
        <f t="shared" si="2"/>
        <v>Error?</v>
      </c>
    </row>
    <row r="213" spans="1:4" x14ac:dyDescent="0.2">
      <c r="A213" s="12">
        <v>152</v>
      </c>
      <c r="B213" s="1832">
        <f>'Assets-Liab 5-6'!H41</f>
        <v>5079464</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28394912</v>
      </c>
      <c r="D273" s="2" t="str">
        <f t="shared" si="3"/>
        <v>Error?</v>
      </c>
    </row>
    <row r="274" spans="1:4" x14ac:dyDescent="0.2">
      <c r="A274" s="5">
        <v>213</v>
      </c>
      <c r="B274" s="1832">
        <f>'Assets-Liab 5-6'!M17</f>
        <v>356591253</v>
      </c>
      <c r="D274" s="2" t="str">
        <f t="shared" si="3"/>
        <v>Error?</v>
      </c>
    </row>
    <row r="275" spans="1:4" x14ac:dyDescent="0.2">
      <c r="A275" s="5">
        <v>214</v>
      </c>
      <c r="B275" s="1832">
        <f>'Assets-Liab 5-6'!M18</f>
        <v>0</v>
      </c>
      <c r="D275" s="2" t="str">
        <f t="shared" si="3"/>
        <v>Error?</v>
      </c>
    </row>
    <row r="276" spans="1:4" x14ac:dyDescent="0.2">
      <c r="A276" s="5">
        <v>215</v>
      </c>
      <c r="B276" s="1832">
        <f>'Assets-Liab 5-6'!M19</f>
        <v>16342222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429392943</v>
      </c>
      <c r="C279" s="2" t="s">
        <v>568</v>
      </c>
      <c r="D279" s="2" t="str">
        <f t="shared" si="3"/>
        <v>Error?</v>
      </c>
    </row>
    <row r="280" spans="1:4" x14ac:dyDescent="0.2">
      <c r="A280" s="5">
        <v>219</v>
      </c>
      <c r="B280" s="1832">
        <f>'Assets-Liab 5-6'!M40</f>
        <v>429392943</v>
      </c>
      <c r="D280" s="2" t="str">
        <f t="shared" si="3"/>
        <v>Error?</v>
      </c>
    </row>
    <row r="281" spans="1:4" x14ac:dyDescent="0.2">
      <c r="A281" s="5">
        <v>220</v>
      </c>
      <c r="B281" s="1832">
        <f>'Assets-Liab 5-6'!M41</f>
        <v>429392943</v>
      </c>
      <c r="C281" s="2" t="s">
        <v>568</v>
      </c>
      <c r="D281" s="2" t="str">
        <f t="shared" si="3"/>
        <v>Error?</v>
      </c>
    </row>
    <row r="282" spans="1:4" x14ac:dyDescent="0.2">
      <c r="A282" s="5">
        <v>221</v>
      </c>
      <c r="B282" s="1832">
        <f>'Assets-Liab 5-6'!N21</f>
        <v>49226988</v>
      </c>
      <c r="D282" s="2" t="str">
        <f t="shared" si="3"/>
        <v>Error?</v>
      </c>
    </row>
    <row r="283" spans="1:4" x14ac:dyDescent="0.2">
      <c r="A283" s="5">
        <v>222</v>
      </c>
      <c r="B283" s="1832">
        <f>'Assets-Liab 5-6'!N22</f>
        <v>170655113</v>
      </c>
      <c r="D283" s="2" t="str">
        <f t="shared" si="3"/>
        <v>Error?</v>
      </c>
    </row>
    <row r="284" spans="1:4" x14ac:dyDescent="0.2">
      <c r="A284" s="5">
        <v>223</v>
      </c>
      <c r="B284" s="1832">
        <f>'Assets-Liab 5-6'!N23</f>
        <v>219882101</v>
      </c>
      <c r="C284" s="2" t="s">
        <v>568</v>
      </c>
      <c r="D284" s="2" t="str">
        <f t="shared" si="3"/>
        <v>Error?</v>
      </c>
    </row>
    <row r="285" spans="1:4" x14ac:dyDescent="0.2">
      <c r="A285" s="5">
        <v>224</v>
      </c>
      <c r="B285" s="1832">
        <f>'Assets-Liab 5-6'!N36</f>
        <v>219882101</v>
      </c>
      <c r="D285" s="2" t="str">
        <f t="shared" si="3"/>
        <v>Error?</v>
      </c>
    </row>
    <row r="286" spans="1:4" x14ac:dyDescent="0.2">
      <c r="A286" s="10">
        <v>225</v>
      </c>
      <c r="B286" s="1832"/>
      <c r="D286" s="2" t="str">
        <f t="shared" si="3"/>
        <v>OK</v>
      </c>
    </row>
    <row r="287" spans="1:4" x14ac:dyDescent="0.2">
      <c r="A287" s="5">
        <v>226</v>
      </c>
      <c r="B287" s="1832">
        <f>'Assets-Liab 5-6'!N37</f>
        <v>219882101</v>
      </c>
      <c r="C287" s="2" t="s">
        <v>568</v>
      </c>
      <c r="D287" s="2" t="str">
        <f t="shared" si="3"/>
        <v>Error?</v>
      </c>
    </row>
    <row r="288" spans="1:4" x14ac:dyDescent="0.2">
      <c r="A288" s="5">
        <v>227</v>
      </c>
      <c r="B288" s="1832">
        <f>'Assets-Liab 5-6'!N41</f>
        <v>219882101</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6200000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99385134</v>
      </c>
      <c r="D705" s="2" t="str">
        <f t="shared" si="10"/>
        <v>Error?</v>
      </c>
    </row>
    <row r="706" spans="1:4" x14ac:dyDescent="0.2">
      <c r="A706" s="5">
        <v>645</v>
      </c>
      <c r="B706" s="1832">
        <f>'Expenditures 15-22'!C16</f>
        <v>4428849</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34138385</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4325136</v>
      </c>
      <c r="D717" s="2" t="str">
        <f t="shared" si="10"/>
        <v>Error?</v>
      </c>
    </row>
    <row r="718" spans="1:4" x14ac:dyDescent="0.2">
      <c r="A718" s="5">
        <v>657</v>
      </c>
      <c r="B718" s="1832">
        <f>'Expenditures 15-22'!C14</f>
        <v>2824973</v>
      </c>
      <c r="D718" s="2" t="str">
        <f t="shared" si="10"/>
        <v>Error?</v>
      </c>
    </row>
    <row r="719" spans="1:4" x14ac:dyDescent="0.2">
      <c r="A719" s="5">
        <v>658</v>
      </c>
      <c r="B719" s="1832">
        <f>'Expenditures 15-22'!C15</f>
        <v>385977</v>
      </c>
      <c r="D719" s="2" t="str">
        <f t="shared" si="10"/>
        <v>Error?</v>
      </c>
    </row>
    <row r="720" spans="1:4" x14ac:dyDescent="0.2">
      <c r="A720" s="5">
        <v>659</v>
      </c>
      <c r="B720" s="1832">
        <f>'Expenditures 15-22'!C33</f>
        <v>194876401</v>
      </c>
      <c r="C720" s="2" t="s">
        <v>568</v>
      </c>
      <c r="D720" s="2" t="str">
        <f t="shared" si="10"/>
        <v>Error?</v>
      </c>
    </row>
    <row r="721" spans="1:4" x14ac:dyDescent="0.2">
      <c r="A721" s="5">
        <v>660</v>
      </c>
      <c r="B721" s="1832">
        <f>'Expenditures 15-22'!C36</f>
        <v>8544165</v>
      </c>
      <c r="D721" s="2" t="str">
        <f t="shared" si="10"/>
        <v>Error?</v>
      </c>
    </row>
    <row r="722" spans="1:4" x14ac:dyDescent="0.2">
      <c r="A722" s="5">
        <v>661</v>
      </c>
      <c r="B722" s="1832">
        <f>'Expenditures 15-22'!C37</f>
        <v>4289444</v>
      </c>
      <c r="D722" s="2" t="str">
        <f t="shared" si="10"/>
        <v>Error?</v>
      </c>
    </row>
    <row r="723" spans="1:4" x14ac:dyDescent="0.2">
      <c r="A723" s="5">
        <v>662</v>
      </c>
      <c r="B723" s="1832">
        <f>'Expenditures 15-22'!C38</f>
        <v>4623209</v>
      </c>
      <c r="D723" s="2" t="str">
        <f t="shared" si="10"/>
        <v>Error?</v>
      </c>
    </row>
    <row r="724" spans="1:4" x14ac:dyDescent="0.2">
      <c r="A724" s="5">
        <v>663</v>
      </c>
      <c r="B724" s="1832">
        <f>'Expenditures 15-22'!C39</f>
        <v>1612599</v>
      </c>
      <c r="D724" s="2" t="str">
        <f t="shared" si="10"/>
        <v>Error?</v>
      </c>
    </row>
    <row r="725" spans="1:4" x14ac:dyDescent="0.2">
      <c r="A725" s="5">
        <v>664</v>
      </c>
      <c r="B725" s="1832">
        <f>'Expenditures 15-22'!C40</f>
        <v>4846376</v>
      </c>
      <c r="D725" s="2" t="str">
        <f t="shared" si="10"/>
        <v>Error?</v>
      </c>
    </row>
    <row r="726" spans="1:4" x14ac:dyDescent="0.2">
      <c r="A726" s="5">
        <v>665</v>
      </c>
      <c r="B726" s="1832">
        <f>'Expenditures 15-22'!C41</f>
        <v>2412140</v>
      </c>
      <c r="D726" s="2" t="str">
        <f t="shared" si="10"/>
        <v>Error?</v>
      </c>
    </row>
    <row r="727" spans="1:4" x14ac:dyDescent="0.2">
      <c r="A727" s="5">
        <v>666</v>
      </c>
      <c r="B727" s="1832">
        <f>'Expenditures 15-22'!C42</f>
        <v>26327933</v>
      </c>
      <c r="C727" s="2" t="s">
        <v>568</v>
      </c>
      <c r="D727" s="2" t="str">
        <f t="shared" si="10"/>
        <v>Error?</v>
      </c>
    </row>
    <row r="728" spans="1:4" x14ac:dyDescent="0.2">
      <c r="A728" s="5">
        <v>667</v>
      </c>
      <c r="B728" s="1832">
        <f>'Expenditures 15-22'!C44</f>
        <v>7188982</v>
      </c>
      <c r="D728" s="2" t="str">
        <f t="shared" si="10"/>
        <v>Error?</v>
      </c>
    </row>
    <row r="729" spans="1:4" x14ac:dyDescent="0.2">
      <c r="A729" s="5">
        <v>668</v>
      </c>
      <c r="B729" s="1832">
        <f>'Expenditures 15-22'!C45</f>
        <v>2099813</v>
      </c>
      <c r="D729" s="2" t="str">
        <f t="shared" si="10"/>
        <v>Error?</v>
      </c>
    </row>
    <row r="730" spans="1:4" x14ac:dyDescent="0.2">
      <c r="A730" s="5">
        <v>669</v>
      </c>
      <c r="B730" s="1832">
        <f>'Expenditures 15-22'!C46</f>
        <v>1236910</v>
      </c>
      <c r="D730" s="2" t="str">
        <f t="shared" si="10"/>
        <v>Error?</v>
      </c>
    </row>
    <row r="731" spans="1:4" x14ac:dyDescent="0.2">
      <c r="A731" s="5">
        <v>670</v>
      </c>
      <c r="B731" s="1832">
        <f>'Expenditures 15-22'!C47</f>
        <v>10525705</v>
      </c>
      <c r="C731" s="2" t="s">
        <v>568</v>
      </c>
      <c r="D731" s="2" t="str">
        <f t="shared" si="10"/>
        <v>Error?</v>
      </c>
    </row>
    <row r="732" spans="1:4" x14ac:dyDescent="0.2">
      <c r="A732" s="5">
        <v>671</v>
      </c>
      <c r="B732" s="1832">
        <f>'Expenditures 15-22'!C49</f>
        <v>833</v>
      </c>
      <c r="D732" s="2" t="str">
        <f t="shared" si="10"/>
        <v>Error?</v>
      </c>
    </row>
    <row r="733" spans="1:4" x14ac:dyDescent="0.2">
      <c r="A733" s="5">
        <v>672</v>
      </c>
      <c r="B733" s="1832">
        <f>'Expenditures 15-22'!C50</f>
        <v>2668811</v>
      </c>
      <c r="D733" s="2" t="str">
        <f t="shared" si="10"/>
        <v>Error?</v>
      </c>
    </row>
    <row r="734" spans="1:4" x14ac:dyDescent="0.2">
      <c r="A734" s="5">
        <v>673</v>
      </c>
      <c r="B734" s="1832">
        <f>'Expenditures 15-22'!C53</f>
        <v>6589421</v>
      </c>
      <c r="C734" s="2" t="s">
        <v>568</v>
      </c>
      <c r="D734" s="2" t="str">
        <f t="shared" si="10"/>
        <v>Error?</v>
      </c>
    </row>
    <row r="735" spans="1:4" x14ac:dyDescent="0.2">
      <c r="A735" s="5">
        <v>674</v>
      </c>
      <c r="B735" s="1832">
        <f>'Expenditures 15-22'!C55</f>
        <v>17137352</v>
      </c>
      <c r="D735" s="2" t="str">
        <f t="shared" si="10"/>
        <v>Error?</v>
      </c>
    </row>
    <row r="736" spans="1:4" x14ac:dyDescent="0.2">
      <c r="A736" s="5">
        <v>675</v>
      </c>
      <c r="B736" s="1832">
        <f>'Expenditures 15-22'!C56</f>
        <v>4744516</v>
      </c>
      <c r="D736" s="2" t="str">
        <f t="shared" si="10"/>
        <v>Error?</v>
      </c>
    </row>
    <row r="737" spans="1:4" x14ac:dyDescent="0.2">
      <c r="A737" s="5">
        <v>676</v>
      </c>
      <c r="B737" s="1832">
        <f>'Expenditures 15-22'!C57</f>
        <v>21881868</v>
      </c>
      <c r="C737" s="2" t="s">
        <v>568</v>
      </c>
      <c r="D737" s="2" t="str">
        <f t="shared" si="10"/>
        <v>Error?</v>
      </c>
    </row>
    <row r="738" spans="1:4" x14ac:dyDescent="0.2">
      <c r="A738" s="5">
        <v>677</v>
      </c>
      <c r="B738" s="1832">
        <f>'Expenditures 15-22'!C59</f>
        <v>214443</v>
      </c>
      <c r="D738" s="2" t="str">
        <f t="shared" si="10"/>
        <v>Error?</v>
      </c>
    </row>
    <row r="739" spans="1:4" x14ac:dyDescent="0.2">
      <c r="A739" s="5">
        <v>678</v>
      </c>
      <c r="B739" s="1832">
        <f>'Expenditures 15-22'!C60</f>
        <v>1565517</v>
      </c>
      <c r="D739" s="2" t="str">
        <f t="shared" si="10"/>
        <v>Error?</v>
      </c>
    </row>
    <row r="740" spans="1:4" x14ac:dyDescent="0.2">
      <c r="A740" s="5">
        <v>679</v>
      </c>
      <c r="B740" s="1832">
        <f>'Expenditures 15-22'!C61</f>
        <v>714922</v>
      </c>
      <c r="D740" s="2" t="str">
        <f t="shared" si="10"/>
        <v>Error?</v>
      </c>
    </row>
    <row r="741" spans="1:4" x14ac:dyDescent="0.2">
      <c r="A741" s="5">
        <v>680</v>
      </c>
      <c r="B741" s="1832">
        <f>'Expenditures 15-22'!C62</f>
        <v>55929</v>
      </c>
      <c r="D741" s="2" t="str">
        <f t="shared" si="10"/>
        <v>Error?</v>
      </c>
    </row>
    <row r="742" spans="1:4" x14ac:dyDescent="0.2">
      <c r="A742" s="5">
        <v>681</v>
      </c>
      <c r="B742" s="1832">
        <f>'Expenditures 15-22'!C63</f>
        <v>5759507</v>
      </c>
      <c r="D742" s="2" t="str">
        <f t="shared" si="10"/>
        <v>Error?</v>
      </c>
    </row>
    <row r="743" spans="1:4" x14ac:dyDescent="0.2">
      <c r="A743" s="5">
        <v>682</v>
      </c>
      <c r="B743" s="1832">
        <f>'Expenditures 15-22'!C64</f>
        <v>1076213</v>
      </c>
      <c r="D743" s="2" t="str">
        <f t="shared" si="10"/>
        <v>Error?</v>
      </c>
    </row>
    <row r="744" spans="1:4" x14ac:dyDescent="0.2">
      <c r="A744" s="10">
        <v>683</v>
      </c>
      <c r="B744" s="1832"/>
      <c r="D744" s="2" t="str">
        <f t="shared" si="10"/>
        <v>OK</v>
      </c>
    </row>
    <row r="745" spans="1:4" x14ac:dyDescent="0.2">
      <c r="A745" s="5">
        <v>684</v>
      </c>
      <c r="B745" s="1832">
        <f>'Expenditures 15-22'!C65</f>
        <v>9386531</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470309</v>
      </c>
      <c r="D748" s="2" t="str">
        <f t="shared" si="10"/>
        <v>Error?</v>
      </c>
    </row>
    <row r="749" spans="1:4" x14ac:dyDescent="0.2">
      <c r="A749" s="5">
        <v>688</v>
      </c>
      <c r="B749" s="1832">
        <f>'Expenditures 15-22'!C70</f>
        <v>1404568</v>
      </c>
      <c r="D749" s="2" t="str">
        <f t="shared" si="10"/>
        <v>Error?</v>
      </c>
    </row>
    <row r="750" spans="1:4" x14ac:dyDescent="0.2">
      <c r="A750" s="10">
        <v>689</v>
      </c>
      <c r="B750" s="1832"/>
      <c r="D750" s="2" t="str">
        <f t="shared" si="10"/>
        <v>OK</v>
      </c>
    </row>
    <row r="751" spans="1:4" x14ac:dyDescent="0.2">
      <c r="A751" s="5">
        <v>690</v>
      </c>
      <c r="B751" s="1832">
        <f>'Expenditures 15-22'!C71</f>
        <v>3338995</v>
      </c>
      <c r="D751" s="2" t="str">
        <f t="shared" si="10"/>
        <v>Error?</v>
      </c>
    </row>
    <row r="752" spans="1:4" x14ac:dyDescent="0.2">
      <c r="A752" s="10">
        <v>691</v>
      </c>
      <c r="B752" s="1832"/>
      <c r="D752" s="2" t="str">
        <f t="shared" si="10"/>
        <v>OK</v>
      </c>
    </row>
    <row r="753" spans="1:4" x14ac:dyDescent="0.2">
      <c r="A753" s="5">
        <v>692</v>
      </c>
      <c r="B753" s="1832">
        <f>'Expenditures 15-22'!C72</f>
        <v>5213872</v>
      </c>
      <c r="C753" s="2" t="s">
        <v>568</v>
      </c>
      <c r="D753" s="2" t="str">
        <f t="shared" si="10"/>
        <v>Error?</v>
      </c>
    </row>
    <row r="754" spans="1:4" x14ac:dyDescent="0.2">
      <c r="A754" s="5">
        <v>693</v>
      </c>
      <c r="B754" s="1832">
        <f>'Expenditures 15-22'!C73</f>
        <v>400730</v>
      </c>
      <c r="D754" s="2" t="str">
        <f t="shared" si="10"/>
        <v>Error?</v>
      </c>
    </row>
    <row r="755" spans="1:4" x14ac:dyDescent="0.2">
      <c r="A755" s="5">
        <v>694</v>
      </c>
      <c r="B755" s="1832">
        <f>'Expenditures 15-22'!C74</f>
        <v>80326060</v>
      </c>
      <c r="C755" s="2" t="s">
        <v>568</v>
      </c>
      <c r="D755" s="2" t="str">
        <f t="shared" si="10"/>
        <v>Error?</v>
      </c>
    </row>
    <row r="756" spans="1:4" x14ac:dyDescent="0.2">
      <c r="A756" s="5">
        <v>695</v>
      </c>
      <c r="B756" s="1832">
        <f>'Expenditures 15-22'!C75</f>
        <v>2047877</v>
      </c>
      <c r="D756" s="2" t="str">
        <f t="shared" si="10"/>
        <v>Error?</v>
      </c>
    </row>
    <row r="757" spans="1:4" x14ac:dyDescent="0.2">
      <c r="A757" s="5">
        <v>696</v>
      </c>
      <c r="B757" s="1832">
        <f>'Expenditures 15-22'!C114</f>
        <v>277250338</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27406205</v>
      </c>
      <c r="D763" s="2" t="str">
        <f t="shared" si="10"/>
        <v>Error?</v>
      </c>
    </row>
    <row r="764" spans="1:4" x14ac:dyDescent="0.2">
      <c r="A764" s="5">
        <v>703</v>
      </c>
      <c r="B764" s="1832">
        <f>'Expenditures 15-22'!D16</f>
        <v>1283585</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9938532</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1230821</v>
      </c>
      <c r="D775" s="2" t="str">
        <f t="shared" si="11"/>
        <v>Error?</v>
      </c>
    </row>
    <row r="776" spans="1:4" x14ac:dyDescent="0.2">
      <c r="A776" s="5">
        <v>715</v>
      </c>
      <c r="B776" s="1832">
        <f>'Expenditures 15-22'!D14</f>
        <v>400837</v>
      </c>
      <c r="D776" s="2" t="str">
        <f t="shared" si="11"/>
        <v>Error?</v>
      </c>
    </row>
    <row r="777" spans="1:4" x14ac:dyDescent="0.2">
      <c r="A777" s="5">
        <v>716</v>
      </c>
      <c r="B777" s="1832">
        <f>'Expenditures 15-22'!D15</f>
        <v>50760</v>
      </c>
      <c r="D777" s="2" t="str">
        <f t="shared" si="11"/>
        <v>Error?</v>
      </c>
    </row>
    <row r="778" spans="1:4" x14ac:dyDescent="0.2">
      <c r="A778" s="5">
        <v>717</v>
      </c>
      <c r="B778" s="1832">
        <f>'Expenditures 15-22'!D33</f>
        <v>55682748</v>
      </c>
      <c r="C778" s="2" t="s">
        <v>568</v>
      </c>
      <c r="D778" s="2" t="str">
        <f t="shared" si="11"/>
        <v>Error?</v>
      </c>
    </row>
    <row r="779" spans="1:4" x14ac:dyDescent="0.2">
      <c r="A779" s="5">
        <v>718</v>
      </c>
      <c r="B779" s="1832">
        <f>'Expenditures 15-22'!D36</f>
        <v>2632715</v>
      </c>
      <c r="D779" s="2" t="str">
        <f t="shared" si="11"/>
        <v>Error?</v>
      </c>
    </row>
    <row r="780" spans="1:4" x14ac:dyDescent="0.2">
      <c r="A780" s="5">
        <v>719</v>
      </c>
      <c r="B780" s="1832">
        <f>'Expenditures 15-22'!D37</f>
        <v>1257260</v>
      </c>
      <c r="D780" s="2" t="str">
        <f t="shared" si="11"/>
        <v>Error?</v>
      </c>
    </row>
    <row r="781" spans="1:4" x14ac:dyDescent="0.2">
      <c r="A781" s="5">
        <v>720</v>
      </c>
      <c r="B781" s="1832">
        <f>'Expenditures 15-22'!D38</f>
        <v>1198984</v>
      </c>
      <c r="D781" s="2" t="str">
        <f t="shared" si="11"/>
        <v>Error?</v>
      </c>
    </row>
    <row r="782" spans="1:4" x14ac:dyDescent="0.2">
      <c r="A782" s="5">
        <v>721</v>
      </c>
      <c r="B782" s="1832">
        <f>'Expenditures 15-22'!D39</f>
        <v>398801</v>
      </c>
      <c r="D782" s="2" t="str">
        <f t="shared" si="11"/>
        <v>Error?</v>
      </c>
    </row>
    <row r="783" spans="1:4" x14ac:dyDescent="0.2">
      <c r="A783" s="5">
        <v>722</v>
      </c>
      <c r="B783" s="1832">
        <f>'Expenditures 15-22'!D40</f>
        <v>1335868</v>
      </c>
      <c r="D783" s="2" t="str">
        <f t="shared" si="11"/>
        <v>Error?</v>
      </c>
    </row>
    <row r="784" spans="1:4" x14ac:dyDescent="0.2">
      <c r="A784" s="5">
        <v>723</v>
      </c>
      <c r="B784" s="1832">
        <f>'Expenditures 15-22'!D41</f>
        <v>34300</v>
      </c>
      <c r="D784" s="2" t="str">
        <f t="shared" si="11"/>
        <v>Error?</v>
      </c>
    </row>
    <row r="785" spans="1:4" x14ac:dyDescent="0.2">
      <c r="A785" s="5">
        <v>724</v>
      </c>
      <c r="B785" s="1832">
        <f>'Expenditures 15-22'!D42</f>
        <v>6857928</v>
      </c>
      <c r="C785" s="2" t="s">
        <v>568</v>
      </c>
      <c r="D785" s="2" t="str">
        <f t="shared" si="11"/>
        <v>Error?</v>
      </c>
    </row>
    <row r="786" spans="1:4" x14ac:dyDescent="0.2">
      <c r="A786" s="5">
        <v>725</v>
      </c>
      <c r="B786" s="1832">
        <f>'Expenditures 15-22'!D44</f>
        <v>2134263</v>
      </c>
      <c r="D786" s="2" t="str">
        <f t="shared" si="11"/>
        <v>Error?</v>
      </c>
    </row>
    <row r="787" spans="1:4" x14ac:dyDescent="0.2">
      <c r="A787" s="5">
        <v>726</v>
      </c>
      <c r="B787" s="1832">
        <f>'Expenditures 15-22'!D45</f>
        <v>714480</v>
      </c>
      <c r="D787" s="2" t="str">
        <f t="shared" si="11"/>
        <v>Error?</v>
      </c>
    </row>
    <row r="788" spans="1:4" x14ac:dyDescent="0.2">
      <c r="A788" s="5">
        <v>727</v>
      </c>
      <c r="B788" s="1832">
        <f>'Expenditures 15-22'!D46</f>
        <v>215611</v>
      </c>
      <c r="D788" s="2" t="str">
        <f t="shared" si="11"/>
        <v>Error?</v>
      </c>
    </row>
    <row r="789" spans="1:4" x14ac:dyDescent="0.2">
      <c r="A789" s="5">
        <v>728</v>
      </c>
      <c r="B789" s="1832">
        <f>'Expenditures 15-22'!D47</f>
        <v>3064354</v>
      </c>
      <c r="C789" s="2" t="s">
        <v>568</v>
      </c>
      <c r="D789" s="2" t="str">
        <f t="shared" si="11"/>
        <v>Error?</v>
      </c>
    </row>
    <row r="790" spans="1:4" x14ac:dyDescent="0.2">
      <c r="A790" s="5">
        <v>729</v>
      </c>
      <c r="B790" s="1832">
        <f>'Expenditures 15-22'!D49</f>
        <v>4875</v>
      </c>
      <c r="D790" s="2" t="str">
        <f t="shared" si="11"/>
        <v>Error?</v>
      </c>
    </row>
    <row r="791" spans="1:4" x14ac:dyDescent="0.2">
      <c r="A791" s="5">
        <v>730</v>
      </c>
      <c r="B791" s="1832">
        <f>'Expenditures 15-22'!D50</f>
        <v>366546</v>
      </c>
      <c r="D791" s="2" t="str">
        <f t="shared" si="11"/>
        <v>Error?</v>
      </c>
    </row>
    <row r="792" spans="1:4" x14ac:dyDescent="0.2">
      <c r="A792" s="5">
        <v>731</v>
      </c>
      <c r="B792" s="1832">
        <f>'Expenditures 15-22'!D53</f>
        <v>1222776</v>
      </c>
      <c r="C792" s="2" t="s">
        <v>568</v>
      </c>
      <c r="D792" s="2" t="str">
        <f t="shared" si="11"/>
        <v>Error?</v>
      </c>
    </row>
    <row r="793" spans="1:4" x14ac:dyDescent="0.2">
      <c r="A793" s="5">
        <v>732</v>
      </c>
      <c r="B793" s="1832">
        <f>'Expenditures 15-22'!D55</f>
        <v>4572323</v>
      </c>
      <c r="D793" s="2" t="str">
        <f t="shared" si="11"/>
        <v>Error?</v>
      </c>
    </row>
    <row r="794" spans="1:4" x14ac:dyDescent="0.2">
      <c r="A794" s="5">
        <v>733</v>
      </c>
      <c r="B794" s="1832">
        <f>'Expenditures 15-22'!D56</f>
        <v>1285236</v>
      </c>
      <c r="D794" s="2" t="str">
        <f t="shared" si="11"/>
        <v>Error?</v>
      </c>
    </row>
    <row r="795" spans="1:4" x14ac:dyDescent="0.2">
      <c r="A795" s="5">
        <v>734</v>
      </c>
      <c r="B795" s="1832">
        <f>'Expenditures 15-22'!D57</f>
        <v>5857559</v>
      </c>
      <c r="C795" s="2" t="s">
        <v>568</v>
      </c>
      <c r="D795" s="2" t="str">
        <f t="shared" si="11"/>
        <v>Error?</v>
      </c>
    </row>
    <row r="796" spans="1:4" x14ac:dyDescent="0.2">
      <c r="A796" s="5">
        <v>735</v>
      </c>
      <c r="B796" s="1832">
        <f>'Expenditures 15-22'!D59</f>
        <v>40272</v>
      </c>
      <c r="D796" s="2" t="str">
        <f t="shared" si="11"/>
        <v>Error?</v>
      </c>
    </row>
    <row r="797" spans="1:4" x14ac:dyDescent="0.2">
      <c r="A797" s="5">
        <v>736</v>
      </c>
      <c r="B797" s="1832">
        <f>'Expenditures 15-22'!D60</f>
        <v>240962</v>
      </c>
      <c r="D797" s="2" t="str">
        <f t="shared" si="11"/>
        <v>Error?</v>
      </c>
    </row>
    <row r="798" spans="1:4" x14ac:dyDescent="0.2">
      <c r="A798" s="5">
        <v>737</v>
      </c>
      <c r="B798" s="1832">
        <f>'Expenditures 15-22'!D61</f>
        <v>56689</v>
      </c>
      <c r="D798" s="2" t="str">
        <f t="shared" si="11"/>
        <v>Error?</v>
      </c>
    </row>
    <row r="799" spans="1:4" x14ac:dyDescent="0.2">
      <c r="A799" s="5">
        <v>738</v>
      </c>
      <c r="B799" s="1832">
        <f>'Expenditures 15-22'!D62</f>
        <v>6765</v>
      </c>
      <c r="D799" s="2" t="str">
        <f t="shared" si="11"/>
        <v>Error?</v>
      </c>
    </row>
    <row r="800" spans="1:4" x14ac:dyDescent="0.2">
      <c r="A800" s="5">
        <v>739</v>
      </c>
      <c r="B800" s="1832">
        <f>'Expenditures 15-22'!D63</f>
        <v>2206624</v>
      </c>
      <c r="D800" s="2" t="str">
        <f t="shared" si="11"/>
        <v>Error?</v>
      </c>
    </row>
    <row r="801" spans="1:4" x14ac:dyDescent="0.2">
      <c r="A801" s="5">
        <v>740</v>
      </c>
      <c r="B801" s="1832">
        <f>'Expenditures 15-22'!D64</f>
        <v>236026</v>
      </c>
      <c r="D801" s="2" t="str">
        <f t="shared" si="11"/>
        <v>Error?</v>
      </c>
    </row>
    <row r="802" spans="1:4" x14ac:dyDescent="0.2">
      <c r="A802" s="10">
        <v>741</v>
      </c>
      <c r="B802" s="1832"/>
      <c r="D802" s="2" t="str">
        <f t="shared" si="11"/>
        <v>OK</v>
      </c>
    </row>
    <row r="803" spans="1:4" x14ac:dyDescent="0.2">
      <c r="A803" s="5">
        <v>742</v>
      </c>
      <c r="B803" s="1832">
        <f>'Expenditures 15-22'!D65</f>
        <v>2787338</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86658</v>
      </c>
      <c r="D806" s="2" t="str">
        <f t="shared" si="11"/>
        <v>Error?</v>
      </c>
    </row>
    <row r="807" spans="1:4" x14ac:dyDescent="0.2">
      <c r="A807" s="5">
        <v>746</v>
      </c>
      <c r="B807" s="1832">
        <f>'Expenditures 15-22'!D70</f>
        <v>218490</v>
      </c>
      <c r="D807" s="2" t="str">
        <f t="shared" si="11"/>
        <v>Error?</v>
      </c>
    </row>
    <row r="808" spans="1:4" x14ac:dyDescent="0.2">
      <c r="A808" s="10">
        <v>747</v>
      </c>
      <c r="B808" s="1832"/>
      <c r="D808" s="2" t="str">
        <f t="shared" si="11"/>
        <v>OK</v>
      </c>
    </row>
    <row r="809" spans="1:4" x14ac:dyDescent="0.2">
      <c r="A809" s="5">
        <v>748</v>
      </c>
      <c r="B809" s="1832">
        <f>'Expenditures 15-22'!D71</f>
        <v>479278</v>
      </c>
      <c r="D809" s="2" t="str">
        <f t="shared" si="11"/>
        <v>Error?</v>
      </c>
    </row>
    <row r="810" spans="1:4" x14ac:dyDescent="0.2">
      <c r="A810" s="10">
        <v>749</v>
      </c>
      <c r="B810" s="1832"/>
      <c r="D810" s="2" t="str">
        <f t="shared" si="11"/>
        <v>OK</v>
      </c>
    </row>
    <row r="811" spans="1:4" x14ac:dyDescent="0.2">
      <c r="A811" s="5">
        <v>750</v>
      </c>
      <c r="B811" s="1832">
        <f>'Expenditures 15-22'!D72</f>
        <v>784426</v>
      </c>
      <c r="C811" s="2" t="s">
        <v>568</v>
      </c>
      <c r="D811" s="2" t="str">
        <f t="shared" si="11"/>
        <v>Error?</v>
      </c>
    </row>
    <row r="812" spans="1:4" x14ac:dyDescent="0.2">
      <c r="A812" s="5">
        <v>751</v>
      </c>
      <c r="B812" s="1832">
        <f>'Expenditures 15-22'!D73</f>
        <v>80621</v>
      </c>
      <c r="D812" s="2" t="str">
        <f t="shared" si="11"/>
        <v>Error?</v>
      </c>
    </row>
    <row r="813" spans="1:4" x14ac:dyDescent="0.2">
      <c r="A813" s="5">
        <v>752</v>
      </c>
      <c r="B813" s="1832">
        <f>'Expenditures 15-22'!D74</f>
        <v>20655002</v>
      </c>
      <c r="C813" s="2" t="s">
        <v>568</v>
      </c>
      <c r="D813" s="2" t="str">
        <f t="shared" si="11"/>
        <v>Error?</v>
      </c>
    </row>
    <row r="814" spans="1:4" x14ac:dyDescent="0.2">
      <c r="A814" s="5">
        <v>753</v>
      </c>
      <c r="B814" s="1832">
        <f>'Expenditures 15-22'!D75</f>
        <v>374473</v>
      </c>
      <c r="D814" s="2" t="str">
        <f t="shared" si="11"/>
        <v>Error?</v>
      </c>
    </row>
    <row r="815" spans="1:4" x14ac:dyDescent="0.2">
      <c r="A815" s="5">
        <v>754</v>
      </c>
      <c r="B815" s="1832">
        <f>'Expenditures 15-22'!D114</f>
        <v>76712223</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1514659</v>
      </c>
      <c r="D821" s="2" t="str">
        <f t="shared" si="11"/>
        <v>Error?</v>
      </c>
    </row>
    <row r="822" spans="1:4" x14ac:dyDescent="0.2">
      <c r="A822" s="5">
        <v>761</v>
      </c>
      <c r="B822" s="1832">
        <f>'Expenditures 15-22'!E16</f>
        <v>100702</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54521</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263724</v>
      </c>
      <c r="D833" s="2" t="str">
        <f t="shared" si="12"/>
        <v>Error?</v>
      </c>
    </row>
    <row r="834" spans="1:4" x14ac:dyDescent="0.2">
      <c r="A834" s="5">
        <v>773</v>
      </c>
      <c r="B834" s="1832">
        <f>'Expenditures 15-22'!E14</f>
        <v>457268</v>
      </c>
      <c r="D834" s="2" t="str">
        <f t="shared" si="12"/>
        <v>Error?</v>
      </c>
    </row>
    <row r="835" spans="1:4" x14ac:dyDescent="0.2">
      <c r="A835" s="5">
        <v>774</v>
      </c>
      <c r="B835" s="1832">
        <f>'Expenditures 15-22'!E15</f>
        <v>17768</v>
      </c>
      <c r="D835" s="2" t="str">
        <f t="shared" si="12"/>
        <v>Error?</v>
      </c>
    </row>
    <row r="836" spans="1:4" x14ac:dyDescent="0.2">
      <c r="A836" s="5">
        <v>775</v>
      </c>
      <c r="B836" s="1832">
        <f>'Expenditures 15-22'!E33</f>
        <v>3214132</v>
      </c>
      <c r="C836" s="2" t="s">
        <v>568</v>
      </c>
      <c r="D836" s="2" t="str">
        <f t="shared" si="12"/>
        <v>Error?</v>
      </c>
    </row>
    <row r="837" spans="1:4" x14ac:dyDescent="0.2">
      <c r="A837" s="5">
        <v>776</v>
      </c>
      <c r="B837" s="1832">
        <f>'Expenditures 15-22'!E36</f>
        <v>107214</v>
      </c>
      <c r="D837" s="2" t="str">
        <f t="shared" si="12"/>
        <v>Error?</v>
      </c>
    </row>
    <row r="838" spans="1:4" x14ac:dyDescent="0.2">
      <c r="A838" s="5">
        <v>777</v>
      </c>
      <c r="B838" s="1832">
        <f>'Expenditures 15-22'!E37</f>
        <v>160487</v>
      </c>
      <c r="D838" s="2" t="str">
        <f t="shared" si="12"/>
        <v>Error?</v>
      </c>
    </row>
    <row r="839" spans="1:4" x14ac:dyDescent="0.2">
      <c r="A839" s="5">
        <v>778</v>
      </c>
      <c r="B839" s="1832">
        <f>'Expenditures 15-22'!E38</f>
        <v>848711</v>
      </c>
      <c r="D839" s="2" t="str">
        <f t="shared" si="12"/>
        <v>Error?</v>
      </c>
    </row>
    <row r="840" spans="1:4" x14ac:dyDescent="0.2">
      <c r="A840" s="5">
        <v>779</v>
      </c>
      <c r="B840" s="1832">
        <f>'Expenditures 15-22'!E39</f>
        <v>81763</v>
      </c>
      <c r="D840" s="2" t="str">
        <f t="shared" si="12"/>
        <v>Error?</v>
      </c>
    </row>
    <row r="841" spans="1:4" x14ac:dyDescent="0.2">
      <c r="A841" s="5">
        <v>780</v>
      </c>
      <c r="B841" s="1832">
        <f>'Expenditures 15-22'!E40</f>
        <v>2509466</v>
      </c>
      <c r="D841" s="2" t="str">
        <f t="shared" si="12"/>
        <v>Error?</v>
      </c>
    </row>
    <row r="842" spans="1:4" x14ac:dyDescent="0.2">
      <c r="A842" s="5">
        <v>781</v>
      </c>
      <c r="B842" s="1832">
        <f>'Expenditures 15-22'!E41</f>
        <v>31641</v>
      </c>
      <c r="D842" s="2" t="str">
        <f t="shared" si="12"/>
        <v>Error?</v>
      </c>
    </row>
    <row r="843" spans="1:4" x14ac:dyDescent="0.2">
      <c r="A843" s="5">
        <v>782</v>
      </c>
      <c r="B843" s="1832">
        <f>'Expenditures 15-22'!E42</f>
        <v>3739282</v>
      </c>
      <c r="C843" s="2" t="s">
        <v>568</v>
      </c>
      <c r="D843" s="2" t="str">
        <f t="shared" si="12"/>
        <v>Error?</v>
      </c>
    </row>
    <row r="844" spans="1:4" x14ac:dyDescent="0.2">
      <c r="A844" s="5">
        <v>783</v>
      </c>
      <c r="B844" s="1832">
        <f>'Expenditures 15-22'!E44</f>
        <v>2095879</v>
      </c>
      <c r="D844" s="2" t="str">
        <f t="shared" si="12"/>
        <v>Error?</v>
      </c>
    </row>
    <row r="845" spans="1:4" x14ac:dyDescent="0.2">
      <c r="A845" s="5">
        <v>784</v>
      </c>
      <c r="B845" s="1832">
        <f>'Expenditures 15-22'!E45</f>
        <v>911</v>
      </c>
      <c r="D845" s="2" t="str">
        <f t="shared" si="12"/>
        <v>Error?</v>
      </c>
    </row>
    <row r="846" spans="1:4" x14ac:dyDescent="0.2">
      <c r="A846" s="5">
        <v>785</v>
      </c>
      <c r="B846" s="1832">
        <f>'Expenditures 15-22'!E46</f>
        <v>809688</v>
      </c>
      <c r="D846" s="2" t="str">
        <f t="shared" si="12"/>
        <v>Error?</v>
      </c>
    </row>
    <row r="847" spans="1:4" x14ac:dyDescent="0.2">
      <c r="A847" s="5">
        <v>786</v>
      </c>
      <c r="B847" s="1832">
        <f>'Expenditures 15-22'!E47</f>
        <v>2906478</v>
      </c>
      <c r="C847" s="2" t="s">
        <v>568</v>
      </c>
      <c r="D847" s="2" t="str">
        <f t="shared" si="12"/>
        <v>Error?</v>
      </c>
    </row>
    <row r="848" spans="1:4" x14ac:dyDescent="0.2">
      <c r="A848" s="5">
        <v>787</v>
      </c>
      <c r="B848" s="1832">
        <f>'Expenditures 15-22'!E49</f>
        <v>14187</v>
      </c>
      <c r="D848" s="2" t="str">
        <f t="shared" si="12"/>
        <v>Error?</v>
      </c>
    </row>
    <row r="849" spans="1:4" x14ac:dyDescent="0.2">
      <c r="A849" s="5">
        <v>788</v>
      </c>
      <c r="B849" s="1832">
        <f>'Expenditures 15-22'!E50</f>
        <v>585956</v>
      </c>
      <c r="D849" s="2" t="str">
        <f t="shared" si="12"/>
        <v>Error?</v>
      </c>
    </row>
    <row r="850" spans="1:4" x14ac:dyDescent="0.2">
      <c r="A850" s="5">
        <v>789</v>
      </c>
      <c r="B850" s="1832">
        <f>'Expenditures 15-22'!E53</f>
        <v>1776298</v>
      </c>
      <c r="C850" s="2" t="s">
        <v>568</v>
      </c>
      <c r="D850" s="2" t="str">
        <f t="shared" si="12"/>
        <v>Error?</v>
      </c>
    </row>
    <row r="851" spans="1:4" x14ac:dyDescent="0.2">
      <c r="A851" s="5">
        <v>790</v>
      </c>
      <c r="B851" s="1832">
        <f>'Expenditures 15-22'!E55</f>
        <v>35397</v>
      </c>
      <c r="D851" s="2" t="str">
        <f t="shared" si="12"/>
        <v>Error?</v>
      </c>
    </row>
    <row r="852" spans="1:4" x14ac:dyDescent="0.2">
      <c r="A852" s="5">
        <v>791</v>
      </c>
      <c r="B852" s="1832">
        <f>'Expenditures 15-22'!E56</f>
        <v>5780</v>
      </c>
      <c r="D852" s="2" t="str">
        <f t="shared" si="12"/>
        <v>Error?</v>
      </c>
    </row>
    <row r="853" spans="1:4" x14ac:dyDescent="0.2">
      <c r="A853" s="5">
        <v>792</v>
      </c>
      <c r="B853" s="1832">
        <f>'Expenditures 15-22'!E57</f>
        <v>41177</v>
      </c>
      <c r="C853" s="2" t="s">
        <v>568</v>
      </c>
      <c r="D853" s="2" t="str">
        <f t="shared" si="12"/>
        <v>Error?</v>
      </c>
    </row>
    <row r="854" spans="1:4" x14ac:dyDescent="0.2">
      <c r="A854" s="5">
        <v>793</v>
      </c>
      <c r="B854" s="1832">
        <f>'Expenditures 15-22'!E59</f>
        <v>162389</v>
      </c>
      <c r="D854" s="2" t="str">
        <f t="shared" si="12"/>
        <v>Error?</v>
      </c>
    </row>
    <row r="855" spans="1:4" x14ac:dyDescent="0.2">
      <c r="A855" s="5">
        <v>794</v>
      </c>
      <c r="B855" s="1832">
        <f>'Expenditures 15-22'!E60</f>
        <v>258872</v>
      </c>
      <c r="D855" s="2" t="str">
        <f t="shared" si="12"/>
        <v>Error?</v>
      </c>
    </row>
    <row r="856" spans="1:4" x14ac:dyDescent="0.2">
      <c r="A856" s="5">
        <v>795</v>
      </c>
      <c r="B856" s="1832">
        <f>'Expenditures 15-22'!E61</f>
        <v>340585</v>
      </c>
      <c r="D856" s="2" t="str">
        <f t="shared" si="12"/>
        <v>Error?</v>
      </c>
    </row>
    <row r="857" spans="1:4" x14ac:dyDescent="0.2">
      <c r="A857" s="5">
        <v>796</v>
      </c>
      <c r="B857" s="1832">
        <f>'Expenditures 15-22'!E62</f>
        <v>1115865</v>
      </c>
      <c r="D857" s="2" t="str">
        <f t="shared" si="12"/>
        <v>Error?</v>
      </c>
    </row>
    <row r="858" spans="1:4" x14ac:dyDescent="0.2">
      <c r="A858" s="5">
        <v>797</v>
      </c>
      <c r="B858" s="1832">
        <f>'Expenditures 15-22'!E63</f>
        <v>702762</v>
      </c>
      <c r="D858" s="2" t="str">
        <f t="shared" si="12"/>
        <v>Error?</v>
      </c>
    </row>
    <row r="859" spans="1:4" x14ac:dyDescent="0.2">
      <c r="A859" s="5">
        <v>798</v>
      </c>
      <c r="B859" s="1832">
        <f>'Expenditures 15-22'!E64</f>
        <v>389424</v>
      </c>
      <c r="D859" s="2" t="str">
        <f t="shared" si="12"/>
        <v>Error?</v>
      </c>
    </row>
    <row r="860" spans="1:4" x14ac:dyDescent="0.2">
      <c r="A860" s="10">
        <v>799</v>
      </c>
      <c r="B860" s="1832"/>
      <c r="D860" s="2" t="str">
        <f t="shared" si="12"/>
        <v>OK</v>
      </c>
    </row>
    <row r="861" spans="1:4" x14ac:dyDescent="0.2">
      <c r="A861" s="5">
        <v>800</v>
      </c>
      <c r="B861" s="1832">
        <f>'Expenditures 15-22'!E65</f>
        <v>2969897</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52650</v>
      </c>
      <c r="D863" s="2" t="str">
        <f t="shared" si="12"/>
        <v>Error?</v>
      </c>
    </row>
    <row r="864" spans="1:4" x14ac:dyDescent="0.2">
      <c r="A864" s="5">
        <v>803</v>
      </c>
      <c r="B864" s="1832">
        <f>'Expenditures 15-22'!E69</f>
        <v>188801</v>
      </c>
      <c r="D864" s="2" t="str">
        <f t="shared" si="12"/>
        <v>Error?</v>
      </c>
    </row>
    <row r="865" spans="1:4" x14ac:dyDescent="0.2">
      <c r="A865" s="5">
        <v>804</v>
      </c>
      <c r="B865" s="1832">
        <f>'Expenditures 15-22'!E70</f>
        <v>1062586</v>
      </c>
      <c r="D865" s="2" t="str">
        <f t="shared" si="12"/>
        <v>Error?</v>
      </c>
    </row>
    <row r="866" spans="1:4" x14ac:dyDescent="0.2">
      <c r="A866" s="10">
        <v>805</v>
      </c>
      <c r="B866" s="1832"/>
      <c r="D866" s="2" t="str">
        <f t="shared" si="12"/>
        <v>OK</v>
      </c>
    </row>
    <row r="867" spans="1:4" x14ac:dyDescent="0.2">
      <c r="A867" s="5">
        <v>806</v>
      </c>
      <c r="B867" s="1832">
        <f>'Expenditures 15-22'!E71</f>
        <v>3429111</v>
      </c>
      <c r="D867" s="2" t="str">
        <f t="shared" si="12"/>
        <v>Error?</v>
      </c>
    </row>
    <row r="868" spans="1:4" x14ac:dyDescent="0.2">
      <c r="A868" s="10">
        <v>807</v>
      </c>
      <c r="B868" s="1832"/>
      <c r="D868" s="2" t="str">
        <f t="shared" si="12"/>
        <v>OK</v>
      </c>
    </row>
    <row r="869" spans="1:4" x14ac:dyDescent="0.2">
      <c r="A869" s="5">
        <v>808</v>
      </c>
      <c r="B869" s="1832">
        <f>'Expenditures 15-22'!E72</f>
        <v>4733148</v>
      </c>
      <c r="C869" s="2" t="s">
        <v>568</v>
      </c>
      <c r="D869" s="2" t="str">
        <f t="shared" si="12"/>
        <v>Error?</v>
      </c>
    </row>
    <row r="870" spans="1:4" x14ac:dyDescent="0.2">
      <c r="A870" s="5">
        <v>809</v>
      </c>
      <c r="B870" s="1832">
        <f>'Expenditures 15-22'!E73</f>
        <v>32189</v>
      </c>
      <c r="D870" s="2" t="str">
        <f t="shared" si="12"/>
        <v>Error?</v>
      </c>
    </row>
    <row r="871" spans="1:4" x14ac:dyDescent="0.2">
      <c r="A871" s="5">
        <v>810</v>
      </c>
      <c r="B871" s="1832">
        <f>'Expenditures 15-22'!E74</f>
        <v>16198469</v>
      </c>
      <c r="C871" s="2" t="s">
        <v>568</v>
      </c>
      <c r="D871" s="2" t="str">
        <f t="shared" si="12"/>
        <v>Error?</v>
      </c>
    </row>
    <row r="872" spans="1:4" x14ac:dyDescent="0.2">
      <c r="A872" s="5">
        <v>811</v>
      </c>
      <c r="B872" s="1832">
        <f>'Expenditures 15-22'!E75</f>
        <v>491013</v>
      </c>
      <c r="D872" s="2" t="str">
        <f t="shared" si="12"/>
        <v>Error?</v>
      </c>
    </row>
    <row r="873" spans="1:4" x14ac:dyDescent="0.2">
      <c r="A873" s="5">
        <v>812</v>
      </c>
      <c r="B873" s="1832">
        <f>'Expenditures 15-22'!E114</f>
        <v>20306069</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11302305</v>
      </c>
      <c r="D879" s="2" t="str">
        <f t="shared" si="12"/>
        <v>Error?</v>
      </c>
    </row>
    <row r="880" spans="1:4" x14ac:dyDescent="0.2">
      <c r="A880" s="5">
        <v>819</v>
      </c>
      <c r="B880" s="1832">
        <f>'Expenditures 15-22'!F16</f>
        <v>10775</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288491</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215657</v>
      </c>
      <c r="D891" s="2" t="str">
        <f t="shared" si="12"/>
        <v>Error?</v>
      </c>
    </row>
    <row r="892" spans="1:4" x14ac:dyDescent="0.2">
      <c r="A892" s="5">
        <v>831</v>
      </c>
      <c r="B892" s="1832">
        <f>'Expenditures 15-22'!F14</f>
        <v>339236</v>
      </c>
      <c r="D892" s="2" t="str">
        <f t="shared" si="12"/>
        <v>Error?</v>
      </c>
    </row>
    <row r="893" spans="1:4" x14ac:dyDescent="0.2">
      <c r="A893" s="5">
        <v>832</v>
      </c>
      <c r="B893" s="1832">
        <f>'Expenditures 15-22'!F15</f>
        <v>5151</v>
      </c>
      <c r="D893" s="2" t="str">
        <f t="shared" si="12"/>
        <v>Error?</v>
      </c>
    </row>
    <row r="894" spans="1:4" x14ac:dyDescent="0.2">
      <c r="A894" s="5">
        <v>833</v>
      </c>
      <c r="B894" s="1832">
        <f>'Expenditures 15-22'!F33</f>
        <v>12708082</v>
      </c>
      <c r="C894" s="2" t="s">
        <v>568</v>
      </c>
      <c r="D894" s="2" t="str">
        <f t="shared" si="12"/>
        <v>Error?</v>
      </c>
    </row>
    <row r="895" spans="1:4" x14ac:dyDescent="0.2">
      <c r="A895" s="5">
        <v>834</v>
      </c>
      <c r="B895" s="1832">
        <f>'Expenditures 15-22'!F36</f>
        <v>30343</v>
      </c>
      <c r="D895" s="2" t="str">
        <f t="shared" ref="D895:D958" si="13">IF(ISBLANK(B895),"OK",IF(A895-B895=0,"OK","Error?"))</f>
        <v>Error?</v>
      </c>
    </row>
    <row r="896" spans="1:4" x14ac:dyDescent="0.2">
      <c r="A896" s="5">
        <v>835</v>
      </c>
      <c r="B896" s="1832">
        <f>'Expenditures 15-22'!F37</f>
        <v>14662</v>
      </c>
      <c r="D896" s="2" t="str">
        <f t="shared" si="13"/>
        <v>Error?</v>
      </c>
    </row>
    <row r="897" spans="1:4" x14ac:dyDescent="0.2">
      <c r="A897" s="5">
        <v>836</v>
      </c>
      <c r="B897" s="1832">
        <f>'Expenditures 15-22'!F38</f>
        <v>84603</v>
      </c>
      <c r="D897" s="2" t="str">
        <f t="shared" si="13"/>
        <v>Error?</v>
      </c>
    </row>
    <row r="898" spans="1:4" x14ac:dyDescent="0.2">
      <c r="A898" s="5">
        <v>837</v>
      </c>
      <c r="B898" s="1832">
        <f>'Expenditures 15-22'!F39</f>
        <v>31470</v>
      </c>
      <c r="D898" s="2" t="str">
        <f t="shared" si="13"/>
        <v>Error?</v>
      </c>
    </row>
    <row r="899" spans="1:4" x14ac:dyDescent="0.2">
      <c r="A899" s="5">
        <v>838</v>
      </c>
      <c r="B899" s="1832">
        <f>'Expenditures 15-22'!F40</f>
        <v>44200</v>
      </c>
      <c r="D899" s="2" t="str">
        <f t="shared" si="13"/>
        <v>Error?</v>
      </c>
    </row>
    <row r="900" spans="1:4" x14ac:dyDescent="0.2">
      <c r="A900" s="5">
        <v>839</v>
      </c>
      <c r="B900" s="1832">
        <f>'Expenditures 15-22'!F41</f>
        <v>40857</v>
      </c>
      <c r="D900" s="2" t="str">
        <f t="shared" si="13"/>
        <v>Error?</v>
      </c>
    </row>
    <row r="901" spans="1:4" x14ac:dyDescent="0.2">
      <c r="A901" s="5">
        <v>840</v>
      </c>
      <c r="B901" s="1832">
        <f>'Expenditures 15-22'!F42</f>
        <v>246135</v>
      </c>
      <c r="C901" s="2" t="s">
        <v>568</v>
      </c>
      <c r="D901" s="2" t="str">
        <f t="shared" si="13"/>
        <v>Error?</v>
      </c>
    </row>
    <row r="902" spans="1:4" x14ac:dyDescent="0.2">
      <c r="A902" s="5">
        <v>841</v>
      </c>
      <c r="B902" s="1832">
        <f>'Expenditures 15-22'!F44</f>
        <v>302299</v>
      </c>
      <c r="D902" s="2" t="str">
        <f t="shared" si="13"/>
        <v>Error?</v>
      </c>
    </row>
    <row r="903" spans="1:4" x14ac:dyDescent="0.2">
      <c r="A903" s="5">
        <v>842</v>
      </c>
      <c r="B903" s="1832">
        <f>'Expenditures 15-22'!F45</f>
        <v>290342</v>
      </c>
      <c r="D903" s="2" t="str">
        <f t="shared" si="13"/>
        <v>Error?</v>
      </c>
    </row>
    <row r="904" spans="1:4" x14ac:dyDescent="0.2">
      <c r="A904" s="5">
        <v>843</v>
      </c>
      <c r="B904" s="1832">
        <f>'Expenditures 15-22'!F46</f>
        <v>64037</v>
      </c>
      <c r="D904" s="2" t="str">
        <f t="shared" si="13"/>
        <v>Error?</v>
      </c>
    </row>
    <row r="905" spans="1:4" x14ac:dyDescent="0.2">
      <c r="A905" s="5">
        <v>844</v>
      </c>
      <c r="B905" s="1832">
        <f>'Expenditures 15-22'!F47</f>
        <v>656678</v>
      </c>
      <c r="C905" s="2" t="s">
        <v>568</v>
      </c>
      <c r="D905" s="2" t="str">
        <f t="shared" si="13"/>
        <v>Error?</v>
      </c>
    </row>
    <row r="906" spans="1:4" x14ac:dyDescent="0.2">
      <c r="A906" s="5">
        <v>845</v>
      </c>
      <c r="B906" s="1832">
        <f>'Expenditures 15-22'!F49</f>
        <v>11102</v>
      </c>
      <c r="D906" s="2" t="str">
        <f t="shared" si="13"/>
        <v>Error?</v>
      </c>
    </row>
    <row r="907" spans="1:4" x14ac:dyDescent="0.2">
      <c r="A907" s="5">
        <v>846</v>
      </c>
      <c r="B907" s="1832">
        <f>'Expenditures 15-22'!F50</f>
        <v>55456</v>
      </c>
      <c r="D907" s="2" t="str">
        <f t="shared" si="13"/>
        <v>Error?</v>
      </c>
    </row>
    <row r="908" spans="1:4" x14ac:dyDescent="0.2">
      <c r="A908" s="5">
        <v>847</v>
      </c>
      <c r="B908" s="1832">
        <f>'Expenditures 15-22'!F53</f>
        <v>98821</v>
      </c>
      <c r="C908" s="2" t="s">
        <v>568</v>
      </c>
      <c r="D908" s="2" t="str">
        <f t="shared" si="13"/>
        <v>Error?</v>
      </c>
    </row>
    <row r="909" spans="1:4" x14ac:dyDescent="0.2">
      <c r="A909" s="5">
        <v>848</v>
      </c>
      <c r="B909" s="1832">
        <f>'Expenditures 15-22'!F55</f>
        <v>31495</v>
      </c>
      <c r="D909" s="2" t="str">
        <f t="shared" si="13"/>
        <v>Error?</v>
      </c>
    </row>
    <row r="910" spans="1:4" x14ac:dyDescent="0.2">
      <c r="A910" s="5">
        <v>849</v>
      </c>
      <c r="B910" s="1832">
        <f>'Expenditures 15-22'!F56</f>
        <v>744</v>
      </c>
      <c r="D910" s="2" t="str">
        <f t="shared" si="13"/>
        <v>Error?</v>
      </c>
    </row>
    <row r="911" spans="1:4" x14ac:dyDescent="0.2">
      <c r="A911" s="5">
        <v>850</v>
      </c>
      <c r="B911" s="1832">
        <f>'Expenditures 15-22'!F57</f>
        <v>32239</v>
      </c>
      <c r="C911" s="2" t="s">
        <v>568</v>
      </c>
      <c r="D911" s="2" t="str">
        <f t="shared" si="13"/>
        <v>Error?</v>
      </c>
    </row>
    <row r="912" spans="1:4" x14ac:dyDescent="0.2">
      <c r="A912" s="5">
        <v>851</v>
      </c>
      <c r="B912" s="1832">
        <f>'Expenditures 15-22'!F59</f>
        <v>670</v>
      </c>
      <c r="D912" s="2" t="str">
        <f t="shared" si="13"/>
        <v>Error?</v>
      </c>
    </row>
    <row r="913" spans="1:4" x14ac:dyDescent="0.2">
      <c r="A913" s="5">
        <v>852</v>
      </c>
      <c r="B913" s="1832">
        <f>'Expenditures 15-22'!F60</f>
        <v>16272</v>
      </c>
      <c r="D913" s="2" t="str">
        <f t="shared" si="13"/>
        <v>Error?</v>
      </c>
    </row>
    <row r="914" spans="1:4" x14ac:dyDescent="0.2">
      <c r="A914" s="5">
        <v>853</v>
      </c>
      <c r="B914" s="1832">
        <f>'Expenditures 15-22'!F61</f>
        <v>506520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7224290</v>
      </c>
      <c r="D916" s="2" t="str">
        <f t="shared" si="13"/>
        <v>Error?</v>
      </c>
    </row>
    <row r="917" spans="1:4" x14ac:dyDescent="0.2">
      <c r="A917" s="5">
        <v>856</v>
      </c>
      <c r="B917" s="1832">
        <f>'Expenditures 15-22'!F64</f>
        <v>493528</v>
      </c>
      <c r="D917" s="2" t="str">
        <f t="shared" si="13"/>
        <v>Error?</v>
      </c>
    </row>
    <row r="918" spans="1:4" x14ac:dyDescent="0.2">
      <c r="A918" s="10">
        <v>857</v>
      </c>
      <c r="B918" s="1832"/>
      <c r="D918" s="2" t="str">
        <f t="shared" si="13"/>
        <v>OK</v>
      </c>
    </row>
    <row r="919" spans="1:4" x14ac:dyDescent="0.2">
      <c r="A919" s="5">
        <v>858</v>
      </c>
      <c r="B919" s="1832">
        <f>'Expenditures 15-22'!F65</f>
        <v>8241280</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5192</v>
      </c>
      <c r="D922" s="2" t="str">
        <f t="shared" si="13"/>
        <v>Error?</v>
      </c>
    </row>
    <row r="923" spans="1:4" x14ac:dyDescent="0.2">
      <c r="A923" s="5">
        <v>862</v>
      </c>
      <c r="B923" s="1832">
        <f>'Expenditures 15-22'!F70</f>
        <v>14970</v>
      </c>
      <c r="D923" s="2" t="str">
        <f t="shared" si="13"/>
        <v>Error?</v>
      </c>
    </row>
    <row r="924" spans="1:4" x14ac:dyDescent="0.2">
      <c r="A924" s="10">
        <v>863</v>
      </c>
      <c r="B924" s="1832"/>
      <c r="D924" s="2" t="str">
        <f t="shared" si="13"/>
        <v>OK</v>
      </c>
    </row>
    <row r="925" spans="1:4" x14ac:dyDescent="0.2">
      <c r="A925" s="5">
        <v>864</v>
      </c>
      <c r="B925" s="1832">
        <f>'Expenditures 15-22'!F71</f>
        <v>1044863</v>
      </c>
      <c r="D925" s="2" t="str">
        <f t="shared" si="13"/>
        <v>Error?</v>
      </c>
    </row>
    <row r="926" spans="1:4" x14ac:dyDescent="0.2">
      <c r="A926" s="10">
        <v>865</v>
      </c>
      <c r="B926" s="1832"/>
      <c r="D926" s="2" t="str">
        <f t="shared" si="13"/>
        <v>OK</v>
      </c>
    </row>
    <row r="927" spans="1:4" x14ac:dyDescent="0.2">
      <c r="A927" s="5">
        <v>866</v>
      </c>
      <c r="B927" s="1832">
        <f>'Expenditures 15-22'!F72</f>
        <v>1065025</v>
      </c>
      <c r="C927" s="2" t="s">
        <v>568</v>
      </c>
      <c r="D927" s="2" t="str">
        <f t="shared" si="13"/>
        <v>Error?</v>
      </c>
    </row>
    <row r="928" spans="1:4" x14ac:dyDescent="0.2">
      <c r="A928" s="5">
        <v>867</v>
      </c>
      <c r="B928" s="1832">
        <f>'Expenditures 15-22'!F73</f>
        <v>1694825</v>
      </c>
      <c r="D928" s="2" t="str">
        <f t="shared" si="13"/>
        <v>Error?</v>
      </c>
    </row>
    <row r="929" spans="1:4" x14ac:dyDescent="0.2">
      <c r="A929" s="5">
        <v>868</v>
      </c>
      <c r="B929" s="1832">
        <f>'Expenditures 15-22'!F74</f>
        <v>12035003</v>
      </c>
      <c r="C929" s="2" t="s">
        <v>568</v>
      </c>
      <c r="D929" s="2" t="str">
        <f t="shared" si="13"/>
        <v>Error?</v>
      </c>
    </row>
    <row r="930" spans="1:4" x14ac:dyDescent="0.2">
      <c r="A930" s="5">
        <v>869</v>
      </c>
      <c r="B930" s="1832">
        <f>'Expenditures 15-22'!F75</f>
        <v>120783</v>
      </c>
      <c r="D930" s="2" t="str">
        <f t="shared" si="13"/>
        <v>Error?</v>
      </c>
    </row>
    <row r="931" spans="1:4" x14ac:dyDescent="0.2">
      <c r="A931" s="5">
        <v>870</v>
      </c>
      <c r="B931" s="1832">
        <f>'Expenditures 15-22'!F114</f>
        <v>24863868</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109802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184735</v>
      </c>
      <c r="D949" s="2" t="str">
        <f t="shared" si="13"/>
        <v>Error?</v>
      </c>
    </row>
    <row r="950" spans="1:4" x14ac:dyDescent="0.2">
      <c r="A950" s="5">
        <v>889</v>
      </c>
      <c r="B950" s="1832">
        <f>'Expenditures 15-22'!G14</f>
        <v>9660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304518</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1488294</v>
      </c>
      <c r="D971" s="2" t="str">
        <f t="shared" si="14"/>
        <v>Error?</v>
      </c>
    </row>
    <row r="972" spans="1:4" x14ac:dyDescent="0.2">
      <c r="A972" s="5">
        <v>911</v>
      </c>
      <c r="B972" s="1832">
        <f>'Expenditures 15-22'!G61</f>
        <v>1120926</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118997</v>
      </c>
      <c r="D975" s="2" t="str">
        <f t="shared" si="14"/>
        <v>Error?</v>
      </c>
    </row>
    <row r="976" spans="1:4" x14ac:dyDescent="0.2">
      <c r="A976" s="10">
        <v>915</v>
      </c>
      <c r="B976" s="1832"/>
      <c r="D976" s="2" t="str">
        <f t="shared" si="14"/>
        <v>OK</v>
      </c>
    </row>
    <row r="977" spans="1:4" x14ac:dyDescent="0.2">
      <c r="A977" s="5">
        <v>916</v>
      </c>
      <c r="B977" s="1832">
        <f>'Expenditures 15-22'!G65</f>
        <v>2728217</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12163</v>
      </c>
      <c r="D983" s="2" t="str">
        <f t="shared" si="14"/>
        <v>Error?</v>
      </c>
    </row>
    <row r="984" spans="1:4" x14ac:dyDescent="0.2">
      <c r="A984" s="10">
        <v>923</v>
      </c>
      <c r="B984" s="1832"/>
      <c r="D984" s="2" t="str">
        <f t="shared" si="14"/>
        <v>OK</v>
      </c>
    </row>
    <row r="985" spans="1:4" x14ac:dyDescent="0.2">
      <c r="A985" s="5">
        <v>924</v>
      </c>
      <c r="B985" s="1832">
        <f>'Expenditures 15-22'!G72</f>
        <v>12163</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2740380</v>
      </c>
      <c r="C987" s="2" t="s">
        <v>568</v>
      </c>
      <c r="D987" s="2" t="str">
        <f t="shared" si="14"/>
        <v>Error?</v>
      </c>
    </row>
    <row r="988" spans="1:4" x14ac:dyDescent="0.2">
      <c r="A988" s="5">
        <v>927</v>
      </c>
      <c r="B988" s="1832">
        <f>'Expenditures 15-22'!G75</f>
        <v>129</v>
      </c>
      <c r="D988" s="2" t="str">
        <f t="shared" si="14"/>
        <v>Error?</v>
      </c>
    </row>
    <row r="989" spans="1:4" x14ac:dyDescent="0.2">
      <c r="A989" s="5">
        <v>928</v>
      </c>
      <c r="B989" s="1832">
        <f>'Expenditures 15-22'!G114</f>
        <v>3045027</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409027</v>
      </c>
      <c r="C995" s="9"/>
      <c r="D995" s="2" t="str">
        <f t="shared" si="14"/>
        <v>Error?</v>
      </c>
    </row>
    <row r="996" spans="1:4" x14ac:dyDescent="0.2">
      <c r="A996" s="5">
        <v>935</v>
      </c>
      <c r="B996" s="1832">
        <f>'Expenditures 15-22'!H16</f>
        <v>219</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409296</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53365</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53365</v>
      </c>
      <c r="C1021" s="2" t="s">
        <v>568</v>
      </c>
      <c r="D1021" s="2" t="str">
        <f t="shared" si="14"/>
        <v>Error?</v>
      </c>
    </row>
    <row r="1022" spans="1:4" x14ac:dyDescent="0.2">
      <c r="A1022" s="5">
        <v>961</v>
      </c>
      <c r="B1022" s="1832">
        <f>'Expenditures 15-22'!H49</f>
        <v>4163</v>
      </c>
      <c r="D1022" s="2" t="str">
        <f t="shared" si="14"/>
        <v>Error?</v>
      </c>
    </row>
    <row r="1023" spans="1:4" x14ac:dyDescent="0.2">
      <c r="A1023" s="5">
        <v>962</v>
      </c>
      <c r="B1023" s="1832">
        <f>'Expenditures 15-22'!H50</f>
        <v>72341</v>
      </c>
      <c r="D1023" s="2" t="str">
        <f t="shared" ref="D1023:D1086" si="15">IF(ISBLANK(B1023),"OK",IF(A1023-B1023=0,"OK","Error?"))</f>
        <v>Error?</v>
      </c>
    </row>
    <row r="1024" spans="1:4" x14ac:dyDescent="0.2">
      <c r="A1024" s="5">
        <v>963</v>
      </c>
      <c r="B1024" s="1832">
        <f>'Expenditures 15-22'!H53</f>
        <v>157326</v>
      </c>
      <c r="C1024" s="2" t="s">
        <v>568</v>
      </c>
      <c r="D1024" s="2" t="str">
        <f t="shared" si="15"/>
        <v>Error?</v>
      </c>
    </row>
    <row r="1025" spans="1:4" x14ac:dyDescent="0.2">
      <c r="A1025" s="5">
        <v>964</v>
      </c>
      <c r="B1025" s="1832">
        <f>'Expenditures 15-22'!H55</f>
        <v>4900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4900</v>
      </c>
      <c r="C1027" s="2" t="s">
        <v>568</v>
      </c>
      <c r="D1027" s="2" t="str">
        <f t="shared" si="15"/>
        <v>Error?</v>
      </c>
    </row>
    <row r="1028" spans="1:4" x14ac:dyDescent="0.2">
      <c r="A1028" s="5">
        <v>967</v>
      </c>
      <c r="B1028" s="1832">
        <f>'Expenditures 15-22'!H59</f>
        <v>829</v>
      </c>
      <c r="D1028" s="2" t="str">
        <f t="shared" si="15"/>
        <v>Error?</v>
      </c>
    </row>
    <row r="1029" spans="1:4" x14ac:dyDescent="0.2">
      <c r="A1029" s="5">
        <v>968</v>
      </c>
      <c r="B1029" s="1832">
        <f>'Expenditures 15-22'!H60</f>
        <v>105925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31905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138659</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5245</v>
      </c>
      <c r="D1038" s="2" t="str">
        <f t="shared" si="15"/>
        <v>Error?</v>
      </c>
    </row>
    <row r="1039" spans="1:4" x14ac:dyDescent="0.2">
      <c r="A1039" s="5">
        <v>978</v>
      </c>
      <c r="B1039" s="1832">
        <f>'Expenditures 15-22'!H70</f>
        <v>33615</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38860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393110</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9178727</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9981133</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1993</v>
      </c>
      <c r="E1056" s="4" t="s">
        <v>1992</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141051708</v>
      </c>
      <c r="C1093" s="2" t="s">
        <v>568</v>
      </c>
      <c r="D1093" s="2" t="str">
        <f t="shared" si="16"/>
        <v>Error?</v>
      </c>
    </row>
    <row r="1094" spans="1:4" x14ac:dyDescent="0.2">
      <c r="A1094" s="5">
        <v>1033</v>
      </c>
      <c r="B1094" s="1832">
        <f>'Expenditures 15-22'!K16</f>
        <v>5825951</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44419929</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6531979</v>
      </c>
      <c r="C1105" s="2" t="s">
        <v>568</v>
      </c>
      <c r="D1105" s="2" t="str">
        <f t="shared" si="16"/>
        <v>Error?</v>
      </c>
    </row>
    <row r="1106" spans="1:4" x14ac:dyDescent="0.2">
      <c r="A1106" s="5">
        <v>1045</v>
      </c>
      <c r="B1106" s="1832">
        <f>'Expenditures 15-22'!K14</f>
        <v>4031974</v>
      </c>
      <c r="C1106" s="2" t="s">
        <v>568</v>
      </c>
      <c r="D1106" s="2" t="str">
        <f t="shared" si="16"/>
        <v>Error?</v>
      </c>
    </row>
    <row r="1107" spans="1:4" x14ac:dyDescent="0.2">
      <c r="A1107" s="5">
        <v>1046</v>
      </c>
      <c r="B1107" s="1832">
        <f>'Expenditures 15-22'!K15</f>
        <v>459656</v>
      </c>
      <c r="C1107" s="2" t="s">
        <v>568</v>
      </c>
      <c r="D1107" s="2" t="str">
        <f t="shared" si="16"/>
        <v>Error?</v>
      </c>
    </row>
    <row r="1108" spans="1:4" x14ac:dyDescent="0.2">
      <c r="A1108" s="5">
        <v>1047</v>
      </c>
      <c r="B1108" s="1832">
        <f>'Expenditures 15-22'!K33</f>
        <v>268894400</v>
      </c>
      <c r="C1108" s="2" t="s">
        <v>568</v>
      </c>
      <c r="D1108" s="2" t="str">
        <f t="shared" si="16"/>
        <v>Error?</v>
      </c>
    </row>
    <row r="1109" spans="1:4" x14ac:dyDescent="0.2">
      <c r="A1109" s="5">
        <v>1048</v>
      </c>
      <c r="B1109" s="1832">
        <f>'Expenditures 15-22'!K36</f>
        <v>11314437</v>
      </c>
      <c r="C1109" s="2" t="s">
        <v>568</v>
      </c>
      <c r="D1109" s="2" t="str">
        <f t="shared" si="16"/>
        <v>Error?</v>
      </c>
    </row>
    <row r="1110" spans="1:4" x14ac:dyDescent="0.2">
      <c r="A1110" s="5">
        <v>1049</v>
      </c>
      <c r="B1110" s="1832">
        <f>'Expenditures 15-22'!K37</f>
        <v>5721853</v>
      </c>
      <c r="C1110" s="2" t="s">
        <v>568</v>
      </c>
      <c r="D1110" s="2" t="str">
        <f t="shared" si="16"/>
        <v>Error?</v>
      </c>
    </row>
    <row r="1111" spans="1:4" x14ac:dyDescent="0.2">
      <c r="A1111" s="5">
        <v>1050</v>
      </c>
      <c r="B1111" s="1832">
        <f>'Expenditures 15-22'!K38</f>
        <v>6811204</v>
      </c>
      <c r="C1111" s="2" t="s">
        <v>568</v>
      </c>
      <c r="D1111" s="2" t="str">
        <f t="shared" si="16"/>
        <v>Error?</v>
      </c>
    </row>
    <row r="1112" spans="1:4" x14ac:dyDescent="0.2">
      <c r="A1112" s="5">
        <v>1051</v>
      </c>
      <c r="B1112" s="1832">
        <f>'Expenditures 15-22'!K39</f>
        <v>2124633</v>
      </c>
      <c r="C1112" s="2" t="s">
        <v>568</v>
      </c>
      <c r="D1112" s="2" t="str">
        <f t="shared" si="16"/>
        <v>Error?</v>
      </c>
    </row>
    <row r="1113" spans="1:4" x14ac:dyDescent="0.2">
      <c r="A1113" s="5">
        <v>1052</v>
      </c>
      <c r="B1113" s="1832">
        <f>'Expenditures 15-22'!K40</f>
        <v>8735910</v>
      </c>
      <c r="C1113" s="2" t="s">
        <v>568</v>
      </c>
      <c r="D1113" s="2" t="str">
        <f t="shared" si="16"/>
        <v>Error?</v>
      </c>
    </row>
    <row r="1114" spans="1:4" x14ac:dyDescent="0.2">
      <c r="A1114" s="5">
        <v>1053</v>
      </c>
      <c r="B1114" s="1832">
        <f>'Expenditures 15-22'!K41</f>
        <v>2518938</v>
      </c>
      <c r="C1114" s="2" t="s">
        <v>568</v>
      </c>
      <c r="D1114" s="2" t="str">
        <f t="shared" si="16"/>
        <v>Error?</v>
      </c>
    </row>
    <row r="1115" spans="1:4" x14ac:dyDescent="0.2">
      <c r="A1115" s="5">
        <v>1054</v>
      </c>
      <c r="B1115" s="1832">
        <f>'Expenditures 15-22'!K42</f>
        <v>37226975</v>
      </c>
      <c r="C1115" s="2" t="s">
        <v>568</v>
      </c>
      <c r="D1115" s="2" t="str">
        <f t="shared" si="16"/>
        <v>Error?</v>
      </c>
    </row>
    <row r="1116" spans="1:4" x14ac:dyDescent="0.2">
      <c r="A1116" s="5">
        <v>1055</v>
      </c>
      <c r="B1116" s="1832">
        <f>'Expenditures 15-22'!K44</f>
        <v>11784331</v>
      </c>
      <c r="C1116" s="2" t="s">
        <v>568</v>
      </c>
      <c r="D1116" s="2" t="str">
        <f t="shared" si="16"/>
        <v>Error?</v>
      </c>
    </row>
    <row r="1117" spans="1:4" x14ac:dyDescent="0.2">
      <c r="A1117" s="5">
        <v>1056</v>
      </c>
      <c r="B1117" s="1832">
        <f>'Expenditures 15-22'!K45</f>
        <v>3105546</v>
      </c>
      <c r="C1117" s="2" t="s">
        <v>568</v>
      </c>
      <c r="D1117" s="2" t="str">
        <f t="shared" si="16"/>
        <v>Error?</v>
      </c>
    </row>
    <row r="1118" spans="1:4" x14ac:dyDescent="0.2">
      <c r="A1118" s="5">
        <v>1057</v>
      </c>
      <c r="B1118" s="1832">
        <f>'Expenditures 15-22'!K46</f>
        <v>2326246</v>
      </c>
      <c r="C1118" s="2" t="s">
        <v>568</v>
      </c>
      <c r="D1118" s="2" t="str">
        <f t="shared" si="16"/>
        <v>Error?</v>
      </c>
    </row>
    <row r="1119" spans="1:4" x14ac:dyDescent="0.2">
      <c r="A1119" s="5">
        <v>1058</v>
      </c>
      <c r="B1119" s="1832">
        <f>'Expenditures 15-22'!K47</f>
        <v>17216123</v>
      </c>
      <c r="C1119" s="2" t="s">
        <v>568</v>
      </c>
      <c r="D1119" s="2" t="str">
        <f t="shared" si="16"/>
        <v>Error?</v>
      </c>
    </row>
    <row r="1120" spans="1:4" x14ac:dyDescent="0.2">
      <c r="A1120" s="5">
        <v>1059</v>
      </c>
      <c r="B1120" s="1832">
        <f>'Expenditures 15-22'!K49</f>
        <v>35685</v>
      </c>
      <c r="C1120" s="2" t="s">
        <v>568</v>
      </c>
      <c r="D1120" s="2" t="str">
        <f t="shared" si="16"/>
        <v>Error?</v>
      </c>
    </row>
    <row r="1121" spans="1:4" x14ac:dyDescent="0.2">
      <c r="A1121" s="5">
        <v>1060</v>
      </c>
      <c r="B1121" s="1832">
        <f>'Expenditures 15-22'!K50</f>
        <v>3749650</v>
      </c>
      <c r="C1121" s="2" t="s">
        <v>568</v>
      </c>
      <c r="D1121" s="2" t="str">
        <f t="shared" si="16"/>
        <v>Error?</v>
      </c>
    </row>
    <row r="1122" spans="1:4" x14ac:dyDescent="0.2">
      <c r="A1122" s="5">
        <v>1061</v>
      </c>
      <c r="B1122" s="1832">
        <f>'Expenditures 15-22'!K53</f>
        <v>9850955</v>
      </c>
      <c r="C1122" s="2" t="s">
        <v>568</v>
      </c>
      <c r="D1122" s="2" t="str">
        <f t="shared" si="16"/>
        <v>Error?</v>
      </c>
    </row>
    <row r="1123" spans="1:4" x14ac:dyDescent="0.2">
      <c r="A1123" s="5">
        <v>1062</v>
      </c>
      <c r="B1123" s="1832">
        <f>'Expenditures 15-22'!K55</f>
        <v>22167017</v>
      </c>
      <c r="C1123" s="2" t="s">
        <v>568</v>
      </c>
      <c r="D1123" s="2" t="str">
        <f t="shared" si="16"/>
        <v>Error?</v>
      </c>
    </row>
    <row r="1124" spans="1:4" x14ac:dyDescent="0.2">
      <c r="A1124" s="5">
        <v>1063</v>
      </c>
      <c r="B1124" s="1832">
        <f>'Expenditures 15-22'!K56</f>
        <v>6036276</v>
      </c>
      <c r="C1124" s="2" t="s">
        <v>568</v>
      </c>
      <c r="D1124" s="2" t="str">
        <f t="shared" si="16"/>
        <v>Error?</v>
      </c>
    </row>
    <row r="1125" spans="1:4" x14ac:dyDescent="0.2">
      <c r="A1125" s="5">
        <v>1064</v>
      </c>
      <c r="B1125" s="1832">
        <f>'Expenditures 15-22'!K57</f>
        <v>28203293</v>
      </c>
      <c r="C1125" s="2" t="s">
        <v>568</v>
      </c>
      <c r="D1125" s="2" t="str">
        <f t="shared" si="16"/>
        <v>Error?</v>
      </c>
    </row>
    <row r="1126" spans="1:4" x14ac:dyDescent="0.2">
      <c r="A1126" s="5">
        <v>1065</v>
      </c>
      <c r="B1126" s="1832">
        <f>'Expenditures 15-22'!K59</f>
        <v>418603</v>
      </c>
      <c r="C1126" s="2" t="s">
        <v>568</v>
      </c>
      <c r="D1126" s="2" t="str">
        <f t="shared" si="16"/>
        <v>Error?</v>
      </c>
    </row>
    <row r="1127" spans="1:4" x14ac:dyDescent="0.2">
      <c r="A1127" s="5">
        <v>1066</v>
      </c>
      <c r="B1127" s="1832">
        <f>'Expenditures 15-22'!K60</f>
        <v>3678188</v>
      </c>
      <c r="C1127" s="2" t="s">
        <v>568</v>
      </c>
      <c r="D1127" s="2" t="str">
        <f t="shared" si="16"/>
        <v>Error?</v>
      </c>
    </row>
    <row r="1128" spans="1:4" x14ac:dyDescent="0.2">
      <c r="A1128" s="5">
        <v>1067</v>
      </c>
      <c r="B1128" s="1832">
        <f>'Expenditures 15-22'!K61</f>
        <v>2977053</v>
      </c>
      <c r="C1128" s="2" t="s">
        <v>568</v>
      </c>
      <c r="D1128" s="2" t="str">
        <f t="shared" si="16"/>
        <v>Error?</v>
      </c>
    </row>
    <row r="1129" spans="1:4" x14ac:dyDescent="0.2">
      <c r="A1129" s="5">
        <v>1068</v>
      </c>
      <c r="B1129" s="1832">
        <f>'Expenditures 15-22'!K62</f>
        <v>1178559</v>
      </c>
      <c r="C1129" s="2" t="s">
        <v>568</v>
      </c>
      <c r="D1129" s="2" t="str">
        <f t="shared" si="16"/>
        <v>Error?</v>
      </c>
    </row>
    <row r="1130" spans="1:4" x14ac:dyDescent="0.2">
      <c r="A1130" s="5">
        <v>1069</v>
      </c>
      <c r="B1130" s="1832">
        <f>'Expenditures 15-22'!K63</f>
        <v>16040810</v>
      </c>
      <c r="C1130" s="2" t="s">
        <v>568</v>
      </c>
      <c r="D1130" s="2" t="str">
        <f t="shared" si="16"/>
        <v>Error?</v>
      </c>
    </row>
    <row r="1131" spans="1:4" x14ac:dyDescent="0.2">
      <c r="A1131" s="5">
        <v>1070</v>
      </c>
      <c r="B1131" s="1832">
        <f>'Expenditures 15-22'!K64</f>
        <v>2588614</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26881827</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52650</v>
      </c>
      <c r="C1135" s="2" t="s">
        <v>568</v>
      </c>
      <c r="D1135" s="2" t="str">
        <f t="shared" si="16"/>
        <v>Error?</v>
      </c>
    </row>
    <row r="1136" spans="1:4" x14ac:dyDescent="0.2">
      <c r="A1136" s="5">
        <v>1075</v>
      </c>
      <c r="B1136" s="1832">
        <f>'Expenditures 15-22'!K69</f>
        <v>756205</v>
      </c>
      <c r="C1136" s="2" t="s">
        <v>568</v>
      </c>
      <c r="D1136" s="2" t="str">
        <f t="shared" si="16"/>
        <v>Error?</v>
      </c>
    </row>
    <row r="1137" spans="1:4" x14ac:dyDescent="0.2">
      <c r="A1137" s="5">
        <v>1076</v>
      </c>
      <c r="B1137" s="1832">
        <f>'Expenditures 15-22'!K70</f>
        <v>2738499</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9635653</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13183007</v>
      </c>
      <c r="C1141" s="2" t="s">
        <v>568</v>
      </c>
      <c r="D1141" s="2" t="str">
        <f t="shared" si="16"/>
        <v>Error?</v>
      </c>
    </row>
    <row r="1142" spans="1:4" x14ac:dyDescent="0.2">
      <c r="A1142" s="5">
        <v>1081</v>
      </c>
      <c r="B1142" s="1832">
        <f>'Expenditures 15-22'!K73</f>
        <v>2208365</v>
      </c>
      <c r="C1142" s="2" t="s">
        <v>568</v>
      </c>
      <c r="D1142" s="2" t="str">
        <f t="shared" si="16"/>
        <v>Error?</v>
      </c>
    </row>
    <row r="1143" spans="1:4" x14ac:dyDescent="0.2">
      <c r="A1143" s="5">
        <v>1082</v>
      </c>
      <c r="B1143" s="1832">
        <f>'Expenditures 15-22'!K74</f>
        <v>134770545</v>
      </c>
      <c r="C1143" s="2" t="s">
        <v>568</v>
      </c>
      <c r="D1143" s="2" t="str">
        <f t="shared" si="16"/>
        <v>Error?</v>
      </c>
    </row>
    <row r="1144" spans="1:4" x14ac:dyDescent="0.2">
      <c r="A1144" s="5">
        <v>1083</v>
      </c>
      <c r="B1144" s="1832">
        <f>'Expenditures 15-22'!K75</f>
        <v>3036373</v>
      </c>
      <c r="C1144" s="2" t="s">
        <v>568</v>
      </c>
      <c r="D1144" s="2" t="str">
        <f t="shared" si="16"/>
        <v>Error?</v>
      </c>
    </row>
    <row r="1145" spans="1:4" x14ac:dyDescent="0.2">
      <c r="A1145" s="5">
        <v>1084</v>
      </c>
      <c r="B1145" s="1832">
        <f>'Expenditures 15-22'!K102</f>
        <v>9581182</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416282500</v>
      </c>
      <c r="C1152" s="2" t="s">
        <v>568</v>
      </c>
      <c r="D1152" s="2" t="str">
        <f t="shared" si="17"/>
        <v>Error?</v>
      </c>
    </row>
    <row r="1153" spans="1:4" x14ac:dyDescent="0.2">
      <c r="A1153" s="5">
        <v>1092</v>
      </c>
      <c r="B1153" s="1832">
        <f>'Expenditures 15-22'!K115</f>
        <v>40360837</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9854664</v>
      </c>
      <c r="D1221" s="2" t="str">
        <f t="shared" si="18"/>
        <v>Error?</v>
      </c>
    </row>
    <row r="1222" spans="1:4" x14ac:dyDescent="0.2">
      <c r="A1222" s="10">
        <v>1161</v>
      </c>
      <c r="B1222" s="1832"/>
      <c r="D1222" s="2" t="str">
        <f t="shared" si="18"/>
        <v>OK</v>
      </c>
    </row>
    <row r="1223" spans="1:4" x14ac:dyDescent="0.2">
      <c r="A1223" s="5">
        <v>1162</v>
      </c>
      <c r="B1223" s="1832">
        <f>'Expenditures 15-22'!C127</f>
        <v>9854664</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9854664</v>
      </c>
      <c r="C1225" s="2" t="s">
        <v>568</v>
      </c>
      <c r="D1225" s="2" t="str">
        <f t="shared" si="18"/>
        <v>Error?</v>
      </c>
    </row>
    <row r="1226" spans="1:4" x14ac:dyDescent="0.2">
      <c r="A1226" s="5">
        <v>1165</v>
      </c>
      <c r="B1226" s="1832">
        <f>'Expenditures 15-22'!C151</f>
        <v>9854664</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1739976</v>
      </c>
      <c r="D1229" s="2" t="str">
        <f t="shared" si="18"/>
        <v>Error?</v>
      </c>
    </row>
    <row r="1230" spans="1:4" x14ac:dyDescent="0.2">
      <c r="A1230" s="10">
        <v>1169</v>
      </c>
      <c r="B1230" s="1832"/>
      <c r="D1230" s="2" t="str">
        <f t="shared" si="18"/>
        <v>OK</v>
      </c>
    </row>
    <row r="1231" spans="1:4" x14ac:dyDescent="0.2">
      <c r="A1231" s="5">
        <v>1170</v>
      </c>
      <c r="B1231" s="1832">
        <f>'Expenditures 15-22'!D127</f>
        <v>1739976</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1739976</v>
      </c>
      <c r="C1233" s="2" t="s">
        <v>568</v>
      </c>
      <c r="D1233" s="2" t="str">
        <f t="shared" si="18"/>
        <v>Error?</v>
      </c>
    </row>
    <row r="1234" spans="1:4" x14ac:dyDescent="0.2">
      <c r="A1234" s="5">
        <v>1173</v>
      </c>
      <c r="B1234" s="1832">
        <f>'Expenditures 15-22'!D151</f>
        <v>1739976</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601288</v>
      </c>
      <c r="D1236" s="2" t="str">
        <f t="shared" si="18"/>
        <v>Error?</v>
      </c>
    </row>
    <row r="1237" spans="1:4" x14ac:dyDescent="0.2">
      <c r="A1237" s="5">
        <v>1176</v>
      </c>
      <c r="B1237" s="1832">
        <f>'Expenditures 15-22'!E124</f>
        <v>13997006</v>
      </c>
      <c r="D1237" s="2" t="str">
        <f t="shared" si="18"/>
        <v>Error?</v>
      </c>
    </row>
    <row r="1238" spans="1:4" x14ac:dyDescent="0.2">
      <c r="A1238" s="10">
        <v>1177</v>
      </c>
      <c r="B1238" s="1832"/>
      <c r="D1238" s="2" t="str">
        <f t="shared" si="18"/>
        <v>OK</v>
      </c>
    </row>
    <row r="1239" spans="1:4" x14ac:dyDescent="0.2">
      <c r="A1239" s="5">
        <v>1178</v>
      </c>
      <c r="B1239" s="1832">
        <f>'Expenditures 15-22'!E127</f>
        <v>14598294</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14598294</v>
      </c>
      <c r="C1241" s="2" t="s">
        <v>568</v>
      </c>
      <c r="D1241" s="2" t="str">
        <f t="shared" si="18"/>
        <v>Error?</v>
      </c>
    </row>
    <row r="1242" spans="1:4" x14ac:dyDescent="0.2">
      <c r="A1242" s="5">
        <v>1181</v>
      </c>
      <c r="B1242" s="1832">
        <f>'Expenditures 15-22'!E151</f>
        <v>14598294</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741</v>
      </c>
      <c r="D1244" s="2" t="str">
        <f t="shared" si="18"/>
        <v>Error?</v>
      </c>
    </row>
    <row r="1245" spans="1:4" x14ac:dyDescent="0.2">
      <c r="A1245" s="5">
        <v>1184</v>
      </c>
      <c r="B1245" s="1832">
        <f>'Expenditures 15-22'!F124</f>
        <v>6721443</v>
      </c>
      <c r="D1245" s="2" t="str">
        <f t="shared" si="18"/>
        <v>Error?</v>
      </c>
    </row>
    <row r="1246" spans="1:4" x14ac:dyDescent="0.2">
      <c r="A1246" s="10">
        <v>1185</v>
      </c>
      <c r="B1246" s="1832"/>
      <c r="D1246" s="2" t="str">
        <f t="shared" si="18"/>
        <v>OK</v>
      </c>
    </row>
    <row r="1247" spans="1:4" x14ac:dyDescent="0.2">
      <c r="A1247" s="5">
        <v>1186</v>
      </c>
      <c r="B1247" s="1832">
        <f>'Expenditures 15-22'!F127</f>
        <v>6722184</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6722184</v>
      </c>
      <c r="C1249" s="2" t="s">
        <v>568</v>
      </c>
      <c r="D1249" s="2" t="str">
        <f t="shared" si="18"/>
        <v>Error?</v>
      </c>
    </row>
    <row r="1250" spans="1:4" x14ac:dyDescent="0.2">
      <c r="A1250" s="5">
        <v>1189</v>
      </c>
      <c r="B1250" s="1832">
        <f>'Expenditures 15-22'!F151</f>
        <v>6722184</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41834061</v>
      </c>
      <c r="D1252" s="2" t="str">
        <f t="shared" si="18"/>
        <v>Error?</v>
      </c>
    </row>
    <row r="1253" spans="1:4" x14ac:dyDescent="0.2">
      <c r="A1253" s="5">
        <v>1192</v>
      </c>
      <c r="B1253" s="1832">
        <f>'Expenditures 15-22'!G124</f>
        <v>59521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41893582</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41893582</v>
      </c>
      <c r="C1258" s="2" t="s">
        <v>568</v>
      </c>
      <c r="D1258" s="2" t="str">
        <f t="shared" si="18"/>
        <v>Error?</v>
      </c>
    </row>
    <row r="1259" spans="1:4" x14ac:dyDescent="0.2">
      <c r="A1259" s="5">
        <v>1198</v>
      </c>
      <c r="B1259" s="1832">
        <f>'Expenditures 15-22'!G151</f>
        <v>41893582</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8611</v>
      </c>
      <c r="D1262" s="2" t="str">
        <f t="shared" si="18"/>
        <v>Error?</v>
      </c>
    </row>
    <row r="1263" spans="1:4" x14ac:dyDescent="0.2">
      <c r="A1263" s="10">
        <v>1202</v>
      </c>
      <c r="B1263" s="1832"/>
      <c r="D1263" s="2" t="str">
        <f t="shared" si="18"/>
        <v>OK</v>
      </c>
    </row>
    <row r="1264" spans="1:4" x14ac:dyDescent="0.2">
      <c r="A1264" s="5">
        <v>1203</v>
      </c>
      <c r="B1264" s="1832">
        <f>'Expenditures 15-22'!H127</f>
        <v>8611</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8611</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8611</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42436090</v>
      </c>
      <c r="C1275" s="2" t="s">
        <v>568</v>
      </c>
      <c r="D1275" s="2" t="str">
        <f t="shared" si="18"/>
        <v>Error?</v>
      </c>
    </row>
    <row r="1276" spans="1:4" x14ac:dyDescent="0.2">
      <c r="A1276" s="5">
        <v>1215</v>
      </c>
      <c r="B1276" s="1832">
        <f>'Expenditures 15-22'!K124</f>
        <v>32392667</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74828757</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74828757</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74828757</v>
      </c>
      <c r="C1288" s="2" t="s">
        <v>568</v>
      </c>
      <c r="D1288" s="2" t="str">
        <f t="shared" si="19"/>
        <v>Error?</v>
      </c>
    </row>
    <row r="1289" spans="1:4" x14ac:dyDescent="0.2">
      <c r="A1289" s="5">
        <v>1228</v>
      </c>
      <c r="B1289" s="1832">
        <f>'Expenditures 15-22'!K152</f>
        <v>-20186569</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22955715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19745957</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42701672</v>
      </c>
      <c r="C1317" s="2" t="s">
        <v>568</v>
      </c>
      <c r="D1317" s="2" t="str">
        <f t="shared" si="19"/>
        <v>Error?</v>
      </c>
    </row>
    <row r="1318" spans="1:4" x14ac:dyDescent="0.2">
      <c r="A1318" s="5">
        <v>1257</v>
      </c>
      <c r="B1318" s="1832">
        <f>'Expenditures 15-22'!H174</f>
        <v>42701672</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22955715</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19745957</v>
      </c>
      <c r="C1329" s="2" t="s">
        <v>568</v>
      </c>
      <c r="D1329" s="2" t="str">
        <f t="shared" si="19"/>
        <v>Error?</v>
      </c>
    </row>
    <row r="1330" spans="1:4" x14ac:dyDescent="0.2">
      <c r="A1330" s="5">
        <v>1269</v>
      </c>
      <c r="B1330" s="1832">
        <f>'Expenditures 15-22'!K171</f>
        <v>0</v>
      </c>
      <c r="C1330" s="2" t="s">
        <v>568</v>
      </c>
      <c r="D1330" s="2" t="str">
        <f t="shared" si="19"/>
        <v>Error?</v>
      </c>
    </row>
    <row r="1331" spans="1:4" x14ac:dyDescent="0.2">
      <c r="A1331" s="5">
        <v>1270</v>
      </c>
      <c r="B1331" s="1832">
        <f>'Expenditures 15-22'!K172</f>
        <v>42701672</v>
      </c>
      <c r="C1331" s="2" t="s">
        <v>568</v>
      </c>
      <c r="D1331" s="2" t="str">
        <f t="shared" si="19"/>
        <v>Error?</v>
      </c>
    </row>
    <row r="1332" spans="1:4" x14ac:dyDescent="0.2">
      <c r="A1332" s="5">
        <v>1271</v>
      </c>
      <c r="B1332" s="1832">
        <f>'Expenditures 15-22'!K174</f>
        <v>42701672</v>
      </c>
      <c r="C1332" s="2" t="s">
        <v>568</v>
      </c>
      <c r="D1332" s="2" t="str">
        <f t="shared" si="19"/>
        <v>Error?</v>
      </c>
    </row>
    <row r="1333" spans="1:4" x14ac:dyDescent="0.2">
      <c r="A1333" s="5">
        <v>1272</v>
      </c>
      <c r="B1333" s="1832">
        <f>'Expenditures 15-22'!K175</f>
        <v>-9696719</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14646805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14646805</v>
      </c>
      <c r="C1339" s="2" t="s">
        <v>568</v>
      </c>
      <c r="D1339" s="2" t="str">
        <f t="shared" si="19"/>
        <v>Error?</v>
      </c>
    </row>
    <row r="1340" spans="1:4" x14ac:dyDescent="0.2">
      <c r="A1340" s="5">
        <v>1279</v>
      </c>
      <c r="B1340" s="1832">
        <f>'Expenditures 15-22'!C210</f>
        <v>14646805</v>
      </c>
      <c r="C1340" s="2" t="s">
        <v>568</v>
      </c>
      <c r="D1340" s="2" t="str">
        <f t="shared" si="19"/>
        <v>Error?</v>
      </c>
    </row>
    <row r="1341" spans="1:4" x14ac:dyDescent="0.2">
      <c r="A1341" s="5">
        <v>1280</v>
      </c>
      <c r="B1341" s="1832">
        <f>'Expenditures 15-22'!D182</f>
        <v>4598724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4598724</v>
      </c>
      <c r="C1345" s="2" t="s">
        <v>568</v>
      </c>
      <c r="D1345" s="2" t="str">
        <f t="shared" si="20"/>
        <v>Error?</v>
      </c>
    </row>
    <row r="1346" spans="1:4" x14ac:dyDescent="0.2">
      <c r="A1346" s="5">
        <v>1285</v>
      </c>
      <c r="B1346" s="1832">
        <f>'Expenditures 15-22'!D210</f>
        <v>4598724</v>
      </c>
      <c r="C1346" s="2" t="s">
        <v>568</v>
      </c>
      <c r="D1346" s="2" t="str">
        <f t="shared" si="20"/>
        <v>Error?</v>
      </c>
    </row>
    <row r="1347" spans="1:4" x14ac:dyDescent="0.2">
      <c r="A1347" s="5">
        <v>1286</v>
      </c>
      <c r="B1347" s="1832">
        <f>'Expenditures 15-22'!E182</f>
        <v>1139974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1139974</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1139974</v>
      </c>
      <c r="C1353" s="2" t="s">
        <v>568</v>
      </c>
      <c r="D1353" s="2" t="str">
        <f t="shared" si="20"/>
        <v>Error?</v>
      </c>
    </row>
    <row r="1354" spans="1:4" x14ac:dyDescent="0.2">
      <c r="A1354" s="5">
        <v>1293</v>
      </c>
      <c r="B1354" s="1832">
        <f>'Expenditures 15-22'!F182</f>
        <v>2435804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2435804</v>
      </c>
      <c r="C1358" s="2" t="s">
        <v>568</v>
      </c>
      <c r="D1358" s="2" t="str">
        <f t="shared" si="20"/>
        <v>Error?</v>
      </c>
    </row>
    <row r="1359" spans="1:4" x14ac:dyDescent="0.2">
      <c r="A1359" s="5">
        <v>1298</v>
      </c>
      <c r="B1359" s="1832">
        <f>'Expenditures 15-22'!F210</f>
        <v>2435804</v>
      </c>
      <c r="C1359" s="2" t="s">
        <v>568</v>
      </c>
      <c r="D1359" s="2" t="str">
        <f t="shared" si="20"/>
        <v>Error?</v>
      </c>
    </row>
    <row r="1360" spans="1:4" x14ac:dyDescent="0.2">
      <c r="A1360" s="5">
        <v>1299</v>
      </c>
      <c r="B1360" s="1832">
        <f>'Expenditures 15-22'!G182</f>
        <v>5319966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5319966</v>
      </c>
      <c r="C1364" s="2" t="s">
        <v>568</v>
      </c>
      <c r="D1364" s="2" t="str">
        <f t="shared" si="20"/>
        <v>Error?</v>
      </c>
    </row>
    <row r="1365" spans="1:4" x14ac:dyDescent="0.2">
      <c r="A1365" s="5">
        <v>1304</v>
      </c>
      <c r="B1365" s="1832">
        <f>'Expenditures 15-22'!G210</f>
        <v>5319966</v>
      </c>
      <c r="C1365" s="2" t="s">
        <v>568</v>
      </c>
      <c r="D1365" s="2" t="str">
        <f t="shared" si="20"/>
        <v>Error?</v>
      </c>
    </row>
    <row r="1366" spans="1:4" x14ac:dyDescent="0.2">
      <c r="A1366" s="5">
        <v>1305</v>
      </c>
      <c r="B1366" s="1832">
        <f>'Expenditures 15-22'!H182</f>
        <v>4298</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4298</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1373245</v>
      </c>
      <c r="C1375" s="2" t="s">
        <v>568</v>
      </c>
      <c r="D1375" s="2" t="str">
        <f t="shared" si="20"/>
        <v>Error?</v>
      </c>
    </row>
    <row r="1376" spans="1:4" x14ac:dyDescent="0.2">
      <c r="A1376" s="5">
        <v>1315</v>
      </c>
      <c r="B1376" s="1832">
        <f>'Expenditures 15-22'!H210</f>
        <v>1377543</v>
      </c>
      <c r="C1376" s="2" t="s">
        <v>568</v>
      </c>
      <c r="D1376" s="2" t="str">
        <f t="shared" si="20"/>
        <v>Error?</v>
      </c>
    </row>
    <row r="1377" spans="1:4" x14ac:dyDescent="0.2">
      <c r="A1377" s="5">
        <v>1316</v>
      </c>
      <c r="B1377" s="1832">
        <f>'Expenditures 15-22'!K182</f>
        <v>28145571</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28145571</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1373245</v>
      </c>
      <c r="C1387" s="2" t="s">
        <v>568</v>
      </c>
      <c r="D1387" s="2" t="str">
        <f t="shared" si="20"/>
        <v>Error?</v>
      </c>
    </row>
    <row r="1388" spans="1:4" x14ac:dyDescent="0.2">
      <c r="A1388" s="5">
        <v>1327</v>
      </c>
      <c r="B1388" s="1832">
        <f>'Expenditures 15-22'!K210</f>
        <v>29518816</v>
      </c>
      <c r="C1388" s="2" t="s">
        <v>568</v>
      </c>
      <c r="D1388" s="2" t="str">
        <f t="shared" si="20"/>
        <v>Error?</v>
      </c>
    </row>
    <row r="1389" spans="1:4" x14ac:dyDescent="0.2">
      <c r="A1389" s="5">
        <v>1328</v>
      </c>
      <c r="B1389" s="1832">
        <f>'Expenditures 15-22'!K211</f>
        <v>2487923</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60271</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513473</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55951</v>
      </c>
      <c r="D1407" s="2" t="str">
        <f t="shared" ref="D1407:D1470" si="21">IF(ISBLANK(B1407),"OK",IF(A1407-B1407=0,"OK","Error?"))</f>
        <v>Error?</v>
      </c>
    </row>
    <row r="1408" spans="1:4" x14ac:dyDescent="0.2">
      <c r="A1408" s="5">
        <v>1347</v>
      </c>
      <c r="B1408" s="1832">
        <f>'Expenditures 15-22'!D223</f>
        <v>153787</v>
      </c>
      <c r="D1408" s="2" t="str">
        <f t="shared" si="21"/>
        <v>Error?</v>
      </c>
    </row>
    <row r="1409" spans="1:4" x14ac:dyDescent="0.2">
      <c r="A1409" s="5">
        <v>1348</v>
      </c>
      <c r="B1409" s="1832">
        <f>'Expenditures 15-22'!D224</f>
        <v>38289</v>
      </c>
      <c r="D1409" s="2" t="str">
        <f t="shared" si="21"/>
        <v>Error?</v>
      </c>
    </row>
    <row r="1410" spans="1:4" x14ac:dyDescent="0.2">
      <c r="A1410" s="5">
        <v>1349</v>
      </c>
      <c r="B1410" s="1832">
        <f>'Expenditures 15-22'!D229</f>
        <v>5383645</v>
      </c>
      <c r="C1410" s="2" t="s">
        <v>568</v>
      </c>
      <c r="D1410" s="2" t="str">
        <f t="shared" si="21"/>
        <v>Error?</v>
      </c>
    </row>
    <row r="1411" spans="1:4" x14ac:dyDescent="0.2">
      <c r="A1411" s="5">
        <v>1350</v>
      </c>
      <c r="B1411" s="1832">
        <f>'Expenditures 15-22'!D232</f>
        <v>444713</v>
      </c>
      <c r="D1411" s="2" t="str">
        <f t="shared" si="21"/>
        <v>Error?</v>
      </c>
    </row>
    <row r="1412" spans="1:4" x14ac:dyDescent="0.2">
      <c r="A1412" s="5">
        <v>1351</v>
      </c>
      <c r="B1412" s="1832">
        <f>'Expenditures 15-22'!D233</f>
        <v>201974</v>
      </c>
      <c r="D1412" s="2" t="str">
        <f t="shared" si="21"/>
        <v>Error?</v>
      </c>
    </row>
    <row r="1413" spans="1:4" x14ac:dyDescent="0.2">
      <c r="A1413" s="5">
        <v>1352</v>
      </c>
      <c r="B1413" s="1832">
        <f>'Expenditures 15-22'!D234</f>
        <v>547156</v>
      </c>
      <c r="D1413" s="2" t="str">
        <f t="shared" si="21"/>
        <v>Error?</v>
      </c>
    </row>
    <row r="1414" spans="1:4" x14ac:dyDescent="0.2">
      <c r="A1414" s="5">
        <v>1353</v>
      </c>
      <c r="B1414" s="1832">
        <f>'Expenditures 15-22'!D235</f>
        <v>22786</v>
      </c>
      <c r="D1414" s="2" t="str">
        <f t="shared" si="21"/>
        <v>Error?</v>
      </c>
    </row>
    <row r="1415" spans="1:4" x14ac:dyDescent="0.2">
      <c r="A1415" s="5">
        <v>1354</v>
      </c>
      <c r="B1415" s="1832">
        <f>'Expenditures 15-22'!D236</f>
        <v>67893</v>
      </c>
      <c r="D1415" s="2" t="str">
        <f t="shared" si="21"/>
        <v>Error?</v>
      </c>
    </row>
    <row r="1416" spans="1:4" x14ac:dyDescent="0.2">
      <c r="A1416" s="5">
        <v>1355</v>
      </c>
      <c r="B1416" s="1832">
        <f>'Expenditures 15-22'!D237</f>
        <v>188959</v>
      </c>
      <c r="D1416" s="2" t="str">
        <f t="shared" si="21"/>
        <v>Error?</v>
      </c>
    </row>
    <row r="1417" spans="1:4" x14ac:dyDescent="0.2">
      <c r="A1417" s="5">
        <v>1356</v>
      </c>
      <c r="B1417" s="1832">
        <f>'Expenditures 15-22'!D238</f>
        <v>1473481</v>
      </c>
      <c r="C1417" s="2" t="s">
        <v>568</v>
      </c>
      <c r="D1417" s="2" t="str">
        <f t="shared" si="21"/>
        <v>Error?</v>
      </c>
    </row>
    <row r="1418" spans="1:4" x14ac:dyDescent="0.2">
      <c r="A1418" s="5">
        <v>1357</v>
      </c>
      <c r="B1418" s="1832">
        <f>'Expenditures 15-22'!D240</f>
        <v>186444</v>
      </c>
      <c r="D1418" s="2" t="str">
        <f t="shared" si="21"/>
        <v>Error?</v>
      </c>
    </row>
    <row r="1419" spans="1:4" x14ac:dyDescent="0.2">
      <c r="A1419" s="5">
        <v>1358</v>
      </c>
      <c r="B1419" s="1832">
        <f>'Expenditures 15-22'!D241</f>
        <v>251080</v>
      </c>
      <c r="D1419" s="2" t="str">
        <f t="shared" si="21"/>
        <v>Error?</v>
      </c>
    </row>
    <row r="1420" spans="1:4" x14ac:dyDescent="0.2">
      <c r="A1420" s="5">
        <v>1359</v>
      </c>
      <c r="B1420" s="1832">
        <f>'Expenditures 15-22'!D242</f>
        <v>90929</v>
      </c>
      <c r="D1420" s="2" t="str">
        <f t="shared" si="21"/>
        <v>Error?</v>
      </c>
    </row>
    <row r="1421" spans="1:4" x14ac:dyDescent="0.2">
      <c r="A1421" s="5">
        <v>1360</v>
      </c>
      <c r="B1421" s="1832">
        <f>'Expenditures 15-22'!D243</f>
        <v>528453</v>
      </c>
      <c r="C1421" s="2" t="s">
        <v>568</v>
      </c>
      <c r="D1421" s="2" t="str">
        <f t="shared" si="21"/>
        <v>Error?</v>
      </c>
    </row>
    <row r="1422" spans="1:4" x14ac:dyDescent="0.2">
      <c r="A1422" s="5">
        <v>1361</v>
      </c>
      <c r="B1422" s="1832">
        <f>'Expenditures 15-22'!D245</f>
        <v>220</v>
      </c>
      <c r="D1422" s="2" t="str">
        <f t="shared" si="21"/>
        <v>Error?</v>
      </c>
    </row>
    <row r="1423" spans="1:4" x14ac:dyDescent="0.2">
      <c r="A1423" s="5">
        <v>1362</v>
      </c>
      <c r="B1423" s="1832">
        <f>'Expenditures 15-22'!D246</f>
        <v>190388</v>
      </c>
      <c r="D1423" s="2" t="str">
        <f t="shared" si="21"/>
        <v>Error?</v>
      </c>
    </row>
    <row r="1424" spans="1:4" x14ac:dyDescent="0.2">
      <c r="A1424" s="5">
        <v>1363</v>
      </c>
      <c r="B1424" s="1832">
        <f>'Expenditures 15-22'!D257</f>
        <v>508144</v>
      </c>
      <c r="C1424" s="2" t="s">
        <v>568</v>
      </c>
      <c r="D1424" s="2" t="str">
        <f t="shared" si="21"/>
        <v>Error?</v>
      </c>
    </row>
    <row r="1425" spans="1:4" x14ac:dyDescent="0.2">
      <c r="A1425" s="5">
        <v>1364</v>
      </c>
      <c r="B1425" s="1832">
        <f>'Expenditures 15-22'!D259</f>
        <v>955876</v>
      </c>
      <c r="D1425" s="2" t="str">
        <f t="shared" si="21"/>
        <v>Error?</v>
      </c>
    </row>
    <row r="1426" spans="1:4" x14ac:dyDescent="0.2">
      <c r="A1426" s="5">
        <v>1365</v>
      </c>
      <c r="B1426" s="1832">
        <f>'Expenditures 15-22'!D260</f>
        <v>434134</v>
      </c>
      <c r="D1426" s="2" t="str">
        <f t="shared" si="21"/>
        <v>Error?</v>
      </c>
    </row>
    <row r="1427" spans="1:4" x14ac:dyDescent="0.2">
      <c r="A1427" s="5">
        <v>1366</v>
      </c>
      <c r="B1427" s="1832">
        <f>'Expenditures 15-22'!D261</f>
        <v>1390010</v>
      </c>
      <c r="C1427" s="2" t="s">
        <v>568</v>
      </c>
      <c r="D1427" s="2" t="str">
        <f t="shared" si="21"/>
        <v>Error?</v>
      </c>
    </row>
    <row r="1428" spans="1:4" x14ac:dyDescent="0.2">
      <c r="A1428" s="5">
        <v>1367</v>
      </c>
      <c r="B1428" s="1832">
        <f>'Expenditures 15-22'!D263</f>
        <v>3331</v>
      </c>
      <c r="D1428" s="2" t="str">
        <f t="shared" si="21"/>
        <v>Error?</v>
      </c>
    </row>
    <row r="1429" spans="1:4" x14ac:dyDescent="0.2">
      <c r="A1429" s="5">
        <v>1368</v>
      </c>
      <c r="B1429" s="1832">
        <f>'Expenditures 15-22'!D264</f>
        <v>291646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2260611</v>
      </c>
      <c r="D1431" s="2" t="str">
        <f t="shared" si="21"/>
        <v>Error?</v>
      </c>
    </row>
    <row r="1432" spans="1:4" x14ac:dyDescent="0.2">
      <c r="A1432" s="5">
        <v>1371</v>
      </c>
      <c r="B1432" s="1832">
        <f>'Expenditures 15-22'!D267</f>
        <v>3120436</v>
      </c>
      <c r="D1432" s="2" t="str">
        <f t="shared" si="21"/>
        <v>Error?</v>
      </c>
    </row>
    <row r="1433" spans="1:4" x14ac:dyDescent="0.2">
      <c r="A1433" s="5">
        <v>1372</v>
      </c>
      <c r="B1433" s="1832">
        <f>'Expenditures 15-22'!D268</f>
        <v>314913</v>
      </c>
      <c r="D1433" s="2" t="str">
        <f t="shared" si="21"/>
        <v>Error?</v>
      </c>
    </row>
    <row r="1434" spans="1:4" x14ac:dyDescent="0.2">
      <c r="A1434" s="5">
        <v>1373</v>
      </c>
      <c r="B1434" s="1832">
        <f>'Expenditures 15-22'!D269</f>
        <v>34362</v>
      </c>
      <c r="D1434" s="2" t="str">
        <f t="shared" si="21"/>
        <v>Error?</v>
      </c>
    </row>
    <row r="1435" spans="1:4" x14ac:dyDescent="0.2">
      <c r="A1435" s="10">
        <v>1374</v>
      </c>
      <c r="B1435" s="1832"/>
      <c r="D1435" s="2" t="str">
        <f t="shared" si="21"/>
        <v>OK</v>
      </c>
    </row>
    <row r="1436" spans="1:4" x14ac:dyDescent="0.2">
      <c r="A1436" s="5">
        <v>1375</v>
      </c>
      <c r="B1436" s="1832">
        <f>'Expenditures 15-22'!D270</f>
        <v>6025299</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90644</v>
      </c>
      <c r="D1439" s="2" t="str">
        <f t="shared" si="21"/>
        <v>Error?</v>
      </c>
    </row>
    <row r="1440" spans="1:4" x14ac:dyDescent="0.2">
      <c r="A1440" s="5">
        <v>1379</v>
      </c>
      <c r="B1440" s="1832">
        <f>'Expenditures 15-22'!D275</f>
        <v>262001</v>
      </c>
      <c r="D1440" s="2" t="str">
        <f t="shared" si="21"/>
        <v>Error?</v>
      </c>
    </row>
    <row r="1441" spans="1:4" x14ac:dyDescent="0.2">
      <c r="A1441" s="10">
        <v>1380</v>
      </c>
      <c r="B1441" s="1832"/>
      <c r="D1441" s="2" t="str">
        <f t="shared" si="21"/>
        <v>OK</v>
      </c>
    </row>
    <row r="1442" spans="1:4" x14ac:dyDescent="0.2">
      <c r="A1442" s="5">
        <v>1381</v>
      </c>
      <c r="B1442" s="1832">
        <f>'Expenditures 15-22'!D276</f>
        <v>590965</v>
      </c>
      <c r="D1442" s="2" t="str">
        <f t="shared" si="21"/>
        <v>Error?</v>
      </c>
    </row>
    <row r="1443" spans="1:4" x14ac:dyDescent="0.2">
      <c r="A1443" s="10">
        <v>1382</v>
      </c>
      <c r="B1443" s="1832"/>
      <c r="D1443" s="2" t="str">
        <f t="shared" si="21"/>
        <v>OK</v>
      </c>
    </row>
    <row r="1444" spans="1:4" x14ac:dyDescent="0.2">
      <c r="A1444" s="5">
        <v>1383</v>
      </c>
      <c r="B1444" s="1832">
        <f>'Expenditures 15-22'!D277</f>
        <v>943610</v>
      </c>
      <c r="C1444" s="2" t="s">
        <v>568</v>
      </c>
      <c r="D1444" s="2" t="str">
        <f t="shared" si="21"/>
        <v>Error?</v>
      </c>
    </row>
    <row r="1445" spans="1:4" x14ac:dyDescent="0.2">
      <c r="A1445" s="5">
        <v>1384</v>
      </c>
      <c r="B1445" s="1832">
        <f>'Expenditures 15-22'!D278</f>
        <v>73287</v>
      </c>
      <c r="D1445" s="2" t="str">
        <f t="shared" si="21"/>
        <v>Error?</v>
      </c>
    </row>
    <row r="1446" spans="1:4" x14ac:dyDescent="0.2">
      <c r="A1446" s="5">
        <v>1385</v>
      </c>
      <c r="B1446" s="1832">
        <f>'Expenditures 15-22'!D279</f>
        <v>10942284</v>
      </c>
      <c r="C1446" s="2" t="s">
        <v>568</v>
      </c>
      <c r="D1446" s="2" t="str">
        <f t="shared" si="21"/>
        <v>Error?</v>
      </c>
    </row>
    <row r="1447" spans="1:4" x14ac:dyDescent="0.2">
      <c r="A1447" s="5">
        <v>1386</v>
      </c>
      <c r="B1447" s="1832">
        <f>'Expenditures 15-22'!D280</f>
        <v>199716</v>
      </c>
      <c r="D1447" s="2" t="str">
        <f t="shared" si="21"/>
        <v>Error?</v>
      </c>
    </row>
    <row r="1448" spans="1:4" x14ac:dyDescent="0.2">
      <c r="A1448" s="5">
        <v>1387</v>
      </c>
      <c r="B1448" s="1832">
        <f>'Expenditures 15-22'!D295</f>
        <v>16525645</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60271</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513473</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55951</v>
      </c>
      <c r="C1471" s="2" t="s">
        <v>568</v>
      </c>
      <c r="D1471" s="2" t="str">
        <f t="shared" ref="D1471:D1534" si="22">IF(ISBLANK(B1471),"OK",IF(A1471-B1471=0,"OK","Error?"))</f>
        <v>Error?</v>
      </c>
    </row>
    <row r="1472" spans="1:4" x14ac:dyDescent="0.2">
      <c r="A1472" s="5">
        <v>1411</v>
      </c>
      <c r="B1472" s="1832">
        <f>'Expenditures 15-22'!K223</f>
        <v>153787</v>
      </c>
      <c r="C1472" s="2" t="s">
        <v>568</v>
      </c>
      <c r="D1472" s="2" t="str">
        <f t="shared" si="22"/>
        <v>Error?</v>
      </c>
    </row>
    <row r="1473" spans="1:4" x14ac:dyDescent="0.2">
      <c r="A1473" s="5">
        <v>1412</v>
      </c>
      <c r="B1473" s="1832">
        <f>'Expenditures 15-22'!K224</f>
        <v>38289</v>
      </c>
      <c r="C1473" s="2" t="s">
        <v>568</v>
      </c>
      <c r="D1473" s="2" t="str">
        <f t="shared" si="22"/>
        <v>Error?</v>
      </c>
    </row>
    <row r="1474" spans="1:4" x14ac:dyDescent="0.2">
      <c r="A1474" s="5">
        <v>1413</v>
      </c>
      <c r="B1474" s="1832">
        <f>'Expenditures 15-22'!K229</f>
        <v>5383645</v>
      </c>
      <c r="C1474" s="2" t="s">
        <v>568</v>
      </c>
      <c r="D1474" s="2" t="str">
        <f t="shared" si="22"/>
        <v>Error?</v>
      </c>
    </row>
    <row r="1475" spans="1:4" x14ac:dyDescent="0.2">
      <c r="A1475" s="5">
        <v>1414</v>
      </c>
      <c r="B1475" s="1832">
        <f>'Expenditures 15-22'!K232</f>
        <v>444713</v>
      </c>
      <c r="C1475" s="2" t="s">
        <v>568</v>
      </c>
      <c r="D1475" s="2" t="str">
        <f t="shared" si="22"/>
        <v>Error?</v>
      </c>
    </row>
    <row r="1476" spans="1:4" x14ac:dyDescent="0.2">
      <c r="A1476" s="5">
        <v>1415</v>
      </c>
      <c r="B1476" s="1832">
        <f>'Expenditures 15-22'!K233</f>
        <v>201974</v>
      </c>
      <c r="C1476" s="2" t="s">
        <v>568</v>
      </c>
      <c r="D1476" s="2" t="str">
        <f t="shared" si="22"/>
        <v>Error?</v>
      </c>
    </row>
    <row r="1477" spans="1:4" x14ac:dyDescent="0.2">
      <c r="A1477" s="5">
        <v>1416</v>
      </c>
      <c r="B1477" s="1832">
        <f>'Expenditures 15-22'!K234</f>
        <v>547156</v>
      </c>
      <c r="C1477" s="2" t="s">
        <v>568</v>
      </c>
      <c r="D1477" s="2" t="str">
        <f t="shared" si="22"/>
        <v>Error?</v>
      </c>
    </row>
    <row r="1478" spans="1:4" x14ac:dyDescent="0.2">
      <c r="A1478" s="5">
        <v>1417</v>
      </c>
      <c r="B1478" s="1832">
        <f>'Expenditures 15-22'!K235</f>
        <v>22786</v>
      </c>
      <c r="C1478" s="2" t="s">
        <v>568</v>
      </c>
      <c r="D1478" s="2" t="str">
        <f t="shared" si="22"/>
        <v>Error?</v>
      </c>
    </row>
    <row r="1479" spans="1:4" x14ac:dyDescent="0.2">
      <c r="A1479" s="5">
        <v>1418</v>
      </c>
      <c r="B1479" s="1832">
        <f>'Expenditures 15-22'!K236</f>
        <v>67893</v>
      </c>
      <c r="C1479" s="2" t="s">
        <v>568</v>
      </c>
      <c r="D1479" s="2" t="str">
        <f t="shared" si="22"/>
        <v>Error?</v>
      </c>
    </row>
    <row r="1480" spans="1:4" x14ac:dyDescent="0.2">
      <c r="A1480" s="5">
        <v>1419</v>
      </c>
      <c r="B1480" s="1832">
        <f>'Expenditures 15-22'!K237</f>
        <v>188959</v>
      </c>
      <c r="C1480" s="2" t="s">
        <v>568</v>
      </c>
      <c r="D1480" s="2" t="str">
        <f t="shared" si="22"/>
        <v>Error?</v>
      </c>
    </row>
    <row r="1481" spans="1:4" x14ac:dyDescent="0.2">
      <c r="A1481" s="5">
        <v>1420</v>
      </c>
      <c r="B1481" s="1832">
        <f>'Expenditures 15-22'!K238</f>
        <v>1473481</v>
      </c>
      <c r="C1481" s="2" t="s">
        <v>568</v>
      </c>
      <c r="D1481" s="2" t="str">
        <f t="shared" si="22"/>
        <v>Error?</v>
      </c>
    </row>
    <row r="1482" spans="1:4" x14ac:dyDescent="0.2">
      <c r="A1482" s="5">
        <v>1421</v>
      </c>
      <c r="B1482" s="1832">
        <f>'Expenditures 15-22'!K240</f>
        <v>186444</v>
      </c>
      <c r="C1482" s="2" t="s">
        <v>568</v>
      </c>
      <c r="D1482" s="2" t="str">
        <f t="shared" si="22"/>
        <v>Error?</v>
      </c>
    </row>
    <row r="1483" spans="1:4" x14ac:dyDescent="0.2">
      <c r="A1483" s="5">
        <v>1422</v>
      </c>
      <c r="B1483" s="1832">
        <f>'Expenditures 15-22'!K241</f>
        <v>251080</v>
      </c>
      <c r="C1483" s="2" t="s">
        <v>568</v>
      </c>
      <c r="D1483" s="2" t="str">
        <f t="shared" si="22"/>
        <v>Error?</v>
      </c>
    </row>
    <row r="1484" spans="1:4" x14ac:dyDescent="0.2">
      <c r="A1484" s="5">
        <v>1423</v>
      </c>
      <c r="B1484" s="1832">
        <f>'Expenditures 15-22'!K242</f>
        <v>90929</v>
      </c>
      <c r="C1484" s="2" t="s">
        <v>568</v>
      </c>
      <c r="D1484" s="2" t="str">
        <f t="shared" si="22"/>
        <v>Error?</v>
      </c>
    </row>
    <row r="1485" spans="1:4" x14ac:dyDescent="0.2">
      <c r="A1485" s="5">
        <v>1424</v>
      </c>
      <c r="B1485" s="1832">
        <f>'Expenditures 15-22'!K243</f>
        <v>528453</v>
      </c>
      <c r="C1485" s="2" t="s">
        <v>568</v>
      </c>
      <c r="D1485" s="2" t="str">
        <f t="shared" si="22"/>
        <v>Error?</v>
      </c>
    </row>
    <row r="1486" spans="1:4" x14ac:dyDescent="0.2">
      <c r="A1486" s="5">
        <v>1425</v>
      </c>
      <c r="B1486" s="1832">
        <f>'Expenditures 15-22'!K245</f>
        <v>220</v>
      </c>
      <c r="C1486" s="2" t="s">
        <v>568</v>
      </c>
      <c r="D1486" s="2" t="str">
        <f t="shared" si="22"/>
        <v>Error?</v>
      </c>
    </row>
    <row r="1487" spans="1:4" x14ac:dyDescent="0.2">
      <c r="A1487" s="5">
        <v>1426</v>
      </c>
      <c r="B1487" s="1832">
        <f>'Expenditures 15-22'!K246</f>
        <v>190388</v>
      </c>
      <c r="C1487" s="2" t="s">
        <v>568</v>
      </c>
      <c r="D1487" s="2" t="str">
        <f t="shared" si="22"/>
        <v>Error?</v>
      </c>
    </row>
    <row r="1488" spans="1:4" x14ac:dyDescent="0.2">
      <c r="A1488" s="5">
        <v>1427</v>
      </c>
      <c r="B1488" s="1832">
        <f>'Expenditures 15-22'!K257</f>
        <v>508144</v>
      </c>
      <c r="C1488" s="2" t="s">
        <v>568</v>
      </c>
      <c r="D1488" s="2" t="str">
        <f t="shared" si="22"/>
        <v>Error?</v>
      </c>
    </row>
    <row r="1489" spans="1:4" x14ac:dyDescent="0.2">
      <c r="A1489" s="5">
        <v>1428</v>
      </c>
      <c r="B1489" s="1832">
        <f>'Expenditures 15-22'!K259</f>
        <v>955876</v>
      </c>
      <c r="C1489" s="2" t="s">
        <v>568</v>
      </c>
      <c r="D1489" s="2" t="str">
        <f t="shared" si="22"/>
        <v>Error?</v>
      </c>
    </row>
    <row r="1490" spans="1:4" x14ac:dyDescent="0.2">
      <c r="A1490" s="5">
        <v>1429</v>
      </c>
      <c r="B1490" s="1832">
        <f>'Expenditures 15-22'!K260</f>
        <v>434134</v>
      </c>
      <c r="C1490" s="2" t="s">
        <v>568</v>
      </c>
      <c r="D1490" s="2" t="str">
        <f t="shared" si="22"/>
        <v>Error?</v>
      </c>
    </row>
    <row r="1491" spans="1:4" x14ac:dyDescent="0.2">
      <c r="A1491" s="5">
        <v>1430</v>
      </c>
      <c r="B1491" s="1832">
        <f>'Expenditures 15-22'!K261</f>
        <v>1390010</v>
      </c>
      <c r="C1491" s="2" t="s">
        <v>568</v>
      </c>
      <c r="D1491" s="2" t="str">
        <f t="shared" si="22"/>
        <v>Error?</v>
      </c>
    </row>
    <row r="1492" spans="1:4" x14ac:dyDescent="0.2">
      <c r="A1492" s="5">
        <v>1431</v>
      </c>
      <c r="B1492" s="1832">
        <f>'Expenditures 15-22'!K263</f>
        <v>3331</v>
      </c>
      <c r="C1492" s="2" t="s">
        <v>568</v>
      </c>
      <c r="D1492" s="2" t="str">
        <f t="shared" si="22"/>
        <v>Error?</v>
      </c>
    </row>
    <row r="1493" spans="1:4" x14ac:dyDescent="0.2">
      <c r="A1493" s="5">
        <v>1432</v>
      </c>
      <c r="B1493" s="1832">
        <f>'Expenditures 15-22'!K264</f>
        <v>291646</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2260611</v>
      </c>
      <c r="C1495" s="2" t="s">
        <v>568</v>
      </c>
      <c r="D1495" s="2" t="str">
        <f t="shared" si="22"/>
        <v>Error?</v>
      </c>
    </row>
    <row r="1496" spans="1:4" x14ac:dyDescent="0.2">
      <c r="A1496" s="5">
        <v>1435</v>
      </c>
      <c r="B1496" s="1832">
        <f>'Expenditures 15-22'!K267</f>
        <v>3120436</v>
      </c>
      <c r="C1496" s="2" t="s">
        <v>568</v>
      </c>
      <c r="D1496" s="2" t="str">
        <f t="shared" si="22"/>
        <v>Error?</v>
      </c>
    </row>
    <row r="1497" spans="1:4" x14ac:dyDescent="0.2">
      <c r="A1497" s="5">
        <v>1436</v>
      </c>
      <c r="B1497" s="1832">
        <f>'Expenditures 15-22'!K268</f>
        <v>314913</v>
      </c>
      <c r="C1497" s="2" t="s">
        <v>568</v>
      </c>
      <c r="D1497" s="2" t="str">
        <f t="shared" si="22"/>
        <v>Error?</v>
      </c>
    </row>
    <row r="1498" spans="1:4" x14ac:dyDescent="0.2">
      <c r="A1498" s="5">
        <v>1437</v>
      </c>
      <c r="B1498" s="1832">
        <f>'Expenditures 15-22'!K269</f>
        <v>34362</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6025299</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90644</v>
      </c>
      <c r="C1503" s="2" t="s">
        <v>568</v>
      </c>
      <c r="D1503" s="2" t="str">
        <f t="shared" si="22"/>
        <v>Error?</v>
      </c>
    </row>
    <row r="1504" spans="1:4" x14ac:dyDescent="0.2">
      <c r="A1504" s="5">
        <v>1443</v>
      </c>
      <c r="B1504" s="1832">
        <f>'Expenditures 15-22'!K275</f>
        <v>262001</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590965</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943610</v>
      </c>
      <c r="C1508" s="2" t="s">
        <v>568</v>
      </c>
      <c r="D1508" s="2" t="str">
        <f t="shared" si="22"/>
        <v>Error?</v>
      </c>
    </row>
    <row r="1509" spans="1:4" x14ac:dyDescent="0.2">
      <c r="A1509" s="5">
        <v>1448</v>
      </c>
      <c r="B1509" s="1832">
        <f>'Expenditures 15-22'!K278</f>
        <v>73287</v>
      </c>
      <c r="C1509" s="2" t="s">
        <v>568</v>
      </c>
      <c r="D1509" s="2" t="str">
        <f t="shared" si="22"/>
        <v>Error?</v>
      </c>
    </row>
    <row r="1510" spans="1:4" x14ac:dyDescent="0.2">
      <c r="A1510" s="5">
        <v>1449</v>
      </c>
      <c r="B1510" s="1832">
        <f>'Expenditures 15-22'!K279</f>
        <v>10942284</v>
      </c>
      <c r="C1510" s="2" t="s">
        <v>568</v>
      </c>
      <c r="D1510" s="2" t="str">
        <f t="shared" si="22"/>
        <v>Error?</v>
      </c>
    </row>
    <row r="1511" spans="1:4" x14ac:dyDescent="0.2">
      <c r="A1511" s="5">
        <v>1450</v>
      </c>
      <c r="B1511" s="1832">
        <f>'Expenditures 15-22'!K280</f>
        <v>199716</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16525645</v>
      </c>
      <c r="C1517" s="2" t="s">
        <v>568</v>
      </c>
      <c r="D1517" s="2" t="str">
        <f t="shared" si="22"/>
        <v>Error?</v>
      </c>
    </row>
    <row r="1518" spans="1:4" x14ac:dyDescent="0.2">
      <c r="A1518" s="5">
        <v>1457</v>
      </c>
      <c r="B1518" s="1832">
        <f>'Expenditures 15-22'!K296</f>
        <v>541839</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568</v>
      </c>
      <c r="D1535" s="2" t="str">
        <f t="shared" ref="D1535:D1598" si="23">IF(ISBLANK(B1535),"OK",IF(A1535-B1535=0,"OK","Error?"))</f>
        <v>Error?</v>
      </c>
    </row>
    <row r="1536" spans="1:4" x14ac:dyDescent="0.2">
      <c r="A1536" s="5">
        <v>1475</v>
      </c>
      <c r="B1536" s="1832">
        <f>'Expenditures 15-22'!E312</f>
        <v>0</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568</v>
      </c>
      <c r="D1547" s="2" t="str">
        <f t="shared" si="23"/>
        <v>Error?</v>
      </c>
    </row>
    <row r="1548" spans="1:4" x14ac:dyDescent="0.2">
      <c r="A1548" s="5">
        <v>1487</v>
      </c>
      <c r="B1548" s="1832">
        <f>'Expenditures 15-22'!G312</f>
        <v>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0</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0</v>
      </c>
      <c r="C1559" s="2" t="s">
        <v>568</v>
      </c>
      <c r="D1559" s="2" t="str">
        <f t="shared" si="23"/>
        <v>Error?</v>
      </c>
    </row>
    <row r="1560" spans="1:4" x14ac:dyDescent="0.2">
      <c r="A1560" s="5">
        <v>1499</v>
      </c>
      <c r="B1560" s="1832">
        <f>'Expenditures 15-22'!K312</f>
        <v>0</v>
      </c>
      <c r="C1560" s="2" t="s">
        <v>568</v>
      </c>
      <c r="D1560" s="2" t="str">
        <f t="shared" si="23"/>
        <v>Error?</v>
      </c>
    </row>
    <row r="1561" spans="1:4" x14ac:dyDescent="0.2">
      <c r="A1561" s="5">
        <v>1500</v>
      </c>
      <c r="B1561" s="1832">
        <f>'Expenditures 15-22'!K313</f>
        <v>1495918</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159426186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190181811</v>
      </c>
      <c r="C1630" s="2" t="s">
        <v>568</v>
      </c>
      <c r="D1630" s="2" t="str">
        <f t="shared" si="24"/>
        <v>Error?</v>
      </c>
    </row>
    <row r="1631" spans="1:4" x14ac:dyDescent="0.2">
      <c r="A1631" s="5">
        <v>1570</v>
      </c>
      <c r="B1631" s="1832">
        <f>'Acct Summary 7-8'!D79</f>
        <v>6366110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-8352494</v>
      </c>
      <c r="C1644" s="2" t="s">
        <v>568</v>
      </c>
      <c r="D1644" s="2" t="str">
        <f t="shared" si="24"/>
        <v>Error?</v>
      </c>
    </row>
    <row r="1645" spans="1:4" x14ac:dyDescent="0.2">
      <c r="A1645" s="5">
        <v>1584</v>
      </c>
      <c r="B1645" s="1832">
        <f>'Acct Summary 7-8'!E79</f>
        <v>31984880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32625408</v>
      </c>
      <c r="C1658" s="2" t="s">
        <v>568</v>
      </c>
      <c r="D1658" s="2" t="str">
        <f t="shared" si="24"/>
        <v>Error?</v>
      </c>
    </row>
    <row r="1659" spans="1:4" x14ac:dyDescent="0.2">
      <c r="A1659" s="5">
        <v>1598</v>
      </c>
      <c r="B1659" s="1832">
        <f>'Acct Summary 7-8'!F79</f>
        <v>18312779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20800702</v>
      </c>
      <c r="C1672" s="2" t="s">
        <v>568</v>
      </c>
      <c r="D1672" s="2" t="str">
        <f t="shared" si="25"/>
        <v>Error?</v>
      </c>
    </row>
    <row r="1673" spans="1:4" x14ac:dyDescent="0.2">
      <c r="A1673" s="5">
        <v>1612</v>
      </c>
      <c r="B1673" s="1832">
        <f>'Acct Summary 7-8'!G79</f>
        <v>1344729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1886568</v>
      </c>
      <c r="C1686" s="2" t="s">
        <v>568</v>
      </c>
      <c r="D1686" s="2" t="str">
        <f t="shared" si="25"/>
        <v>Error?</v>
      </c>
    </row>
    <row r="1687" spans="1:4" x14ac:dyDescent="0.2">
      <c r="A1687" s="5">
        <v>1626</v>
      </c>
      <c r="B1687" s="1832">
        <f>'Acct Summary 7-8'!H79</f>
        <v>3492792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4988710</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170878537</v>
      </c>
      <c r="C1744" s="2" t="s">
        <v>568</v>
      </c>
      <c r="D1744" s="2" t="str">
        <f t="shared" si="26"/>
        <v>Error?</v>
      </c>
    </row>
    <row r="1745" spans="1:5" x14ac:dyDescent="0.2">
      <c r="A1745" s="5">
        <v>1684</v>
      </c>
      <c r="B1745" s="1832">
        <f>'Tax Sched 23'!B5</f>
        <v>35008672</v>
      </c>
      <c r="C1745" s="2" t="s">
        <v>568</v>
      </c>
      <c r="D1745" s="2" t="str">
        <f t="shared" si="26"/>
        <v>Error?</v>
      </c>
    </row>
    <row r="1746" spans="1:5" x14ac:dyDescent="0.2">
      <c r="A1746" s="5">
        <v>1685</v>
      </c>
      <c r="B1746" s="1832">
        <f>'Tax Sched 23'!B6</f>
        <v>32997333</v>
      </c>
      <c r="C1746" s="2" t="s">
        <v>568</v>
      </c>
      <c r="D1746" s="2" t="str">
        <f t="shared" si="26"/>
        <v>Error?</v>
      </c>
    </row>
    <row r="1747" spans="1:5" x14ac:dyDescent="0.2">
      <c r="A1747" s="5">
        <v>1686</v>
      </c>
      <c r="B1747" s="1832">
        <f>'Tax Sched 23'!B7</f>
        <v>14677912</v>
      </c>
      <c r="C1747" s="2" t="s">
        <v>568</v>
      </c>
      <c r="D1747" s="2" t="str">
        <f t="shared" si="26"/>
        <v>Error?</v>
      </c>
    </row>
    <row r="1748" spans="1:5" x14ac:dyDescent="0.2">
      <c r="A1748" s="5">
        <v>1687</v>
      </c>
      <c r="B1748" s="1832">
        <f>'Tax Sched 23'!B8</f>
        <v>0</v>
      </c>
      <c r="C1748" s="2" t="s">
        <v>568</v>
      </c>
      <c r="D1748" s="2" t="str">
        <f t="shared" si="26"/>
        <v>Error?</v>
      </c>
    </row>
    <row r="1749" spans="1:5" x14ac:dyDescent="0.2">
      <c r="A1749" s="5">
        <v>1688</v>
      </c>
      <c r="B1749" s="1832">
        <f>'Tax Sched 23'!B10</f>
        <v>0</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5356607</v>
      </c>
      <c r="C1752" s="2" t="s">
        <v>568</v>
      </c>
      <c r="D1752" s="2" t="str">
        <f t="shared" si="26"/>
        <v>Error?</v>
      </c>
    </row>
    <row r="1753" spans="1:5" x14ac:dyDescent="0.2">
      <c r="A1753" s="5">
        <v>1692</v>
      </c>
      <c r="B1753" s="1832">
        <f>'Tax Sched 23'!B12</f>
        <v>4350371</v>
      </c>
      <c r="C1753" s="2" t="s">
        <v>568</v>
      </c>
      <c r="D1753" s="2" t="str">
        <f t="shared" si="26"/>
        <v>Error?</v>
      </c>
    </row>
    <row r="1754" spans="1:5" x14ac:dyDescent="0.2">
      <c r="A1754" s="5">
        <v>1693</v>
      </c>
      <c r="B1754" s="1832">
        <f>'Tax Sched 23'!B14</f>
        <v>34005944</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310296256</v>
      </c>
      <c r="C1759" s="2" t="s">
        <v>568</v>
      </c>
      <c r="D1759" s="2" t="str">
        <f t="shared" si="26"/>
        <v>Error?</v>
      </c>
    </row>
    <row r="1760" spans="1:5" x14ac:dyDescent="0.2">
      <c r="A1760" s="5">
        <v>1699</v>
      </c>
      <c r="B1760" s="1832">
        <f>'Tax Sched 23'!D4</f>
        <v>86934758</v>
      </c>
      <c r="C1760" s="2" t="s">
        <v>568</v>
      </c>
      <c r="D1760" s="2" t="str">
        <f t="shared" si="26"/>
        <v>Error?</v>
      </c>
    </row>
    <row r="1761" spans="1:7" x14ac:dyDescent="0.2">
      <c r="A1761" s="5">
        <v>1700</v>
      </c>
      <c r="B1761" s="1832">
        <f>'Tax Sched 23'!D5</f>
        <v>18070759</v>
      </c>
      <c r="C1761" s="2" t="s">
        <v>568</v>
      </c>
      <c r="D1761" s="2" t="str">
        <f t="shared" si="26"/>
        <v>Error?</v>
      </c>
    </row>
    <row r="1762" spans="1:7" s="8" customFormat="1" x14ac:dyDescent="0.2">
      <c r="A1762" s="5">
        <v>1701</v>
      </c>
      <c r="B1762" s="1832">
        <f>'Tax Sched 23'!D6</f>
        <v>17121424</v>
      </c>
      <c r="C1762" s="2" t="s">
        <v>568</v>
      </c>
      <c r="D1762" s="2" t="str">
        <f t="shared" si="26"/>
        <v>Error?</v>
      </c>
      <c r="E1762" s="9"/>
      <c r="G1762"/>
    </row>
    <row r="1763" spans="1:7" x14ac:dyDescent="0.2">
      <c r="A1763" s="5">
        <v>1702</v>
      </c>
      <c r="B1763" s="1832">
        <f>'Tax Sched 23'!D7</f>
        <v>8933274</v>
      </c>
      <c r="C1763" s="2" t="s">
        <v>568</v>
      </c>
      <c r="D1763" s="2" t="str">
        <f t="shared" si="26"/>
        <v>Error?</v>
      </c>
    </row>
    <row r="1764" spans="1:7" x14ac:dyDescent="0.2">
      <c r="A1764" s="5">
        <v>1703</v>
      </c>
      <c r="B1764" s="1832">
        <f>'Tax Sched 23'!D8</f>
        <v>0</v>
      </c>
      <c r="C1764" s="2" t="s">
        <v>568</v>
      </c>
      <c r="D1764" s="2" t="str">
        <f t="shared" si="26"/>
        <v>Error?</v>
      </c>
    </row>
    <row r="1765" spans="1:7" x14ac:dyDescent="0.2">
      <c r="A1765" s="5">
        <v>1704</v>
      </c>
      <c r="B1765" s="1832">
        <f>'Tax Sched 23'!D10</f>
        <v>0</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2628863</v>
      </c>
      <c r="C1768" s="2" t="s">
        <v>568</v>
      </c>
      <c r="D1768" s="2" t="str">
        <f t="shared" si="26"/>
        <v>Error?</v>
      </c>
    </row>
    <row r="1769" spans="1:7" x14ac:dyDescent="0.2">
      <c r="A1769" s="5">
        <v>1708</v>
      </c>
      <c r="B1769" s="1832">
        <f>'Tax Sched 23'!D12</f>
        <v>2120510</v>
      </c>
      <c r="C1769" s="2" t="s">
        <v>568</v>
      </c>
      <c r="D1769" s="2" t="str">
        <f t="shared" si="26"/>
        <v>Error?</v>
      </c>
    </row>
    <row r="1770" spans="1:7" x14ac:dyDescent="0.2">
      <c r="A1770" s="5">
        <v>1709</v>
      </c>
      <c r="B1770" s="1832">
        <f>'Tax Sched 23'!D14</f>
        <v>17251029</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159759121</v>
      </c>
      <c r="C1775" s="2" t="s">
        <v>568</v>
      </c>
      <c r="D1775" s="2" t="str">
        <f t="shared" si="26"/>
        <v>Error?</v>
      </c>
    </row>
    <row r="1776" spans="1:7" x14ac:dyDescent="0.2">
      <c r="A1776" s="5">
        <v>1715</v>
      </c>
      <c r="B1776" s="1832">
        <f>'Tax Sched 23'!C4</f>
        <v>83943779</v>
      </c>
      <c r="D1776" s="2" t="str">
        <f t="shared" si="26"/>
        <v>Error?</v>
      </c>
    </row>
    <row r="1777" spans="1:4" x14ac:dyDescent="0.2">
      <c r="A1777" s="5">
        <v>1716</v>
      </c>
      <c r="B1777" s="1832">
        <f>'Tax Sched 23'!C5</f>
        <v>16937913</v>
      </c>
      <c r="D1777" s="2" t="str">
        <f t="shared" si="26"/>
        <v>Error?</v>
      </c>
    </row>
    <row r="1778" spans="1:4" x14ac:dyDescent="0.2">
      <c r="A1778" s="5">
        <v>1717</v>
      </c>
      <c r="B1778" s="1832">
        <f>'Tax Sched 23'!C6</f>
        <v>15875909</v>
      </c>
      <c r="D1778" s="2" t="str">
        <f t="shared" si="26"/>
        <v>Error?</v>
      </c>
    </row>
    <row r="1779" spans="1:4" x14ac:dyDescent="0.2">
      <c r="A1779" s="5">
        <v>1718</v>
      </c>
      <c r="B1779" s="1832">
        <f>'Tax Sched 23'!C7</f>
        <v>5744638</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2727744</v>
      </c>
      <c r="D1784" s="2" t="str">
        <f t="shared" si="26"/>
        <v>Error?</v>
      </c>
    </row>
    <row r="1785" spans="1:4" x14ac:dyDescent="0.2">
      <c r="A1785" s="5">
        <v>1724</v>
      </c>
      <c r="B1785" s="1832">
        <f>'Tax Sched 23'!C12</f>
        <v>2229861</v>
      </c>
      <c r="D1785" s="2" t="str">
        <f t="shared" si="26"/>
        <v>Error?</v>
      </c>
    </row>
    <row r="1786" spans="1:4" x14ac:dyDescent="0.2">
      <c r="A1786" s="5">
        <v>1725</v>
      </c>
      <c r="B1786" s="1832">
        <f>'Tax Sched 23'!C14</f>
        <v>16754915</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150537135</v>
      </c>
      <c r="C1791" s="2" t="s">
        <v>568</v>
      </c>
      <c r="D1791" s="2" t="str">
        <f t="shared" ref="D1791:D1854" si="27">IF(ISBLANK(B1791),"OK",IF(A1791-B1791=0,"OK","Error?"))</f>
        <v>Error?</v>
      </c>
    </row>
    <row r="1792" spans="1:4" x14ac:dyDescent="0.2">
      <c r="A1792" s="5">
        <v>1731</v>
      </c>
      <c r="B1792" s="1832">
        <f>'Tax Sched 23'!F4</f>
        <v>91617747</v>
      </c>
      <c r="C1792" s="2" t="s">
        <v>568</v>
      </c>
      <c r="D1792" s="2" t="str">
        <f t="shared" si="27"/>
        <v>Error?</v>
      </c>
    </row>
    <row r="1793" spans="1:4" x14ac:dyDescent="0.2">
      <c r="A1793" s="5">
        <v>1732</v>
      </c>
      <c r="B1793" s="1832">
        <f>'Tax Sched 23'!F5</f>
        <v>18486342</v>
      </c>
      <c r="C1793" s="2" t="s">
        <v>568</v>
      </c>
      <c r="D1793" s="2" t="str">
        <f t="shared" si="27"/>
        <v>Error?</v>
      </c>
    </row>
    <row r="1794" spans="1:4" x14ac:dyDescent="0.2">
      <c r="A1794" s="5">
        <v>1733</v>
      </c>
      <c r="B1794" s="1832">
        <f>'Tax Sched 23'!F6</f>
        <v>17327252</v>
      </c>
      <c r="C1794" s="2" t="s">
        <v>568</v>
      </c>
      <c r="D1794" s="2" t="str">
        <f t="shared" si="27"/>
        <v>Error?</v>
      </c>
    </row>
    <row r="1795" spans="1:4" x14ac:dyDescent="0.2">
      <c r="A1795" s="5">
        <v>1734</v>
      </c>
      <c r="B1795" s="1832">
        <f>'Tax Sched 23'!F7</f>
        <v>6269801</v>
      </c>
      <c r="C1795" s="2" t="s">
        <v>568</v>
      </c>
      <c r="D1795" s="2" t="str">
        <f t="shared" si="27"/>
        <v>Error?</v>
      </c>
    </row>
    <row r="1796" spans="1:4" x14ac:dyDescent="0.2">
      <c r="A1796" s="5">
        <v>1735</v>
      </c>
      <c r="B1796" s="1832">
        <f>'Tax Sched 23'!F8</f>
        <v>0</v>
      </c>
      <c r="C1796" s="2" t="s">
        <v>568</v>
      </c>
      <c r="D1796" s="2" t="str">
        <f t="shared" si="27"/>
        <v>Error?</v>
      </c>
    </row>
    <row r="1797" spans="1:4" x14ac:dyDescent="0.2">
      <c r="A1797" s="5">
        <v>1736</v>
      </c>
      <c r="B1797" s="1832">
        <f>'Tax Sched 23'!F10</f>
        <v>0</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2977109</v>
      </c>
      <c r="C1800" s="2" t="s">
        <v>568</v>
      </c>
      <c r="D1800" s="2" t="str">
        <f t="shared" si="27"/>
        <v>Error?</v>
      </c>
    </row>
    <row r="1801" spans="1:4" x14ac:dyDescent="0.2">
      <c r="A1801" s="5">
        <v>1740</v>
      </c>
      <c r="B1801" s="1832">
        <f>'Tax Sched 23'!F12</f>
        <v>2433711</v>
      </c>
      <c r="C1801" s="2" t="s">
        <v>568</v>
      </c>
      <c r="D1801" s="2" t="str">
        <f t="shared" si="27"/>
        <v>Error?</v>
      </c>
    </row>
    <row r="1802" spans="1:4" x14ac:dyDescent="0.2">
      <c r="A1802" s="5">
        <v>1741</v>
      </c>
      <c r="B1802" s="1832">
        <f>'Tax Sched 23'!F14</f>
        <v>18286615</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164298932</v>
      </c>
      <c r="C1807" s="2" t="s">
        <v>568</v>
      </c>
      <c r="D1807" s="2" t="str">
        <f t="shared" si="27"/>
        <v>Error?</v>
      </c>
    </row>
    <row r="1808" spans="1:4" x14ac:dyDescent="0.2">
      <c r="A1808" s="5">
        <v>1747</v>
      </c>
      <c r="B1808" s="1832">
        <f>'Tax Sched 23'!E4</f>
        <v>175561526</v>
      </c>
      <c r="D1808" s="2" t="str">
        <f t="shared" si="27"/>
        <v>Error?</v>
      </c>
    </row>
    <row r="1809" spans="1:4" x14ac:dyDescent="0.2">
      <c r="A1809" s="5">
        <v>1748</v>
      </c>
      <c r="B1809" s="1832">
        <f>'Tax Sched 23'!E5</f>
        <v>35424255</v>
      </c>
      <c r="D1809" s="2" t="str">
        <f t="shared" si="27"/>
        <v>Error?</v>
      </c>
    </row>
    <row r="1810" spans="1:4" x14ac:dyDescent="0.2">
      <c r="A1810" s="5">
        <v>1749</v>
      </c>
      <c r="B1810" s="1832">
        <f>'Tax Sched 23'!E6</f>
        <v>33203161</v>
      </c>
      <c r="D1810" s="2" t="str">
        <f t="shared" si="27"/>
        <v>Error?</v>
      </c>
    </row>
    <row r="1811" spans="1:4" x14ac:dyDescent="0.2">
      <c r="A1811" s="5">
        <v>1750</v>
      </c>
      <c r="B1811" s="1832">
        <f>'Tax Sched 23'!E7</f>
        <v>12014439</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5704853</v>
      </c>
      <c r="D1816" s="2" t="str">
        <f t="shared" si="27"/>
        <v>Error?</v>
      </c>
    </row>
    <row r="1817" spans="1:4" x14ac:dyDescent="0.2">
      <c r="A1817" s="5">
        <v>1756</v>
      </c>
      <c r="B1817" s="1832">
        <f>'Tax Sched 23'!E12</f>
        <v>4663572</v>
      </c>
      <c r="D1817" s="2" t="str">
        <f t="shared" si="27"/>
        <v>Error?</v>
      </c>
    </row>
    <row r="1818" spans="1:4" x14ac:dyDescent="0.2">
      <c r="A1818" s="5">
        <v>1757</v>
      </c>
      <c r="B1818" s="1832">
        <f>'Tax Sched 23'!E14</f>
        <v>35041530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314836067</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240981586</v>
      </c>
      <c r="C1939" s="2" t="s">
        <v>568</v>
      </c>
      <c r="D1939" s="2" t="str">
        <f t="shared" si="29"/>
        <v>Error?</v>
      </c>
    </row>
    <row r="1940" spans="1:5" x14ac:dyDescent="0.2">
      <c r="A1940" s="5">
        <v>1879</v>
      </c>
      <c r="B1940" s="1832">
        <f>'Short-Term Long-Term Debt 24'!F49</f>
        <v>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34005944</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34005944</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34005944</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28397412</v>
      </c>
      <c r="D2008" s="2" t="str">
        <f t="shared" si="30"/>
        <v>Error?</v>
      </c>
    </row>
    <row r="2009" spans="1:4" x14ac:dyDescent="0.2">
      <c r="A2009" s="5">
        <v>1948</v>
      </c>
      <c r="B2009" s="1832">
        <f>'Cap Outlay Deprec 26'!C8</f>
        <v>632712633</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26739351</v>
      </c>
      <c r="D2011" s="2" t="str">
        <f t="shared" si="30"/>
        <v>Error?</v>
      </c>
    </row>
    <row r="2012" spans="1:4" x14ac:dyDescent="0.2">
      <c r="A2012" s="5">
        <v>1951</v>
      </c>
      <c r="B2012" s="1832">
        <f>'Cap Outlay Deprec 26'!C13</f>
        <v>28324494</v>
      </c>
      <c r="D2012" s="2" t="str">
        <f t="shared" si="30"/>
        <v>Error?</v>
      </c>
    </row>
    <row r="2013" spans="1:4" x14ac:dyDescent="0.2">
      <c r="A2013" s="5">
        <v>1952</v>
      </c>
      <c r="B2013" s="1832">
        <f>'Cap Outlay Deprec 26'!C16</f>
        <v>729133795</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30757688</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580814</v>
      </c>
      <c r="D2017" s="2" t="str">
        <f t="shared" si="30"/>
        <v>Error?</v>
      </c>
    </row>
    <row r="2018" spans="1:4" x14ac:dyDescent="0.2">
      <c r="A2018" s="5">
        <v>1957</v>
      </c>
      <c r="B2018" s="1832">
        <f>'Cap Outlay Deprec 26'!D13</f>
        <v>5302446</v>
      </c>
      <c r="D2018" s="2" t="str">
        <f t="shared" si="30"/>
        <v>Error?</v>
      </c>
    </row>
    <row r="2019" spans="1:4" x14ac:dyDescent="0.2">
      <c r="A2019" s="5">
        <v>1958</v>
      </c>
      <c r="B2019" s="1832">
        <f>'Cap Outlay Deprec 26'!D16</f>
        <v>81606480</v>
      </c>
      <c r="C2019" s="2" t="s">
        <v>568</v>
      </c>
      <c r="D2019" s="2" t="str">
        <f t="shared" si="30"/>
        <v>Error?</v>
      </c>
    </row>
    <row r="2020" spans="1:4" x14ac:dyDescent="0.2">
      <c r="A2020" s="5">
        <v>1959</v>
      </c>
      <c r="B2020" s="1832">
        <f>'Cap Outlay Deprec 26'!E5</f>
        <v>2500</v>
      </c>
      <c r="D2020" s="2" t="str">
        <f t="shared" si="30"/>
        <v>Error?</v>
      </c>
    </row>
    <row r="2021" spans="1:4" x14ac:dyDescent="0.2">
      <c r="A2021" s="5">
        <v>1960</v>
      </c>
      <c r="B2021" s="1832">
        <f>'Cap Outlay Deprec 26'!E8</f>
        <v>677590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201620</v>
      </c>
      <c r="D2023" s="2" t="str">
        <f t="shared" si="30"/>
        <v>Error?</v>
      </c>
    </row>
    <row r="2024" spans="1:4" x14ac:dyDescent="0.2">
      <c r="A2024" s="5">
        <v>1963</v>
      </c>
      <c r="B2024" s="1832">
        <f>'Cap Outlay Deprec 26'!E13</f>
        <v>4852445</v>
      </c>
      <c r="D2024" s="2" t="str">
        <f t="shared" si="30"/>
        <v>Error?</v>
      </c>
    </row>
    <row r="2025" spans="1:4" x14ac:dyDescent="0.2">
      <c r="A2025" s="5">
        <v>1964</v>
      </c>
      <c r="B2025" s="1832">
        <f>'Cap Outlay Deprec 26'!E16</f>
        <v>35595036</v>
      </c>
      <c r="C2025" s="2" t="s">
        <v>568</v>
      </c>
      <c r="D2025" s="2" t="str">
        <f t="shared" si="30"/>
        <v>Error?</v>
      </c>
    </row>
    <row r="2026" spans="1:4" x14ac:dyDescent="0.2">
      <c r="A2026" s="5">
        <v>1965</v>
      </c>
      <c r="B2026" s="1832">
        <f>'Cap Outlay Deprec 26'!F5</f>
        <v>28394912</v>
      </c>
      <c r="C2026" s="2" t="s">
        <v>568</v>
      </c>
      <c r="D2026" s="2" t="str">
        <f t="shared" si="30"/>
        <v>Error?</v>
      </c>
    </row>
    <row r="2027" spans="1:4" x14ac:dyDescent="0.2">
      <c r="A2027" s="5">
        <v>1966</v>
      </c>
      <c r="B2027" s="1832">
        <f>'Cap Outlay Deprec 26'!F8</f>
        <v>662792731</v>
      </c>
      <c r="C2027" s="2" t="s">
        <v>568</v>
      </c>
      <c r="D2027" s="2" t="str">
        <f t="shared" si="30"/>
        <v>Error?</v>
      </c>
    </row>
    <row r="2028" spans="1:4" x14ac:dyDescent="0.2">
      <c r="A2028" s="5">
        <v>1967</v>
      </c>
      <c r="B2028" s="1832">
        <f>'Cap Outlay Deprec 26'!F10</f>
        <v>0</v>
      </c>
      <c r="C2028" s="2" t="s">
        <v>568</v>
      </c>
      <c r="D2028" s="2" t="str">
        <f t="shared" si="30"/>
        <v>Error?</v>
      </c>
    </row>
    <row r="2029" spans="1:4" x14ac:dyDescent="0.2">
      <c r="A2029" s="5">
        <v>1968</v>
      </c>
      <c r="B2029" s="1832">
        <f>'Cap Outlay Deprec 26'!F12</f>
        <v>27118545</v>
      </c>
      <c r="C2029" s="2" t="s">
        <v>568</v>
      </c>
      <c r="D2029" s="2" t="str">
        <f t="shared" si="30"/>
        <v>Error?</v>
      </c>
    </row>
    <row r="2030" spans="1:4" x14ac:dyDescent="0.2">
      <c r="A2030" s="5">
        <v>1969</v>
      </c>
      <c r="B2030" s="1832">
        <f>'Cap Outlay Deprec 26'!F13</f>
        <v>28774495</v>
      </c>
      <c r="C2030" s="2" t="s">
        <v>568</v>
      </c>
      <c r="D2030" s="2" t="str">
        <f t="shared" si="30"/>
        <v>Error?</v>
      </c>
    </row>
    <row r="2031" spans="1:4" x14ac:dyDescent="0.2">
      <c r="A2031" s="5">
        <v>1970</v>
      </c>
      <c r="B2031" s="1832">
        <f>'Cap Outlay Deprec 26'!F16</f>
        <v>775145239</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292213395</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19755226</v>
      </c>
      <c r="D2035" s="2" t="str">
        <f t="shared" si="30"/>
        <v>Error?</v>
      </c>
    </row>
    <row r="2036" spans="1:4" x14ac:dyDescent="0.2">
      <c r="A2036" s="5">
        <v>1975</v>
      </c>
      <c r="B2036" s="1832">
        <f>'Cap Outlay Deprec 26'!H13</f>
        <v>18954451</v>
      </c>
      <c r="D2036" s="2" t="str">
        <f t="shared" si="30"/>
        <v>Error?</v>
      </c>
    </row>
    <row r="2037" spans="1:4" x14ac:dyDescent="0.2">
      <c r="A2037" s="5">
        <v>1976</v>
      </c>
      <c r="B2037" s="1832">
        <f>'Cap Outlay Deprec 26'!H16</f>
        <v>330923072</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14665673</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2463386</v>
      </c>
      <c r="D2041" s="2" t="str">
        <f t="shared" si="30"/>
        <v>Error?</v>
      </c>
    </row>
    <row r="2042" spans="1:4" x14ac:dyDescent="0.2">
      <c r="A2042" s="5">
        <v>1981</v>
      </c>
      <c r="B2042" s="1832">
        <f>'Cap Outlay Deprec 26'!I13</f>
        <v>3431820</v>
      </c>
      <c r="D2042" s="2" t="str">
        <f t="shared" si="30"/>
        <v>Error?</v>
      </c>
    </row>
    <row r="2043" spans="1:4" x14ac:dyDescent="0.2">
      <c r="A2043" s="5">
        <v>1982</v>
      </c>
      <c r="B2043" s="1832">
        <f>'Cap Outlay Deprec 26'!I16</f>
        <v>20560879</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677590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201620</v>
      </c>
      <c r="D2047" s="2" t="str">
        <f t="shared" ref="D2047:D2110" si="31">IF(ISBLANK(B2047),"OK",IF(A2047-B2047=0,"OK","Error?"))</f>
        <v>Error?</v>
      </c>
    </row>
    <row r="2048" spans="1:4" x14ac:dyDescent="0.2">
      <c r="A2048" s="5">
        <v>1987</v>
      </c>
      <c r="B2048" s="1832">
        <f>'Cap Outlay Deprec 26'!J13</f>
        <v>4852445</v>
      </c>
      <c r="D2048" s="2" t="str">
        <f t="shared" si="31"/>
        <v>Error?</v>
      </c>
    </row>
    <row r="2049" spans="1:4" x14ac:dyDescent="0.2">
      <c r="A2049" s="5">
        <v>1988</v>
      </c>
      <c r="B2049" s="1832">
        <f>'Cap Outlay Deprec 26'!J16</f>
        <v>5731655</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306201478</v>
      </c>
      <c r="C2051" s="2" t="s">
        <v>568</v>
      </c>
      <c r="D2051" s="2" t="str">
        <f t="shared" si="31"/>
        <v>Error?</v>
      </c>
    </row>
    <row r="2052" spans="1:4" x14ac:dyDescent="0.2">
      <c r="A2052" s="5">
        <v>1991</v>
      </c>
      <c r="B2052" s="1832">
        <f>'Cap Outlay Deprec 26'!K10</f>
        <v>0</v>
      </c>
      <c r="C2052" s="2" t="s">
        <v>568</v>
      </c>
      <c r="D2052" s="2" t="str">
        <f t="shared" si="31"/>
        <v>Error?</v>
      </c>
    </row>
    <row r="2053" spans="1:4" x14ac:dyDescent="0.2">
      <c r="A2053" s="5">
        <v>1992</v>
      </c>
      <c r="B2053" s="1832">
        <f>'Cap Outlay Deprec 26'!K12</f>
        <v>22016992</v>
      </c>
      <c r="C2053" s="2" t="s">
        <v>568</v>
      </c>
      <c r="D2053" s="2" t="str">
        <f t="shared" si="31"/>
        <v>Error?</v>
      </c>
    </row>
    <row r="2054" spans="1:4" x14ac:dyDescent="0.2">
      <c r="A2054" s="5">
        <v>1993</v>
      </c>
      <c r="B2054" s="1832">
        <f>'Cap Outlay Deprec 26'!K13</f>
        <v>17533826</v>
      </c>
      <c r="C2054" s="2" t="s">
        <v>568</v>
      </c>
      <c r="D2054" s="2" t="str">
        <f t="shared" si="31"/>
        <v>Error?</v>
      </c>
    </row>
    <row r="2055" spans="1:4" x14ac:dyDescent="0.2">
      <c r="A2055" s="5">
        <v>1994</v>
      </c>
      <c r="B2055" s="1832">
        <f>'Cap Outlay Deprec 26'!K16</f>
        <v>345752296</v>
      </c>
      <c r="C2055" s="2" t="s">
        <v>568</v>
      </c>
      <c r="D2055" s="2" t="str">
        <f t="shared" si="31"/>
        <v>Error?</v>
      </c>
    </row>
    <row r="2056" spans="1:4" x14ac:dyDescent="0.2">
      <c r="A2056" s="5">
        <v>1995</v>
      </c>
      <c r="B2056" s="1832">
        <f>'Cap Outlay Deprec 26'!L5</f>
        <v>28394912</v>
      </c>
      <c r="C2056" s="2" t="s">
        <v>568</v>
      </c>
      <c r="D2056" s="2" t="str">
        <f t="shared" si="31"/>
        <v>Error?</v>
      </c>
    </row>
    <row r="2057" spans="1:4" x14ac:dyDescent="0.2">
      <c r="A2057" s="5">
        <v>1996</v>
      </c>
      <c r="B2057" s="1832">
        <f>'Cap Outlay Deprec 26'!L8</f>
        <v>356591253</v>
      </c>
      <c r="C2057" s="2" t="s">
        <v>568</v>
      </c>
      <c r="D2057" s="2" t="str">
        <f t="shared" si="31"/>
        <v>Error?</v>
      </c>
    </row>
    <row r="2058" spans="1:4" x14ac:dyDescent="0.2">
      <c r="A2058" s="5">
        <v>1997</v>
      </c>
      <c r="B2058" s="1832">
        <f>'Cap Outlay Deprec 26'!L10</f>
        <v>0</v>
      </c>
      <c r="C2058" s="2" t="s">
        <v>568</v>
      </c>
      <c r="D2058" s="2" t="str">
        <f t="shared" si="31"/>
        <v>Error?</v>
      </c>
    </row>
    <row r="2059" spans="1:4" x14ac:dyDescent="0.2">
      <c r="A2059" s="5">
        <v>1998</v>
      </c>
      <c r="B2059" s="1832">
        <f>'Cap Outlay Deprec 26'!L12</f>
        <v>5101553</v>
      </c>
      <c r="C2059" s="2" t="s">
        <v>568</v>
      </c>
      <c r="D2059" s="2" t="str">
        <f t="shared" si="31"/>
        <v>Error?</v>
      </c>
    </row>
    <row r="2060" spans="1:4" x14ac:dyDescent="0.2">
      <c r="A2060" s="5">
        <v>1999</v>
      </c>
      <c r="B2060" s="1832">
        <f>'Cap Outlay Deprec 26'!L13</f>
        <v>11240669</v>
      </c>
      <c r="C2060" s="2" t="s">
        <v>568</v>
      </c>
      <c r="D2060" s="2" t="str">
        <f t="shared" si="31"/>
        <v>Error?</v>
      </c>
    </row>
    <row r="2061" spans="1:4" x14ac:dyDescent="0.2">
      <c r="A2061" s="5">
        <v>2000</v>
      </c>
      <c r="B2061" s="1832">
        <f>'Cap Outlay Deprec 26'!L16</f>
        <v>429392943</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81778</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484233</v>
      </c>
      <c r="C2088" s="2" t="s">
        <v>568</v>
      </c>
      <c r="D2088" s="2" t="str">
        <f t="shared" si="31"/>
        <v>Error?</v>
      </c>
    </row>
    <row r="2089" spans="1:4" x14ac:dyDescent="0.2">
      <c r="A2089" s="5">
        <v>2028</v>
      </c>
      <c r="B2089" s="1832">
        <f>'Expenditures 15-22'!K92</f>
        <v>9096949</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6200000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5558516</v>
      </c>
      <c r="D2435" s="2" t="str">
        <f t="shared" si="37"/>
        <v>Error?</v>
      </c>
    </row>
    <row r="2436" spans="1:4" x14ac:dyDescent="0.2">
      <c r="A2436" s="10">
        <v>2375</v>
      </c>
      <c r="B2436" s="1832"/>
      <c r="D2436" s="2" t="str">
        <f t="shared" si="37"/>
        <v>OK</v>
      </c>
    </row>
    <row r="2437" spans="1:4" x14ac:dyDescent="0.2">
      <c r="A2437" s="5">
        <v>2376</v>
      </c>
      <c r="B2437" s="1832">
        <f>'Assets-Liab 5-6'!D38</f>
        <v>57895</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20800702</v>
      </c>
      <c r="D2475" s="2" t="str">
        <f t="shared" si="37"/>
        <v>Error?</v>
      </c>
    </row>
    <row r="2476" spans="1:4" x14ac:dyDescent="0.2">
      <c r="A2476" s="10">
        <v>2415</v>
      </c>
      <c r="B2476" s="1832"/>
      <c r="D2476" s="2" t="str">
        <f t="shared" si="37"/>
        <v>OK</v>
      </c>
    </row>
    <row r="2477" spans="1:4" x14ac:dyDescent="0.2">
      <c r="A2477" s="5">
        <v>2416</v>
      </c>
      <c r="B2477" s="1832">
        <f>'Assets-Liab 5-6'!G38</f>
        <v>1886568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32625408</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4988710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214052420</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194596493</v>
      </c>
      <c r="C2553" s="2" t="s">
        <v>568</v>
      </c>
      <c r="D2553" s="2" t="str">
        <f t="shared" si="38"/>
        <v>Error?</v>
      </c>
    </row>
    <row r="2554" spans="1:4" x14ac:dyDescent="0.2">
      <c r="A2554" s="5">
        <v>2493</v>
      </c>
      <c r="B2554" s="1832">
        <f>'Acct Summary 7-8'!C7</f>
        <v>47994424</v>
      </c>
      <c r="C2554" s="2" t="s">
        <v>568</v>
      </c>
      <c r="D2554" s="2" t="str">
        <f t="shared" si="38"/>
        <v>Error?</v>
      </c>
    </row>
    <row r="2555" spans="1:4" x14ac:dyDescent="0.2">
      <c r="A2555" s="5">
        <v>2494</v>
      </c>
      <c r="B2555" s="1832">
        <f>'Acct Summary 7-8'!C8</f>
        <v>456643337</v>
      </c>
      <c r="C2555" s="2" t="s">
        <v>568</v>
      </c>
      <c r="D2555" s="2" t="str">
        <f t="shared" si="38"/>
        <v>Error?</v>
      </c>
    </row>
    <row r="2556" spans="1:4" x14ac:dyDescent="0.2">
      <c r="A2556" s="5">
        <v>2495</v>
      </c>
      <c r="B2556" s="1832">
        <f>'Acct Summary 7-8'!C12</f>
        <v>268894400</v>
      </c>
      <c r="C2556" s="2" t="s">
        <v>568</v>
      </c>
      <c r="D2556" s="2" t="str">
        <f t="shared" si="38"/>
        <v>Error?</v>
      </c>
    </row>
    <row r="2557" spans="1:4" x14ac:dyDescent="0.2">
      <c r="A2557" s="5">
        <v>2496</v>
      </c>
      <c r="B2557" s="1832">
        <f>'Acct Summary 7-8'!C13</f>
        <v>134770545</v>
      </c>
      <c r="C2557" s="2" t="s">
        <v>568</v>
      </c>
      <c r="D2557" s="2" t="str">
        <f t="shared" si="38"/>
        <v>Error?</v>
      </c>
    </row>
    <row r="2558" spans="1:4" x14ac:dyDescent="0.2">
      <c r="A2558" s="5">
        <v>2497</v>
      </c>
      <c r="B2558" s="1832">
        <f>'Acct Summary 7-8'!C14</f>
        <v>3036373</v>
      </c>
      <c r="C2558" s="2" t="s">
        <v>568</v>
      </c>
      <c r="D2558" s="2" t="str">
        <f t="shared" si="38"/>
        <v>Error?</v>
      </c>
    </row>
    <row r="2559" spans="1:4" x14ac:dyDescent="0.2">
      <c r="A2559" s="5">
        <v>2498</v>
      </c>
      <c r="B2559" s="1832">
        <f>'Acct Summary 7-8'!C15</f>
        <v>9581182</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416282500</v>
      </c>
      <c r="C2561" s="2" t="s">
        <v>568</v>
      </c>
      <c r="D2561" s="2" t="str">
        <f t="shared" si="39"/>
        <v>Error?</v>
      </c>
    </row>
    <row r="2562" spans="1:4" x14ac:dyDescent="0.2">
      <c r="A2562" s="5">
        <v>2501</v>
      </c>
      <c r="B2562" s="1832">
        <f>'Acct Summary 7-8'!C20</f>
        <v>40360837</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37075540</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17566648</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54642188</v>
      </c>
      <c r="C2568" s="2" t="s">
        <v>568</v>
      </c>
      <c r="D2568" s="2" t="str">
        <f t="shared" si="39"/>
        <v>Error?</v>
      </c>
    </row>
    <row r="2569" spans="1:4" x14ac:dyDescent="0.2">
      <c r="A2569" s="5">
        <v>2508</v>
      </c>
      <c r="B2569" s="1832">
        <f>'Acct Summary 7-8'!D13</f>
        <v>74828757</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74828757</v>
      </c>
      <c r="C2573" s="2" t="s">
        <v>568</v>
      </c>
      <c r="D2573" s="2" t="str">
        <f t="shared" si="39"/>
        <v>Error?</v>
      </c>
    </row>
    <row r="2574" spans="1:4" x14ac:dyDescent="0.2">
      <c r="A2574" s="5">
        <v>2513</v>
      </c>
      <c r="B2574" s="1832">
        <f>'Acct Summary 7-8'!D20</f>
        <v>-20186569</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15849873</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15929424</v>
      </c>
      <c r="C2593" s="2" t="s">
        <v>568</v>
      </c>
      <c r="D2593" s="2" t="str">
        <f t="shared" si="39"/>
        <v>Error?</v>
      </c>
    </row>
    <row r="2594" spans="1:4" x14ac:dyDescent="0.2">
      <c r="A2594" s="5">
        <v>2533</v>
      </c>
      <c r="B2594" s="1832">
        <f>'Acct Summary 7-8'!F7</f>
        <v>227442</v>
      </c>
      <c r="C2594" s="2" t="s">
        <v>568</v>
      </c>
      <c r="D2594" s="2" t="str">
        <f t="shared" si="39"/>
        <v>Error?</v>
      </c>
    </row>
    <row r="2595" spans="1:4" x14ac:dyDescent="0.2">
      <c r="A2595" s="5">
        <v>2534</v>
      </c>
      <c r="B2595" s="1832">
        <f>'Acct Summary 7-8'!F8</f>
        <v>32006739</v>
      </c>
      <c r="C2595" s="2" t="s">
        <v>568</v>
      </c>
      <c r="D2595" s="2" t="str">
        <f t="shared" si="39"/>
        <v>Error?</v>
      </c>
    </row>
    <row r="2596" spans="1:4" x14ac:dyDescent="0.2">
      <c r="A2596" s="5">
        <v>2535</v>
      </c>
      <c r="B2596" s="1832">
        <f>'Acct Summary 7-8'!F13</f>
        <v>28145571</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1373245</v>
      </c>
      <c r="C2599" s="2" t="s">
        <v>568</v>
      </c>
      <c r="D2599" s="2" t="str">
        <f t="shared" si="39"/>
        <v>Error?</v>
      </c>
    </row>
    <row r="2600" spans="1:4" x14ac:dyDescent="0.2">
      <c r="A2600" s="5">
        <v>2539</v>
      </c>
      <c r="B2600" s="1832">
        <f>'Acct Summary 7-8'!F17</f>
        <v>29518816</v>
      </c>
      <c r="C2600" s="2" t="s">
        <v>568</v>
      </c>
      <c r="D2600" s="2" t="str">
        <f t="shared" si="39"/>
        <v>Error?</v>
      </c>
    </row>
    <row r="2601" spans="1:4" x14ac:dyDescent="0.2">
      <c r="A2601" s="5">
        <v>2540</v>
      </c>
      <c r="B2601" s="1832">
        <f>'Acct Summary 7-8'!F20</f>
        <v>2487923</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17067484</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17067484</v>
      </c>
      <c r="C2606" s="2" t="s">
        <v>568</v>
      </c>
      <c r="D2606" s="2" t="str">
        <f t="shared" si="39"/>
        <v>Error?</v>
      </c>
    </row>
    <row r="2607" spans="1:4" x14ac:dyDescent="0.2">
      <c r="A2607" s="5">
        <v>2546</v>
      </c>
      <c r="B2607" s="1832">
        <f>'Acct Summary 7-8'!G12</f>
        <v>5383645</v>
      </c>
      <c r="C2607" s="2" t="s">
        <v>568</v>
      </c>
      <c r="D2607" s="2" t="str">
        <f t="shared" si="39"/>
        <v>Error?</v>
      </c>
    </row>
    <row r="2608" spans="1:4" x14ac:dyDescent="0.2">
      <c r="A2608" s="5">
        <v>2547</v>
      </c>
      <c r="B2608" s="1832">
        <f>'Acct Summary 7-8'!G13</f>
        <v>10942284</v>
      </c>
      <c r="C2608" s="2" t="s">
        <v>568</v>
      </c>
      <c r="D2608" s="2" t="str">
        <f t="shared" si="39"/>
        <v>Error?</v>
      </c>
    </row>
    <row r="2609" spans="1:4" x14ac:dyDescent="0.2">
      <c r="A2609" s="5">
        <v>2548</v>
      </c>
      <c r="B2609" s="1832">
        <f>'Acct Summary 7-8'!G14</f>
        <v>199716</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16525645</v>
      </c>
      <c r="C2612" s="2" t="s">
        <v>568</v>
      </c>
      <c r="D2612" s="2" t="str">
        <f t="shared" si="39"/>
        <v>Error?</v>
      </c>
    </row>
    <row r="2613" spans="1:4" x14ac:dyDescent="0.2">
      <c r="A2613" s="5">
        <v>2552</v>
      </c>
      <c r="B2613" s="1832">
        <f>'Acct Summary 7-8'!G20</f>
        <v>541839</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33004953</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33004953</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42701672</v>
      </c>
      <c r="C2634" s="2" t="s">
        <v>568</v>
      </c>
      <c r="D2634" s="2" t="str">
        <f t="shared" si="40"/>
        <v>Error?</v>
      </c>
    </row>
    <row r="2635" spans="1:4" x14ac:dyDescent="0.2">
      <c r="A2635" s="5">
        <v>2574</v>
      </c>
      <c r="B2635" s="1832">
        <f>'Acct Summary 7-8'!E17</f>
        <v>42701672</v>
      </c>
      <c r="C2635" s="2" t="s">
        <v>568</v>
      </c>
      <c r="D2635" s="2" t="str">
        <f t="shared" si="40"/>
        <v>Error?</v>
      </c>
    </row>
    <row r="2636" spans="1:4" x14ac:dyDescent="0.2">
      <c r="A2636" s="5">
        <v>2575</v>
      </c>
      <c r="B2636" s="1832">
        <f>'Acct Summary 7-8'!E20</f>
        <v>-9696719</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1495918</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1495918</v>
      </c>
      <c r="C2658" s="2" t="s">
        <v>568</v>
      </c>
      <c r="D2658" s="2" t="str">
        <f t="shared" si="40"/>
        <v>Error?</v>
      </c>
    </row>
    <row r="2659" spans="1:4" x14ac:dyDescent="0.2">
      <c r="A2659" s="5">
        <v>2598</v>
      </c>
      <c r="B2659" s="1832">
        <f>'Acct Summary 7-8'!H13</f>
        <v>0</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0</v>
      </c>
      <c r="C2661" s="2" t="s">
        <v>568</v>
      </c>
      <c r="D2661" s="2" t="str">
        <f t="shared" si="40"/>
        <v>Error?</v>
      </c>
    </row>
    <row r="2662" spans="1:4" x14ac:dyDescent="0.2">
      <c r="A2662" s="5">
        <v>2601</v>
      </c>
      <c r="B2662" s="1832">
        <f>'Acct Summary 7-8'!H20</f>
        <v>1495918</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3919777</v>
      </c>
      <c r="D2718" s="2" t="str">
        <f t="shared" si="41"/>
        <v>Error?</v>
      </c>
    </row>
    <row r="2719" spans="1:4" x14ac:dyDescent="0.2">
      <c r="A2719" s="5">
        <v>2658</v>
      </c>
      <c r="B2719" s="1832">
        <f>'Expenditures 15-22'!D51</f>
        <v>851355</v>
      </c>
      <c r="D2719" s="2" t="str">
        <f t="shared" si="41"/>
        <v>Error?</v>
      </c>
    </row>
    <row r="2720" spans="1:4" x14ac:dyDescent="0.2">
      <c r="A2720" s="5">
        <v>2659</v>
      </c>
      <c r="B2720" s="1832">
        <f>'Expenditures 15-22'!E51</f>
        <v>272769</v>
      </c>
      <c r="D2720" s="2" t="str">
        <f t="shared" si="41"/>
        <v>Error?</v>
      </c>
    </row>
    <row r="2721" spans="1:4" x14ac:dyDescent="0.2">
      <c r="A2721" s="5">
        <v>2660</v>
      </c>
      <c r="B2721" s="1832">
        <f>'Expenditures 15-22'!F51</f>
        <v>32263</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80822</v>
      </c>
      <c r="D2723" s="2" t="str">
        <f t="shared" si="41"/>
        <v>Error?</v>
      </c>
    </row>
    <row r="2724" spans="1:4" x14ac:dyDescent="0.2">
      <c r="A2724" s="5">
        <v>2663</v>
      </c>
      <c r="B2724" s="1832">
        <f>'Expenditures 15-22'!K51</f>
        <v>5162234</v>
      </c>
      <c r="C2724" s="2" t="s">
        <v>568</v>
      </c>
      <c r="D2724" s="2" t="str">
        <f t="shared" si="41"/>
        <v>Error?</v>
      </c>
    </row>
    <row r="2725" spans="1:4" x14ac:dyDescent="0.2">
      <c r="A2725" s="5">
        <v>2664</v>
      </c>
      <c r="B2725" s="1832">
        <f>'Expenditures 15-22'!D247</f>
        <v>239924</v>
      </c>
      <c r="D2725" s="2" t="str">
        <f t="shared" si="41"/>
        <v>Error?</v>
      </c>
    </row>
    <row r="2726" spans="1:4" x14ac:dyDescent="0.2">
      <c r="A2726" s="5">
        <v>2665</v>
      </c>
      <c r="B2726" s="1832">
        <f>'Expenditures 15-22'!K247</f>
        <v>239924</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1993</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402455</v>
      </c>
      <c r="C2789" s="2" t="s">
        <v>568</v>
      </c>
      <c r="D2789" s="2" t="str">
        <f t="shared" si="42"/>
        <v>Error?</v>
      </c>
    </row>
    <row r="2790" spans="1:4" x14ac:dyDescent="0.2">
      <c r="A2790" s="5">
        <v>2729</v>
      </c>
      <c r="B2790" s="1832">
        <f>'Expenditures 15-22'!E102</f>
        <v>402455</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67148</v>
      </c>
      <c r="D2862" s="2" t="str">
        <f t="shared" si="43"/>
        <v>Error?</v>
      </c>
    </row>
    <row r="2863" spans="1:4" x14ac:dyDescent="0.2">
      <c r="A2863" s="10">
        <v>2802</v>
      </c>
      <c r="B2863" s="1832"/>
      <c r="D2863" s="2" t="str">
        <f t="shared" si="43"/>
        <v>OK</v>
      </c>
    </row>
    <row r="2864" spans="1:4" x14ac:dyDescent="0.2">
      <c r="A2864" s="5">
        <v>2803</v>
      </c>
      <c r="B2864" s="1832">
        <f>'Assets-Liab 5-6'!M20</f>
        <v>28064556</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112720155</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3538922</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112720155</v>
      </c>
      <c r="D2912" s="2" t="str">
        <f t="shared" si="44"/>
        <v>Error?</v>
      </c>
    </row>
    <row r="2913" spans="1:4" x14ac:dyDescent="0.2">
      <c r="A2913" s="5">
        <v>2852</v>
      </c>
      <c r="B2913" s="1832">
        <f>'Assets-Liab 5-6'!I41</f>
        <v>112720155</v>
      </c>
      <c r="C2913" s="2" t="s">
        <v>568</v>
      </c>
      <c r="D2913" s="2" t="str">
        <f t="shared" si="44"/>
        <v>Error?</v>
      </c>
    </row>
    <row r="2914" spans="1:4" x14ac:dyDescent="0.2">
      <c r="A2914" s="5">
        <v>2853</v>
      </c>
      <c r="B2914" s="1832">
        <f>'Assets-Liab 5-6'!L33</f>
        <v>3538922</v>
      </c>
      <c r="D2914" s="2" t="str">
        <f t="shared" si="44"/>
        <v>Error?</v>
      </c>
    </row>
    <row r="2915" spans="1:4" x14ac:dyDescent="0.2">
      <c r="A2915" s="10">
        <v>2854</v>
      </c>
      <c r="B2915" s="1832"/>
      <c r="D2915" s="2" t="str">
        <f t="shared" si="44"/>
        <v>OK</v>
      </c>
    </row>
    <row r="2916" spans="1:4" x14ac:dyDescent="0.2">
      <c r="A2916" s="5">
        <v>2855</v>
      </c>
      <c r="B2916" s="1832">
        <f>'Assets-Liab 5-6'!L34</f>
        <v>3538922</v>
      </c>
      <c r="C2916" s="2" t="s">
        <v>568</v>
      </c>
      <c r="D2916" s="2" t="str">
        <f t="shared" si="44"/>
        <v>Error?</v>
      </c>
    </row>
    <row r="2917" spans="1:4" x14ac:dyDescent="0.2">
      <c r="A2917" s="5">
        <v>2856</v>
      </c>
      <c r="B2917" s="1832">
        <f>'Assets-Liab 5-6'!L41</f>
        <v>3538922</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126154</v>
      </c>
      <c r="D2949" s="2" t="str">
        <f t="shared" si="45"/>
        <v>Error?</v>
      </c>
    </row>
    <row r="2950" spans="1:4" x14ac:dyDescent="0.2">
      <c r="A2950" s="5">
        <v>2889</v>
      </c>
      <c r="B2950" s="1832">
        <f>'Expenditures 15-22'!E79</f>
        <v>180301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96000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81778</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126154</v>
      </c>
      <c r="C2973" s="2" t="s">
        <v>568</v>
      </c>
      <c r="D2973" s="2" t="str">
        <f t="shared" si="45"/>
        <v>Error?</v>
      </c>
    </row>
    <row r="2974" spans="1:4" x14ac:dyDescent="0.2">
      <c r="A2974" s="5">
        <v>2913</v>
      </c>
      <c r="B2974" s="1832">
        <f>'Expenditures 15-22'!K79</f>
        <v>262079</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96000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1993</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3504377</v>
      </c>
      <c r="D3055" s="2" t="str">
        <f t="shared" si="46"/>
        <v>Error?</v>
      </c>
    </row>
    <row r="3056" spans="1:4" x14ac:dyDescent="0.2">
      <c r="A3056" s="5">
        <v>2995</v>
      </c>
      <c r="B3056" s="1832">
        <f>'Expenditures 15-22'!D10</f>
        <v>847117</v>
      </c>
      <c r="D3056" s="2" t="str">
        <f t="shared" si="46"/>
        <v>Error?</v>
      </c>
    </row>
    <row r="3057" spans="1:4" x14ac:dyDescent="0.2">
      <c r="A3057" s="5">
        <v>2996</v>
      </c>
      <c r="B3057" s="1832">
        <f>'Expenditures 15-22'!E10</f>
        <v>452490</v>
      </c>
      <c r="D3057" s="2" t="str">
        <f t="shared" si="46"/>
        <v>Error?</v>
      </c>
    </row>
    <row r="3058" spans="1:4" x14ac:dyDescent="0.2">
      <c r="A3058" s="5">
        <v>2997</v>
      </c>
      <c r="B3058" s="1832">
        <f>'Expenditures 15-22'!F10</f>
        <v>267479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5348133</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217106</v>
      </c>
      <c r="D3064" s="2" t="str">
        <f t="shared" si="46"/>
        <v>Error?</v>
      </c>
    </row>
    <row r="3065" spans="1:4" x14ac:dyDescent="0.2">
      <c r="A3065" s="5">
        <v>3004</v>
      </c>
      <c r="B3065" s="1832">
        <f>'Expenditures 15-22'!K219</f>
        <v>217106</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6325232</v>
      </c>
      <c r="C3225" s="2" t="s">
        <v>568</v>
      </c>
      <c r="D3225" s="2" t="str">
        <f t="shared" si="49"/>
        <v>Error?</v>
      </c>
    </row>
    <row r="3226" spans="1:4" x14ac:dyDescent="0.2">
      <c r="A3226" s="5">
        <v>3165</v>
      </c>
      <c r="B3226" s="1832">
        <f>'Acct Summary 7-8'!I8</f>
        <v>6325232</v>
      </c>
      <c r="C3226" s="2" t="s">
        <v>568</v>
      </c>
      <c r="D3226" s="2" t="str">
        <f t="shared" si="49"/>
        <v>Error?</v>
      </c>
    </row>
    <row r="3227" spans="1:4" x14ac:dyDescent="0.2">
      <c r="A3227" s="5">
        <v>3166</v>
      </c>
      <c r="B3227" s="1832">
        <f>'Acct Summary 7-8'!I20</f>
        <v>6325232</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9605212</v>
      </c>
      <c r="D3230" s="2" t="str">
        <f t="shared" si="49"/>
        <v>Error?</v>
      </c>
    </row>
    <row r="3231" spans="1:4" x14ac:dyDescent="0.2">
      <c r="A3231" s="5">
        <v>3170</v>
      </c>
      <c r="B3231" s="1832">
        <f>'Acct Summary 7-8'!C76</f>
        <v>9605212</v>
      </c>
      <c r="C3231" s="2" t="s">
        <v>568</v>
      </c>
      <c r="D3231" s="2" t="str">
        <f t="shared" si="49"/>
        <v>Error?</v>
      </c>
    </row>
    <row r="3232" spans="1:4" x14ac:dyDescent="0.2">
      <c r="A3232" s="5">
        <v>3171</v>
      </c>
      <c r="B3232" s="1832">
        <f>'Acct Summary 7-8'!C77</f>
        <v>-9605212</v>
      </c>
      <c r="C3232" s="2" t="s">
        <v>568</v>
      </c>
      <c r="D3232" s="2" t="str">
        <f t="shared" si="49"/>
        <v>Error?</v>
      </c>
    </row>
    <row r="3233" spans="1:4" x14ac:dyDescent="0.2">
      <c r="A3233" s="5">
        <v>3172</v>
      </c>
      <c r="B3233" s="1832">
        <f>'Acct Summary 7-8'!C78</f>
        <v>30755625</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6200000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732035</v>
      </c>
      <c r="C3237" s="2" t="s">
        <v>568</v>
      </c>
      <c r="D3237" s="2" t="str">
        <f t="shared" si="49"/>
        <v>Error?</v>
      </c>
    </row>
    <row r="3238" spans="1:4" x14ac:dyDescent="0.2">
      <c r="A3238" s="5">
        <v>3177</v>
      </c>
      <c r="B3238" s="1832">
        <f>'Acct Summary 7-8'!D77</f>
        <v>5467965</v>
      </c>
      <c r="C3238" s="2" t="s">
        <v>568</v>
      </c>
      <c r="D3238" s="2" t="str">
        <f t="shared" si="49"/>
        <v>Error?</v>
      </c>
    </row>
    <row r="3239" spans="1:4" x14ac:dyDescent="0.2">
      <c r="A3239" s="5">
        <v>3178</v>
      </c>
      <c r="B3239" s="1832">
        <f>'Acct Summary 7-8'!D78</f>
        <v>-14718604</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2487923</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541839</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9605212</v>
      </c>
      <c r="D3273" s="2" t="str">
        <f t="shared" si="50"/>
        <v>Error?</v>
      </c>
    </row>
    <row r="3274" spans="1:4" x14ac:dyDescent="0.2">
      <c r="A3274" s="5">
        <v>3213</v>
      </c>
      <c r="B3274" s="1832">
        <f>'Acct Summary 7-8'!E44</f>
        <v>10337247</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10337247</v>
      </c>
      <c r="C3277" s="2" t="s">
        <v>568</v>
      </c>
      <c r="D3277" s="2" t="str">
        <f t="shared" si="50"/>
        <v>Error?</v>
      </c>
    </row>
    <row r="3278" spans="1:4" x14ac:dyDescent="0.2">
      <c r="A3278" s="5">
        <v>3217</v>
      </c>
      <c r="B3278" s="1832">
        <f>'Acct Summary 7-8'!E78</f>
        <v>640528</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1495918</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6200000</v>
      </c>
      <c r="C3318" s="2" t="s">
        <v>568</v>
      </c>
      <c r="D3318" s="2" t="str">
        <f t="shared" si="50"/>
        <v>Error?</v>
      </c>
    </row>
    <row r="3319" spans="1:4" x14ac:dyDescent="0.2">
      <c r="A3319" s="5">
        <v>3258</v>
      </c>
      <c r="B3319" s="1832">
        <f>'Acct Summary 7-8'!I77</f>
        <v>-6200000</v>
      </c>
      <c r="C3319" s="2" t="s">
        <v>568</v>
      </c>
      <c r="D3319" s="2" t="str">
        <f t="shared" si="50"/>
        <v>Error?</v>
      </c>
    </row>
    <row r="3320" spans="1:4" x14ac:dyDescent="0.2">
      <c r="A3320" s="5">
        <v>3259</v>
      </c>
      <c r="B3320" s="1832">
        <f>'Acct Summary 7-8'!I78</f>
        <v>125232</v>
      </c>
      <c r="C3320" s="2" t="s">
        <v>568</v>
      </c>
      <c r="D3320" s="2" t="str">
        <f t="shared" si="50"/>
        <v>Error?</v>
      </c>
    </row>
    <row r="3321" spans="1:4" x14ac:dyDescent="0.2">
      <c r="A3321" s="5">
        <v>3260</v>
      </c>
      <c r="B3321" s="1832">
        <f>'Acct Summary 7-8'!I79</f>
        <v>112594923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112720155</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36938389</v>
      </c>
      <c r="D3366" s="2" t="str">
        <f t="shared" si="51"/>
        <v>Error?</v>
      </c>
    </row>
    <row r="3367" spans="1:4" x14ac:dyDescent="0.2">
      <c r="A3367" s="5">
        <v>3306</v>
      </c>
      <c r="B3367" s="1832">
        <f>'Expenditures 15-22'!C19</f>
        <v>1861999</v>
      </c>
      <c r="D3367" s="2" t="str">
        <f t="shared" si="51"/>
        <v>Error?</v>
      </c>
    </row>
    <row r="3368" spans="1:4" x14ac:dyDescent="0.2">
      <c r="A3368" s="5">
        <v>3307</v>
      </c>
      <c r="B3368" s="1832">
        <f>'Expenditures 15-22'!D8</f>
        <v>11448035</v>
      </c>
      <c r="D3368" s="2" t="str">
        <f t="shared" si="51"/>
        <v>Error?</v>
      </c>
    </row>
    <row r="3369" spans="1:4" x14ac:dyDescent="0.2">
      <c r="A3369" s="5">
        <v>3308</v>
      </c>
      <c r="B3369" s="1832">
        <f>'Expenditures 15-22'!D19</f>
        <v>532595</v>
      </c>
      <c r="D3369" s="2" t="str">
        <f t="shared" si="51"/>
        <v>Error?</v>
      </c>
    </row>
    <row r="3370" spans="1:4" x14ac:dyDescent="0.2">
      <c r="A3370" s="5">
        <v>3309</v>
      </c>
      <c r="B3370" s="1832">
        <f>'Expenditures 15-22'!E8</f>
        <v>339207</v>
      </c>
      <c r="D3370" s="2" t="str">
        <f t="shared" si="51"/>
        <v>Error?</v>
      </c>
    </row>
    <row r="3371" spans="1:4" x14ac:dyDescent="0.2">
      <c r="A3371" s="5">
        <v>3310</v>
      </c>
      <c r="B3371" s="1832">
        <f>'Expenditures 15-22'!E19</f>
        <v>5642</v>
      </c>
      <c r="D3371" s="2" t="str">
        <f t="shared" si="51"/>
        <v>Error?</v>
      </c>
    </row>
    <row r="3372" spans="1:4" x14ac:dyDescent="0.2">
      <c r="A3372" s="5">
        <v>3311</v>
      </c>
      <c r="B3372" s="1832">
        <f>'Expenditures 15-22'!F8</f>
        <v>208730</v>
      </c>
      <c r="D3372" s="2" t="str">
        <f t="shared" si="51"/>
        <v>Error?</v>
      </c>
    </row>
    <row r="3373" spans="1:4" x14ac:dyDescent="0.2">
      <c r="A3373" s="5">
        <v>3312</v>
      </c>
      <c r="B3373" s="1832">
        <f>'Expenditures 15-22'!F19</f>
        <v>39755</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50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49118661</v>
      </c>
      <c r="C3380" s="2" t="s">
        <v>568</v>
      </c>
      <c r="D3380" s="2" t="str">
        <f t="shared" si="51"/>
        <v>Error?</v>
      </c>
    </row>
    <row r="3381" spans="1:4" x14ac:dyDescent="0.2">
      <c r="A3381" s="5">
        <v>3320</v>
      </c>
      <c r="B3381" s="1832">
        <f>'Expenditures 15-22'!K19</f>
        <v>2439991</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1407042</v>
      </c>
      <c r="D3387" s="2" t="str">
        <f t="shared" si="51"/>
        <v>Error?</v>
      </c>
    </row>
    <row r="3388" spans="1:4" x14ac:dyDescent="0.2">
      <c r="A3388" s="5">
        <v>3327</v>
      </c>
      <c r="B3388" s="1832">
        <f>'Expenditures 15-22'!D217</f>
        <v>2536102</v>
      </c>
      <c r="D3388" s="2" t="str">
        <f t="shared" si="51"/>
        <v>Error?</v>
      </c>
    </row>
    <row r="3389" spans="1:4" x14ac:dyDescent="0.2">
      <c r="A3389" s="5">
        <v>3328</v>
      </c>
      <c r="B3389" s="1832">
        <f>'Expenditures 15-22'!D228</f>
        <v>34638</v>
      </c>
      <c r="D3389" s="2" t="str">
        <f t="shared" si="51"/>
        <v>Error?</v>
      </c>
    </row>
    <row r="3390" spans="1:4" x14ac:dyDescent="0.2">
      <c r="A3390" s="5">
        <v>3329</v>
      </c>
      <c r="B3390" s="1832">
        <f>'Expenditures 15-22'!K215</f>
        <v>1407042</v>
      </c>
      <c r="C3390" s="2" t="s">
        <v>568</v>
      </c>
      <c r="D3390" s="2" t="str">
        <f t="shared" si="51"/>
        <v>Error?</v>
      </c>
    </row>
    <row r="3391" spans="1:4" x14ac:dyDescent="0.2">
      <c r="A3391" s="5">
        <v>3330</v>
      </c>
      <c r="B3391" s="1832">
        <f>'Expenditures 15-22'!K217</f>
        <v>2536102</v>
      </c>
      <c r="C3391" s="2" t="s">
        <v>568</v>
      </c>
      <c r="D3391" s="2" t="str">
        <f t="shared" ref="D3391:D3454" si="52">IF(ISBLANK(B3391),"OK",IF(A3391-B3391=0,"OK","Error?"))</f>
        <v>Error?</v>
      </c>
    </row>
    <row r="3392" spans="1:4" x14ac:dyDescent="0.2">
      <c r="A3392" s="5">
        <v>3331</v>
      </c>
      <c r="B3392" s="1832">
        <f>'Expenditures 15-22'!K228</f>
        <v>34638</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221358628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1120428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31899736</v>
      </c>
      <c r="D3417" s="2" t="str">
        <f t="shared" si="52"/>
        <v>Error?</v>
      </c>
    </row>
    <row r="3418" spans="1:4" x14ac:dyDescent="0.2">
      <c r="A3418" s="10">
        <v>3357</v>
      </c>
      <c r="B3418" s="1832"/>
      <c r="D3418" s="2" t="str">
        <f t="shared" si="52"/>
        <v>OK</v>
      </c>
    </row>
    <row r="3419" spans="1:4" x14ac:dyDescent="0.2">
      <c r="A3419" s="5">
        <v>3358</v>
      </c>
      <c r="B3419" s="1832">
        <f>'Assets-Liab 5-6'!F4</f>
        <v>16008200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2197071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5036183</v>
      </c>
      <c r="D3425" s="2" t="str">
        <f t="shared" si="52"/>
        <v>Error?</v>
      </c>
    </row>
    <row r="3426" spans="1:4" x14ac:dyDescent="0.2">
      <c r="A3426" s="10">
        <v>3365</v>
      </c>
      <c r="B3426" s="1832"/>
      <c r="D3426" s="2" t="str">
        <f t="shared" si="52"/>
        <v>OK</v>
      </c>
    </row>
    <row r="3427" spans="1:4" x14ac:dyDescent="0.2">
      <c r="A3427" s="5">
        <v>3366</v>
      </c>
      <c r="B3427" s="1832">
        <f>'Assets-Liab 5-6'!I4</f>
        <v>111365942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3538922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13020880</v>
      </c>
      <c r="C3446" s="2" t="s">
        <v>568</v>
      </c>
      <c r="D3446" s="2" t="str">
        <f t="shared" si="52"/>
        <v>Error?</v>
      </c>
    </row>
    <row r="3447" spans="1:4" x14ac:dyDescent="0.2">
      <c r="A3447" s="5">
        <v>3386</v>
      </c>
      <c r="B3447" s="1832">
        <f>'Tax Sched 23'!D16</f>
        <v>6698504</v>
      </c>
      <c r="C3447" s="2" t="s">
        <v>568</v>
      </c>
      <c r="D3447" s="2" t="str">
        <f t="shared" si="52"/>
        <v>Error?</v>
      </c>
    </row>
    <row r="3448" spans="1:4" x14ac:dyDescent="0.2">
      <c r="A3448" s="5">
        <v>3387</v>
      </c>
      <c r="B3448" s="1832">
        <f>'Tax Sched 23'!C16</f>
        <v>6322376</v>
      </c>
      <c r="D3448" s="2" t="str">
        <f t="shared" si="52"/>
        <v>Error?</v>
      </c>
    </row>
    <row r="3449" spans="1:4" x14ac:dyDescent="0.2">
      <c r="A3449" s="5">
        <v>3388</v>
      </c>
      <c r="B3449" s="1832">
        <f>'Tax Sched 23'!F16</f>
        <v>6900355</v>
      </c>
      <c r="C3449" s="2" t="s">
        <v>568</v>
      </c>
      <c r="D3449" s="2" t="str">
        <f t="shared" si="52"/>
        <v>Error?</v>
      </c>
    </row>
    <row r="3450" spans="1:4" x14ac:dyDescent="0.2">
      <c r="A3450" s="5">
        <v>3389</v>
      </c>
      <c r="B3450" s="1832">
        <f>'Tax Sched 23'!E16</f>
        <v>13222731</v>
      </c>
      <c r="D3450" s="2" t="str">
        <f t="shared" si="52"/>
        <v>Error?</v>
      </c>
    </row>
    <row r="3451" spans="1:4" x14ac:dyDescent="0.2">
      <c r="A3451" s="5">
        <v>3390</v>
      </c>
      <c r="B3451" s="1832">
        <f>'Cap Outlay Deprec 26'!C15</f>
        <v>12959905</v>
      </c>
      <c r="D3451" s="2" t="str">
        <f t="shared" si="52"/>
        <v>Error?</v>
      </c>
    </row>
    <row r="3452" spans="1:4" x14ac:dyDescent="0.2">
      <c r="A3452" s="5">
        <v>3391</v>
      </c>
      <c r="B3452" s="1832">
        <f>'Cap Outlay Deprec 26'!D15</f>
        <v>44965532</v>
      </c>
      <c r="D3452" s="2" t="str">
        <f t="shared" si="52"/>
        <v>Error?</v>
      </c>
    </row>
    <row r="3453" spans="1:4" x14ac:dyDescent="0.2">
      <c r="A3453" s="5">
        <v>3392</v>
      </c>
      <c r="B3453" s="1832">
        <f>'Cap Outlay Deprec 26'!E15</f>
        <v>29860881</v>
      </c>
      <c r="D3453" s="2" t="str">
        <f t="shared" si="52"/>
        <v>Error?</v>
      </c>
    </row>
    <row r="3454" spans="1:4" x14ac:dyDescent="0.2">
      <c r="A3454" s="5">
        <v>3393</v>
      </c>
      <c r="B3454" s="1832">
        <f>'Cap Outlay Deprec 26'!F15</f>
        <v>28064556</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28064556</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1993</v>
      </c>
      <c r="E3521" s="4" t="s">
        <v>134</v>
      </c>
    </row>
    <row r="3522" spans="1:5" x14ac:dyDescent="0.2">
      <c r="A3522" s="10">
        <v>3461</v>
      </c>
      <c r="B3522" s="1832"/>
      <c r="D3522" s="4" t="s">
        <v>1993</v>
      </c>
      <c r="E3522" s="4" t="s">
        <v>134</v>
      </c>
    </row>
    <row r="3523" spans="1:5" x14ac:dyDescent="0.2">
      <c r="A3523" s="10">
        <v>3462</v>
      </c>
      <c r="B3523" s="1832"/>
      <c r="D3523" s="4" t="s">
        <v>1993</v>
      </c>
      <c r="E3523" s="4" t="s">
        <v>134</v>
      </c>
    </row>
    <row r="3524" spans="1:5" x14ac:dyDescent="0.2">
      <c r="A3524" s="10">
        <v>3463</v>
      </c>
      <c r="B3524" s="1832"/>
      <c r="D3524" s="4" t="s">
        <v>1993</v>
      </c>
      <c r="E3524" s="4" t="s">
        <v>134</v>
      </c>
    </row>
    <row r="3525" spans="1:5" x14ac:dyDescent="0.2">
      <c r="A3525" s="10">
        <v>3464</v>
      </c>
      <c r="B3525" s="1832"/>
      <c r="D3525" s="4" t="s">
        <v>1993</v>
      </c>
      <c r="E3525" s="4" t="s">
        <v>134</v>
      </c>
    </row>
    <row r="3526" spans="1:5" x14ac:dyDescent="0.2">
      <c r="A3526" s="10">
        <v>3465</v>
      </c>
      <c r="B3526" s="1832"/>
      <c r="D3526" s="4" t="s">
        <v>1993</v>
      </c>
      <c r="E3526" s="4" t="s">
        <v>134</v>
      </c>
    </row>
    <row r="3527" spans="1:5" x14ac:dyDescent="0.2">
      <c r="A3527" s="10">
        <v>3466</v>
      </c>
      <c r="B3527" s="1832"/>
      <c r="D3527" s="4" t="s">
        <v>1993</v>
      </c>
      <c r="E3527" s="4" t="s">
        <v>134</v>
      </c>
    </row>
    <row r="3528" spans="1:5" x14ac:dyDescent="0.2">
      <c r="A3528" s="10">
        <v>3467</v>
      </c>
      <c r="B3528" s="1832"/>
      <c r="D3528" s="4" t="s">
        <v>1993</v>
      </c>
      <c r="E3528" s="4" t="s">
        <v>134</v>
      </c>
    </row>
    <row r="3529" spans="1:5" x14ac:dyDescent="0.2">
      <c r="A3529" s="10">
        <v>3468</v>
      </c>
      <c r="B3529" s="1832"/>
      <c r="D3529" s="4" t="s">
        <v>1993</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3982451</v>
      </c>
      <c r="D3546" s="2" t="str">
        <f t="shared" si="54"/>
        <v>Error?</v>
      </c>
    </row>
    <row r="3547" spans="1:4" x14ac:dyDescent="0.2">
      <c r="A3547" s="10">
        <v>3486</v>
      </c>
      <c r="B3547" s="1832"/>
      <c r="D3547" s="2" t="str">
        <f t="shared" si="54"/>
        <v>OK</v>
      </c>
    </row>
    <row r="3548" spans="1:4" x14ac:dyDescent="0.2">
      <c r="A3548" s="5">
        <v>3487</v>
      </c>
      <c r="B3548" s="1832">
        <f>'Assets-Liab 5-6'!K6</f>
        <v>2433711</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6416162</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2331786</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3036645</v>
      </c>
      <c r="C3565" s="2" t="s">
        <v>568</v>
      </c>
      <c r="D3565" s="2" t="str">
        <f t="shared" si="54"/>
        <v>Error?</v>
      </c>
    </row>
    <row r="3566" spans="1:4" x14ac:dyDescent="0.2">
      <c r="A3566" s="5">
        <v>3505</v>
      </c>
      <c r="B3566" s="1832">
        <f>'Assets-Liab 5-6'!K38</f>
        <v>3379517</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6416162</v>
      </c>
      <c r="C3568" s="2" t="s">
        <v>568</v>
      </c>
      <c r="D3568" s="2" t="str">
        <f t="shared" si="54"/>
        <v>Error?</v>
      </c>
    </row>
    <row r="3569" spans="1:4" x14ac:dyDescent="0.2">
      <c r="A3569" s="5">
        <v>3508</v>
      </c>
      <c r="B3569" s="1832">
        <f>'Acct Summary 7-8'!K4</f>
        <v>4351312</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4351312</v>
      </c>
      <c r="C3571" s="2" t="s">
        <v>568</v>
      </c>
      <c r="D3571" s="2" t="str">
        <f t="shared" si="54"/>
        <v>Error?</v>
      </c>
    </row>
    <row r="3572" spans="1:4" x14ac:dyDescent="0.2">
      <c r="A3572" s="5">
        <v>3511</v>
      </c>
      <c r="B3572" s="1832">
        <f>'Acct Summary 7-8'!K13</f>
        <v>1496746</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1496746</v>
      </c>
      <c r="C3575" s="2" t="s">
        <v>568</v>
      </c>
      <c r="D3575" s="2" t="str">
        <f t="shared" si="54"/>
        <v>Error?</v>
      </c>
    </row>
    <row r="3576" spans="1:4" x14ac:dyDescent="0.2">
      <c r="A3576" s="5">
        <v>3515</v>
      </c>
      <c r="B3576" s="1832">
        <f>'Acct Summary 7-8'!K20</f>
        <v>2854566</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2854566</v>
      </c>
      <c r="C3588" s="2" t="s">
        <v>568</v>
      </c>
      <c r="D3588" s="2" t="str">
        <f t="shared" si="55"/>
        <v>Error?</v>
      </c>
    </row>
    <row r="3589" spans="1:4" x14ac:dyDescent="0.2">
      <c r="A3589" s="5">
        <v>3528</v>
      </c>
      <c r="B3589" s="1832">
        <f>'Acct Summary 7-8'!K79</f>
        <v>524951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3379517</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1496746</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1496746</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1496746</v>
      </c>
      <c r="C3649" s="2" t="s">
        <v>568</v>
      </c>
      <c r="D3649" s="2" t="str">
        <f t="shared" si="56"/>
        <v>Error?</v>
      </c>
    </row>
    <row r="3650" spans="1:4" x14ac:dyDescent="0.2">
      <c r="A3650" s="5">
        <v>3589</v>
      </c>
      <c r="B3650" s="1832">
        <f>'Expenditures 15-22'!G367</f>
        <v>1496746</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1496746</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1496746</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1496746</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1496746</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2854566</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0</v>
      </c>
      <c r="C3725" s="2" t="s">
        <v>568</v>
      </c>
      <c r="D3725" s="2" t="str">
        <f t="shared" si="57"/>
        <v>Error?</v>
      </c>
    </row>
    <row r="3726" spans="1:4" x14ac:dyDescent="0.2">
      <c r="A3726" s="5">
        <v>3665</v>
      </c>
      <c r="B3726" s="1832">
        <f>'Tax Sched 23'!D13</f>
        <v>0</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568</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5759507</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104503036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561146373</v>
      </c>
      <c r="C4122" s="2" t="s">
        <v>568</v>
      </c>
      <c r="D4122" s="2" t="str">
        <f t="shared" si="63"/>
        <v>Error?</v>
      </c>
    </row>
    <row r="4123" spans="1:4" x14ac:dyDescent="0.2">
      <c r="A4123" s="5">
        <v>4062</v>
      </c>
      <c r="B4123" s="1832">
        <f>'Acct Summary 7-8'!D10</f>
        <v>54642188</v>
      </c>
      <c r="C4123" s="2" t="s">
        <v>568</v>
      </c>
      <c r="D4123" s="2" t="str">
        <f t="shared" si="63"/>
        <v>Error?</v>
      </c>
    </row>
    <row r="4124" spans="1:4" x14ac:dyDescent="0.2">
      <c r="A4124" s="5">
        <v>4063</v>
      </c>
      <c r="B4124" s="1832">
        <f>'Acct Summary 7-8'!E10</f>
        <v>33004953</v>
      </c>
      <c r="C4124" s="2" t="s">
        <v>568</v>
      </c>
      <c r="D4124" s="2" t="str">
        <f t="shared" si="63"/>
        <v>Error?</v>
      </c>
    </row>
    <row r="4125" spans="1:4" x14ac:dyDescent="0.2">
      <c r="A4125" s="5">
        <v>4064</v>
      </c>
      <c r="B4125" s="1832">
        <f>'Acct Summary 7-8'!F10</f>
        <v>32006739</v>
      </c>
      <c r="C4125" s="2" t="s">
        <v>568</v>
      </c>
      <c r="D4125" s="2" t="str">
        <f t="shared" si="63"/>
        <v>Error?</v>
      </c>
    </row>
    <row r="4126" spans="1:4" x14ac:dyDescent="0.2">
      <c r="A4126" s="5">
        <v>4065</v>
      </c>
      <c r="B4126" s="1832">
        <f>'Acct Summary 7-8'!G10</f>
        <v>17067484</v>
      </c>
      <c r="C4126" s="2" t="s">
        <v>568</v>
      </c>
      <c r="D4126" s="2" t="str">
        <f t="shared" si="63"/>
        <v>Error?</v>
      </c>
    </row>
    <row r="4127" spans="1:4" x14ac:dyDescent="0.2">
      <c r="A4127" s="5">
        <v>4066</v>
      </c>
      <c r="B4127" s="1832">
        <f>'Acct Summary 7-8'!H10</f>
        <v>1495918</v>
      </c>
      <c r="C4127" s="2" t="s">
        <v>568</v>
      </c>
      <c r="D4127" s="2" t="str">
        <f t="shared" si="63"/>
        <v>Error?</v>
      </c>
    </row>
    <row r="4128" spans="1:4" x14ac:dyDescent="0.2">
      <c r="A4128" s="5">
        <v>4067</v>
      </c>
      <c r="B4128" s="1832">
        <f>'Acct Summary 7-8'!I10</f>
        <v>6325232</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4351312</v>
      </c>
      <c r="C4130" s="2" t="s">
        <v>568</v>
      </c>
      <c r="D4130" s="2" t="str">
        <f t="shared" si="63"/>
        <v>Error?</v>
      </c>
    </row>
    <row r="4131" spans="1:4" x14ac:dyDescent="0.2">
      <c r="A4131" s="5">
        <v>4070</v>
      </c>
      <c r="B4131" s="1832">
        <f>'Acct Summary 7-8'!C18</f>
        <v>104503036</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520785536</v>
      </c>
      <c r="C4136" s="2" t="s">
        <v>568</v>
      </c>
      <c r="D4136" s="2" t="str">
        <f t="shared" si="63"/>
        <v>Error?</v>
      </c>
    </row>
    <row r="4137" spans="1:4" x14ac:dyDescent="0.2">
      <c r="A4137" s="5">
        <v>4076</v>
      </c>
      <c r="B4137" s="1832">
        <f>'Acct Summary 7-8'!D19</f>
        <v>74828757</v>
      </c>
      <c r="C4137" s="2" t="s">
        <v>568</v>
      </c>
      <c r="D4137" s="2" t="str">
        <f t="shared" si="63"/>
        <v>Error?</v>
      </c>
    </row>
    <row r="4138" spans="1:4" x14ac:dyDescent="0.2">
      <c r="A4138" s="5">
        <v>4077</v>
      </c>
      <c r="B4138" s="1832">
        <f>'Acct Summary 7-8'!E19</f>
        <v>42701672</v>
      </c>
      <c r="C4138" s="2" t="s">
        <v>568</v>
      </c>
      <c r="D4138" s="2" t="str">
        <f t="shared" si="63"/>
        <v>Error?</v>
      </c>
    </row>
    <row r="4139" spans="1:4" x14ac:dyDescent="0.2">
      <c r="A4139" s="5">
        <v>4078</v>
      </c>
      <c r="B4139" s="1832">
        <f>'Acct Summary 7-8'!F19</f>
        <v>29518816</v>
      </c>
      <c r="C4139" s="2" t="s">
        <v>568</v>
      </c>
      <c r="D4139" s="2" t="str">
        <f t="shared" si="63"/>
        <v>Error?</v>
      </c>
    </row>
    <row r="4140" spans="1:4" x14ac:dyDescent="0.2">
      <c r="A4140" s="5">
        <v>4079</v>
      </c>
      <c r="B4140" s="1832">
        <f>'Acct Summary 7-8'!G19</f>
        <v>16525645</v>
      </c>
      <c r="C4140" s="2" t="s">
        <v>568</v>
      </c>
      <c r="D4140" s="2" t="str">
        <f t="shared" si="63"/>
        <v>Error?</v>
      </c>
    </row>
    <row r="4141" spans="1:4" x14ac:dyDescent="0.2">
      <c r="A4141" s="5">
        <v>4080</v>
      </c>
      <c r="B4141" s="1832">
        <f>'Acct Summary 7-8'!H19</f>
        <v>0</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1496746</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219882101</v>
      </c>
      <c r="C4171" s="2" t="s">
        <v>568</v>
      </c>
      <c r="D4171" s="2" t="str">
        <f t="shared" si="64"/>
        <v>Error?</v>
      </c>
    </row>
    <row r="4172" spans="1:4" x14ac:dyDescent="0.2">
      <c r="A4172" s="5">
        <v>4111</v>
      </c>
      <c r="B4172" s="1832">
        <f>'Short-Term Long-Term Debt 24'!J49</f>
        <v>170655113</v>
      </c>
      <c r="C4172" s="2" t="s">
        <v>568</v>
      </c>
      <c r="D4172" s="2" t="str">
        <f t="shared" si="64"/>
        <v>Error?</v>
      </c>
    </row>
    <row r="4173" spans="1:4" x14ac:dyDescent="0.2">
      <c r="A4173" s="5">
        <v>4112</v>
      </c>
      <c r="B4173" s="1832">
        <f>'Short-Term Long-Term Debt 24'!H49</f>
        <v>21099485</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1353528</v>
      </c>
      <c r="D4210" s="2" t="str">
        <f t="shared" si="64"/>
        <v>Error?</v>
      </c>
    </row>
    <row r="4211" spans="1:4" x14ac:dyDescent="0.2">
      <c r="A4211" s="5">
        <v>4150</v>
      </c>
      <c r="B4211" s="1832">
        <f>'Expenditures 15-22'!K206</f>
        <v>1353528</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1895</v>
      </c>
    </row>
    <row r="4236" spans="1:5" x14ac:dyDescent="0.2">
      <c r="A4236" s="10">
        <v>4175</v>
      </c>
      <c r="B4236" s="1832"/>
      <c r="D4236" s="2" t="str">
        <f t="shared" si="65"/>
        <v>OK</v>
      </c>
      <c r="E4236" s="4" t="s">
        <v>1895</v>
      </c>
    </row>
    <row r="4237" spans="1:5" x14ac:dyDescent="0.2">
      <c r="A4237" s="10">
        <v>4176</v>
      </c>
      <c r="B4237" s="1832"/>
      <c r="D4237" s="2" t="str">
        <f t="shared" si="65"/>
        <v>OK</v>
      </c>
      <c r="E4237" s="4" t="s">
        <v>1895</v>
      </c>
    </row>
    <row r="4238" spans="1:5" x14ac:dyDescent="0.2">
      <c r="A4238" s="10">
        <v>4177</v>
      </c>
      <c r="B4238" s="1832"/>
      <c r="D4238" s="2" t="str">
        <f t="shared" si="65"/>
        <v>OK</v>
      </c>
      <c r="E4238" s="4" t="s">
        <v>1895</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3581.8999999999996</v>
      </c>
      <c r="C4265" s="2" t="s">
        <v>568</v>
      </c>
      <c r="D4265" s="2" t="str">
        <f t="shared" si="65"/>
        <v>Error?</v>
      </c>
      <c r="E4265" s="125"/>
    </row>
    <row r="4266" spans="1:5" x14ac:dyDescent="0.2">
      <c r="A4266" s="12">
        <v>4205</v>
      </c>
      <c r="B4266" s="1832">
        <f>('FP Info 3'!F10)*100000</f>
        <v>722.7</v>
      </c>
      <c r="C4266" s="2" t="s">
        <v>568</v>
      </c>
      <c r="D4266" s="2" t="str">
        <f t="shared" si="65"/>
        <v>Error?</v>
      </c>
      <c r="E4266" s="125"/>
    </row>
    <row r="4267" spans="1:5" x14ac:dyDescent="0.2">
      <c r="A4267" s="12">
        <v>4206</v>
      </c>
      <c r="B4267" s="1832">
        <f>('FP Info 3'!H10)*100000</f>
        <v>245.1</v>
      </c>
      <c r="C4267" s="2" t="s">
        <v>568</v>
      </c>
      <c r="D4267" s="2" t="str">
        <f t="shared" si="65"/>
        <v>Error?</v>
      </c>
      <c r="E4267" s="125"/>
    </row>
    <row r="4268" spans="1:5" x14ac:dyDescent="0.2">
      <c r="A4268" s="12">
        <v>4207</v>
      </c>
      <c r="B4268" s="1832">
        <f>('FP Info 3'!J10)*100000</f>
        <v>4550</v>
      </c>
      <c r="C4268" s="2" t="s">
        <v>568</v>
      </c>
      <c r="D4268" s="2" t="str">
        <f t="shared" si="65"/>
        <v>Error?</v>
      </c>
    </row>
    <row r="4269" spans="1:5" x14ac:dyDescent="0.2">
      <c r="A4269" s="12">
        <v>4208</v>
      </c>
      <c r="B4269" s="1832">
        <f>'FP Info 3'!J16</f>
        <v>315350174</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351413</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474484</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1201571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804054</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1895</v>
      </c>
    </row>
    <row r="4400" spans="1:5" x14ac:dyDescent="0.2">
      <c r="A4400" s="10">
        <v>4339</v>
      </c>
      <c r="B4400" s="1832"/>
      <c r="D4400" s="2" t="str">
        <f t="shared" si="67"/>
        <v>OK</v>
      </c>
      <c r="E4400" s="4" t="s">
        <v>1895</v>
      </c>
    </row>
    <row r="4401" spans="1:5" x14ac:dyDescent="0.2">
      <c r="A4401" s="10">
        <v>4340</v>
      </c>
      <c r="B4401" s="1832"/>
      <c r="D4401" s="2" t="str">
        <f t="shared" si="67"/>
        <v>OK</v>
      </c>
      <c r="E4401" s="4" t="s">
        <v>1895</v>
      </c>
    </row>
    <row r="4402" spans="1:5" x14ac:dyDescent="0.2">
      <c r="A4402" s="10">
        <v>4341</v>
      </c>
      <c r="B4402" s="1832"/>
      <c r="D4402" s="2" t="str">
        <f t="shared" si="67"/>
        <v>OK</v>
      </c>
      <c r="E4402" s="4" t="s">
        <v>1895</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344382</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344382</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1196047</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2207312</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227442</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1911747</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6624607</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5268100965</v>
      </c>
      <c r="D4995" s="2" t="str">
        <f t="shared" si="77"/>
        <v>Error?</v>
      </c>
    </row>
    <row r="4996" spans="1:4" x14ac:dyDescent="0.2">
      <c r="A4996" s="12">
        <v>4935</v>
      </c>
      <c r="B4996" s="1832">
        <f>'FP Info 3'!H31</f>
        <v>726997933.17000008</v>
      </c>
      <c r="D4996" s="2" t="str">
        <f t="shared" si="77"/>
        <v>Error?</v>
      </c>
    </row>
    <row r="4997" spans="1:4" x14ac:dyDescent="0.2">
      <c r="A4997" s="12">
        <v>4936</v>
      </c>
      <c r="B4997" s="1832">
        <f>'FP Info 3'!H37</f>
        <v>219882101</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170878537</v>
      </c>
      <c r="D5061" s="2" t="str">
        <f t="shared" si="78"/>
        <v>Error?</v>
      </c>
    </row>
    <row r="5062" spans="1:4" x14ac:dyDescent="0.2">
      <c r="A5062" s="10">
        <v>5001</v>
      </c>
      <c r="B5062" s="1832"/>
      <c r="D5062" s="2" t="str">
        <f t="shared" si="78"/>
        <v>OK</v>
      </c>
    </row>
    <row r="5063" spans="1:4" x14ac:dyDescent="0.2">
      <c r="A5063" s="5">
        <v>5002</v>
      </c>
      <c r="B5063" s="1832">
        <f>'Revenues 9-14'!C7</f>
        <v>34005944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204884481</v>
      </c>
      <c r="C5066" s="2" t="s">
        <v>568</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18875</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172200</v>
      </c>
      <c r="D5070" s="2" t="str">
        <f t="shared" si="78"/>
        <v>Error?</v>
      </c>
    </row>
    <row r="5071" spans="1:4" x14ac:dyDescent="0.2">
      <c r="A5071" s="5">
        <v>5010</v>
      </c>
      <c r="B5071" s="1832">
        <f>'Revenues 9-14'!C18</f>
        <v>191075</v>
      </c>
      <c r="C5071" s="2" t="s">
        <v>568</v>
      </c>
      <c r="D5071" s="2" t="str">
        <f t="shared" si="78"/>
        <v>Error?</v>
      </c>
    </row>
    <row r="5072" spans="1:4" x14ac:dyDescent="0.2">
      <c r="A5072" s="5">
        <v>5011</v>
      </c>
      <c r="B5072" s="1832">
        <f>'Revenues 9-14'!C20</f>
        <v>1920476</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259108</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25279</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-325</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2204538</v>
      </c>
      <c r="C5087" s="2" t="s">
        <v>568</v>
      </c>
      <c r="D5087" s="2" t="str">
        <f t="shared" si="78"/>
        <v>Error?</v>
      </c>
    </row>
    <row r="5088" spans="1:4" x14ac:dyDescent="0.2">
      <c r="A5088" s="5">
        <v>5027</v>
      </c>
      <c r="B5088" s="1832">
        <f>'Revenues 9-14'!C65</f>
        <v>46398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46398</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2520934</v>
      </c>
      <c r="C5096" s="2" t="s">
        <v>568</v>
      </c>
      <c r="D5096" s="2" t="str">
        <f t="shared" si="78"/>
        <v>Error?</v>
      </c>
    </row>
    <row r="5097" spans="1:4" x14ac:dyDescent="0.2">
      <c r="A5097" s="5">
        <v>5036</v>
      </c>
      <c r="B5097" s="1832">
        <f>'Revenues 9-14'!C77</f>
        <v>116308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111291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652735</v>
      </c>
      <c r="D5101" s="2" t="str">
        <f t="shared" si="78"/>
        <v>Error?</v>
      </c>
    </row>
    <row r="5102" spans="1:4" x14ac:dyDescent="0.2">
      <c r="A5102" s="5">
        <v>5041</v>
      </c>
      <c r="B5102" s="1832">
        <f>'Revenues 9-14'!C82</f>
        <v>880334</v>
      </c>
      <c r="C5102" s="2" t="s">
        <v>568</v>
      </c>
      <c r="D5102" s="2" t="str">
        <f t="shared" si="78"/>
        <v>Error?</v>
      </c>
    </row>
    <row r="5103" spans="1:4" x14ac:dyDescent="0.2">
      <c r="A5103" s="5">
        <v>5042</v>
      </c>
      <c r="B5103" s="1832">
        <f>'Revenues 9-14'!C84</f>
        <v>2533203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1331</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271</v>
      </c>
      <c r="D5111" s="2" t="str">
        <f t="shared" si="78"/>
        <v>Error?</v>
      </c>
    </row>
    <row r="5112" spans="1:4" x14ac:dyDescent="0.2">
      <c r="A5112" s="5">
        <v>5051</v>
      </c>
      <c r="B5112" s="1832">
        <f>'Revenues 9-14'!C93</f>
        <v>2534805</v>
      </c>
      <c r="C5112" s="2" t="s">
        <v>568</v>
      </c>
      <c r="D5112" s="2" t="str">
        <f t="shared" si="78"/>
        <v>Error?</v>
      </c>
    </row>
    <row r="5113" spans="1:4" x14ac:dyDescent="0.2">
      <c r="A5113" s="5">
        <v>5052</v>
      </c>
      <c r="B5113" s="1832">
        <f>'Revenues 9-14'!C95</f>
        <v>1472</v>
      </c>
      <c r="D5113" s="2" t="str">
        <f t="shared" si="78"/>
        <v>Error?</v>
      </c>
    </row>
    <row r="5114" spans="1:4" x14ac:dyDescent="0.2">
      <c r="A5114" s="5">
        <v>5053</v>
      </c>
      <c r="B5114" s="1832">
        <f>'Revenues 9-14'!C96</f>
        <v>39357</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74870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363580</v>
      </c>
      <c r="D5118" s="2" t="str">
        <f t="shared" si="78"/>
        <v>Error?</v>
      </c>
    </row>
    <row r="5119" spans="1:4" x14ac:dyDescent="0.2">
      <c r="A5119" s="5">
        <v>5058</v>
      </c>
      <c r="B5119" s="1832">
        <f>'Revenues 9-14'!C107</f>
        <v>230616</v>
      </c>
      <c r="D5119" s="2" t="str">
        <f t="shared" ref="D5119:D5182" si="79">IF(ISBLANK(B5119),"OK",IF(A5119-B5119=0,"OK","Error?"))</f>
        <v>Error?</v>
      </c>
    </row>
    <row r="5120" spans="1:4" x14ac:dyDescent="0.2">
      <c r="A5120" s="5">
        <v>5059</v>
      </c>
      <c r="B5120" s="1832">
        <f>'Revenues 9-14'!C108</f>
        <v>789855</v>
      </c>
      <c r="C5120" s="2" t="s">
        <v>568</v>
      </c>
      <c r="D5120" s="2" t="str">
        <f t="shared" si="79"/>
        <v>Error?</v>
      </c>
    </row>
    <row r="5121" spans="1:4" x14ac:dyDescent="0.2">
      <c r="A5121" s="5">
        <v>5060</v>
      </c>
      <c r="B5121" s="1832">
        <f>'Revenues 9-14'!C109</f>
        <v>214052420</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180382359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180382359</v>
      </c>
      <c r="C5132" s="2" t="s">
        <v>568</v>
      </c>
      <c r="D5132" s="2" t="str">
        <f t="shared" si="79"/>
        <v>Error?</v>
      </c>
    </row>
    <row r="5133" spans="1:4" x14ac:dyDescent="0.2">
      <c r="A5133" s="5">
        <v>5072</v>
      </c>
      <c r="B5133" s="1832">
        <f>'Revenues 9-14'!C125</f>
        <v>3957583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648311</v>
      </c>
      <c r="D5137" s="2" t="str">
        <f t="shared" si="79"/>
        <v>Error?</v>
      </c>
    </row>
    <row r="5138" spans="1:4" x14ac:dyDescent="0.2">
      <c r="A5138" s="10">
        <v>5077</v>
      </c>
      <c r="B5138" s="1832"/>
      <c r="D5138" s="2" t="str">
        <f t="shared" si="79"/>
        <v>OK</v>
      </c>
    </row>
    <row r="5139" spans="1:4" x14ac:dyDescent="0.2">
      <c r="A5139" s="5">
        <v>5078</v>
      </c>
      <c r="B5139" s="1832">
        <f>'Revenues 9-14'!C129</f>
        <v>55473</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4661367</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288995</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288995</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166840</v>
      </c>
      <c r="D5167" s="2" t="str">
        <f t="shared" si="79"/>
        <v>Error?</v>
      </c>
    </row>
    <row r="5168" spans="1:4" x14ac:dyDescent="0.2">
      <c r="A5168" s="5">
        <v>5107</v>
      </c>
      <c r="B5168" s="1832">
        <f>'Revenues 9-14'!C148</f>
        <v>173401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7011784</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1895</v>
      </c>
    </row>
    <row r="5200" spans="1:5" x14ac:dyDescent="0.2">
      <c r="A5200" s="10">
        <v>5139</v>
      </c>
      <c r="B5200" s="1832"/>
      <c r="D5200" s="2" t="str">
        <f t="shared" si="80"/>
        <v>OK</v>
      </c>
      <c r="E5200" s="4" t="s">
        <v>1895</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14214134</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194596493</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7896257</v>
      </c>
      <c r="D5239" s="2" t="str">
        <f t="shared" si="80"/>
        <v>Error?</v>
      </c>
    </row>
    <row r="5240" spans="1:4" x14ac:dyDescent="0.2">
      <c r="A5240" s="5">
        <v>5179</v>
      </c>
      <c r="B5240" s="1832">
        <f>'Revenues 9-14'!C192</f>
        <v>2324</v>
      </c>
      <c r="D5240" s="2" t="str">
        <f t="shared" si="80"/>
        <v>Error?</v>
      </c>
    </row>
    <row r="5241" spans="1:4" x14ac:dyDescent="0.2">
      <c r="A5241" s="5">
        <v>5180</v>
      </c>
      <c r="B5241" s="1832">
        <f>'Revenues 9-14'!C193</f>
        <v>2858286</v>
      </c>
      <c r="D5241" s="2" t="str">
        <f t="shared" si="80"/>
        <v>Error?</v>
      </c>
    </row>
    <row r="5242" spans="1:4" x14ac:dyDescent="0.2">
      <c r="A5242" s="5">
        <v>5181</v>
      </c>
      <c r="B5242" s="1832">
        <f>'Revenues 9-14'!C194</f>
        <v>3266692</v>
      </c>
      <c r="D5242" s="2" t="str">
        <f t="shared" si="80"/>
        <v>Error?</v>
      </c>
    </row>
    <row r="5243" spans="1:4" x14ac:dyDescent="0.2">
      <c r="A5243" s="5">
        <v>5182</v>
      </c>
      <c r="B5243" s="1832">
        <f>'Revenues 9-14'!C195</f>
        <v>2137285</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16160844</v>
      </c>
      <c r="C5246" s="2" t="s">
        <v>568</v>
      </c>
      <c r="D5246" s="2" t="str">
        <f t="shared" si="80"/>
        <v>Error?</v>
      </c>
    </row>
    <row r="5247" spans="1:4" x14ac:dyDescent="0.2">
      <c r="A5247" s="5">
        <v>5186</v>
      </c>
      <c r="B5247" s="1832">
        <f>'Revenues 9-14'!C200</f>
        <v>9932224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1895</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10283637</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163391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8004248</v>
      </c>
      <c r="D5278" s="2" t="str">
        <f t="shared" si="81"/>
        <v>Error?</v>
      </c>
    </row>
    <row r="5279" spans="1:4" x14ac:dyDescent="0.2">
      <c r="A5279" s="5">
        <v>5218</v>
      </c>
      <c r="B5279" s="1832">
        <f>'Revenues 9-14'!C214</f>
        <v>402125</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8569764</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474484</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1895</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47994424</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47994424</v>
      </c>
      <c r="C5326" s="2" t="s">
        <v>568</v>
      </c>
      <c r="D5326" s="2" t="str">
        <f t="shared" si="82"/>
        <v>Error?</v>
      </c>
    </row>
    <row r="5327" spans="1:5" x14ac:dyDescent="0.2">
      <c r="A5327" s="5">
        <v>5266</v>
      </c>
      <c r="B5327" s="1832">
        <f>'Revenues 9-14'!C268</f>
        <v>456643337</v>
      </c>
      <c r="C5327" s="2" t="s">
        <v>568</v>
      </c>
      <c r="D5327" s="2" t="str">
        <f t="shared" si="82"/>
        <v>Error?</v>
      </c>
    </row>
    <row r="5328" spans="1:5" x14ac:dyDescent="0.2">
      <c r="A5328" s="5">
        <v>5267</v>
      </c>
      <c r="B5328" s="1832">
        <f>'Revenues 9-14'!D5</f>
        <v>35008672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35008672</v>
      </c>
      <c r="C5334" s="2" t="s">
        <v>568</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568</v>
      </c>
      <c r="D5339" s="2" t="str">
        <f t="shared" si="82"/>
        <v>Error?</v>
      </c>
    </row>
    <row r="5340" spans="1:4" x14ac:dyDescent="0.2">
      <c r="A5340" s="5">
        <v>5279</v>
      </c>
      <c r="B5340" s="1832">
        <f>'Revenues 9-14'!D65</f>
        <v>8061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8061</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636172</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450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1421870</v>
      </c>
      <c r="D5354" s="2" t="str">
        <f t="shared" si="82"/>
        <v>Error?</v>
      </c>
    </row>
    <row r="5355" spans="1:4" x14ac:dyDescent="0.2">
      <c r="A5355" s="5">
        <v>5294</v>
      </c>
      <c r="B5355" s="1832">
        <f>'Revenues 9-14'!D108</f>
        <v>2058807</v>
      </c>
      <c r="C5355" s="2" t="s">
        <v>568</v>
      </c>
      <c r="D5355" s="2" t="str">
        <f t="shared" si="82"/>
        <v>Error?</v>
      </c>
    </row>
    <row r="5356" spans="1:4" x14ac:dyDescent="0.2">
      <c r="A5356" s="5">
        <v>5295</v>
      </c>
      <c r="B5356" s="1832">
        <f>'Revenues 9-14'!D109</f>
        <v>37075540</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17516648</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17516648</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17566648</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1895</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54642188</v>
      </c>
      <c r="C5508" s="2" t="s">
        <v>568</v>
      </c>
      <c r="D5508" s="2" t="str">
        <f t="shared" si="85"/>
        <v>Error?</v>
      </c>
    </row>
    <row r="5509" spans="1:4" x14ac:dyDescent="0.2">
      <c r="A5509" s="5">
        <v>5448</v>
      </c>
      <c r="B5509" s="1832">
        <f>'Revenues 9-14'!E5</f>
        <v>32997333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32997333</v>
      </c>
      <c r="C5513" s="2" t="s">
        <v>568</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568</v>
      </c>
      <c r="D5518" s="2" t="str">
        <f t="shared" si="85"/>
        <v>Error?</v>
      </c>
    </row>
    <row r="5519" spans="1:4" x14ac:dyDescent="0.2">
      <c r="A5519" s="5">
        <v>5458</v>
      </c>
      <c r="B5519" s="1832">
        <f>'Revenues 9-14'!E65</f>
        <v>7620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7620</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33004953</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33004953</v>
      </c>
      <c r="C5552" s="2" t="s">
        <v>568</v>
      </c>
      <c r="D5552" s="2" t="str">
        <f t="shared" si="85"/>
        <v>Error?</v>
      </c>
    </row>
    <row r="5553" spans="1:4" x14ac:dyDescent="0.2">
      <c r="A5553" s="5">
        <v>5492</v>
      </c>
      <c r="B5553" s="1832">
        <f>'Revenues 9-14'!F5</f>
        <v>14677912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14677912</v>
      </c>
      <c r="C5557" s="2" t="s">
        <v>568</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1166393</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1166393</v>
      </c>
      <c r="C5579" s="2" t="s">
        <v>568</v>
      </c>
      <c r="D5579" s="2" t="str">
        <f t="shared" si="86"/>
        <v>Error?</v>
      </c>
    </row>
    <row r="5580" spans="1:4" x14ac:dyDescent="0.2">
      <c r="A5580" s="5">
        <v>5519</v>
      </c>
      <c r="B5580" s="1832">
        <f>'Revenues 9-14'!F65</f>
        <v>4040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4040</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1528</v>
      </c>
      <c r="D5586" s="2" t="str">
        <f t="shared" si="86"/>
        <v>Error?</v>
      </c>
    </row>
    <row r="5587" spans="1:4" x14ac:dyDescent="0.2">
      <c r="A5587" s="5">
        <v>5526</v>
      </c>
      <c r="B5587" s="1832">
        <f>'Revenues 9-14'!F108</f>
        <v>1528</v>
      </c>
      <c r="C5587" s="2" t="s">
        <v>568</v>
      </c>
      <c r="D5587" s="2" t="str">
        <f t="shared" si="86"/>
        <v>Error?</v>
      </c>
    </row>
    <row r="5588" spans="1:4" x14ac:dyDescent="0.2">
      <c r="A5588" s="5">
        <v>5527</v>
      </c>
      <c r="B5588" s="1832">
        <f>'Revenues 9-14'!F109</f>
        <v>15849873</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7479945</v>
      </c>
      <c r="D5615" s="2" t="str">
        <f t="shared" si="86"/>
        <v>Error?</v>
      </c>
    </row>
    <row r="5616" spans="1:4" x14ac:dyDescent="0.2">
      <c r="A5616" s="10">
        <v>5555</v>
      </c>
      <c r="B5616" s="1832"/>
      <c r="D5616" s="2" t="str">
        <f t="shared" si="86"/>
        <v>OK</v>
      </c>
    </row>
    <row r="5617" spans="1:5" x14ac:dyDescent="0.2">
      <c r="A5617" s="5">
        <v>5556</v>
      </c>
      <c r="B5617" s="1832">
        <f>'Revenues 9-14'!F153</f>
        <v>8449479</v>
      </c>
      <c r="D5617" s="2" t="str">
        <f t="shared" si="86"/>
        <v>Error?</v>
      </c>
    </row>
    <row r="5618" spans="1:5" x14ac:dyDescent="0.2">
      <c r="A5618" s="5">
        <v>5557</v>
      </c>
      <c r="B5618" s="1832">
        <f>'Revenues 9-14'!F155</f>
        <v>15929424</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1895</v>
      </c>
    </row>
    <row r="5631" spans="1:5" x14ac:dyDescent="0.2">
      <c r="A5631" s="10">
        <v>5570</v>
      </c>
      <c r="B5631" s="1832"/>
      <c r="D5631" s="2" t="str">
        <f t="shared" ref="D5631:D5694" si="87">IF(ISBLANK(B5631),"OK",IF(A5631-B5631=0,"OK","Error?"))</f>
        <v>OK</v>
      </c>
      <c r="E5631" s="4" t="s">
        <v>1895</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15929424</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15929424</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1895</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1895</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227442</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227442</v>
      </c>
      <c r="C5719" s="2" t="s">
        <v>568</v>
      </c>
      <c r="D5719" s="2" t="str">
        <f t="shared" si="88"/>
        <v>Error?</v>
      </c>
    </row>
    <row r="5720" spans="1:4" x14ac:dyDescent="0.2">
      <c r="A5720" s="5">
        <v>5659</v>
      </c>
      <c r="B5720" s="1832">
        <f>'Revenues 9-14'!F268</f>
        <v>32006739</v>
      </c>
      <c r="C5720" s="2" t="s">
        <v>568</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13020880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13020880</v>
      </c>
      <c r="C5725" s="2" t="s">
        <v>568</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4043592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4043592</v>
      </c>
      <c r="C5730" s="2" t="s">
        <v>568</v>
      </c>
      <c r="D5730" s="2" t="str">
        <f t="shared" si="88"/>
        <v>Error?</v>
      </c>
    </row>
    <row r="5731" spans="1:4" x14ac:dyDescent="0.2">
      <c r="A5731" s="5">
        <v>5670</v>
      </c>
      <c r="B5731" s="1832">
        <f>'Revenues 9-14'!G65</f>
        <v>3012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3012</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1895</v>
      </c>
    </row>
    <row r="5768" spans="1:5" x14ac:dyDescent="0.2">
      <c r="A5768" s="10">
        <v>5707</v>
      </c>
      <c r="B5768" s="1832"/>
      <c r="D5768" s="2" t="str">
        <f t="shared" si="89"/>
        <v>OK</v>
      </c>
      <c r="E5768" s="4" t="s">
        <v>1895</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1895</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1895</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17067484</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1495917</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1495918</v>
      </c>
      <c r="C5915" s="2" t="s">
        <v>568</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568</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568</v>
      </c>
      <c r="D5923" s="2" t="str">
        <f t="shared" si="91"/>
        <v>Error?</v>
      </c>
    </row>
    <row r="5924" spans="1:4" x14ac:dyDescent="0.2">
      <c r="A5924" s="5">
        <v>5863</v>
      </c>
      <c r="B5924" s="1832">
        <f>'Revenues 9-14'!I65</f>
        <v>6325232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6325232</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6325232</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4350371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4350371</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568</v>
      </c>
      <c r="D5992" s="2" t="str">
        <f t="shared" si="92"/>
        <v>Error?</v>
      </c>
    </row>
    <row r="5993" spans="1:4" x14ac:dyDescent="0.2">
      <c r="A5993" s="5">
        <v>5932</v>
      </c>
      <c r="B5993" s="1832">
        <f>'Revenues 9-14'!K65</f>
        <v>941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941</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4351312</v>
      </c>
      <c r="C6023" s="2" t="s">
        <v>568</v>
      </c>
      <c r="D6023" s="2" t="str">
        <f t="shared" si="93"/>
        <v>Error?</v>
      </c>
    </row>
    <row r="6024" spans="1:5" x14ac:dyDescent="0.2">
      <c r="A6024" s="5">
        <v>5963</v>
      </c>
      <c r="B6024" s="1832">
        <f>'Revenues 9-14'!G109</f>
        <v>17067484</v>
      </c>
      <c r="C6024" s="2" t="s">
        <v>568</v>
      </c>
      <c r="D6024" s="2" t="str">
        <f t="shared" si="93"/>
        <v>Error?</v>
      </c>
    </row>
    <row r="6025" spans="1:5" x14ac:dyDescent="0.2">
      <c r="A6025" s="5">
        <v>5964</v>
      </c>
      <c r="B6025" s="1832">
        <f>'Revenues 9-14'!H109</f>
        <v>1495918</v>
      </c>
      <c r="C6025" s="2" t="s">
        <v>568</v>
      </c>
      <c r="D6025" s="2" t="str">
        <f t="shared" si="93"/>
        <v>Error?</v>
      </c>
    </row>
    <row r="6026" spans="1:5" x14ac:dyDescent="0.2">
      <c r="A6026" s="5">
        <v>5965</v>
      </c>
      <c r="B6026" s="1832">
        <f>'Revenues 9-14'!I109</f>
        <v>6325232</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4351312</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2520934</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1675422</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33624.6</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500170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16211415</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19006488</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408082</v>
      </c>
      <c r="D6099" s="2" t="str">
        <f t="shared" si="94"/>
        <v>Error?</v>
      </c>
      <c r="E6099" s="2" t="s">
        <v>189</v>
      </c>
    </row>
    <row r="6100" spans="1:5" x14ac:dyDescent="0.2">
      <c r="A6100">
        <v>6039</v>
      </c>
      <c r="B6100" s="1832">
        <f>'Assets-Liab 5-6'!D9</f>
        <v>480240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759761</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43281</v>
      </c>
      <c r="D6104" s="2" t="str">
        <f t="shared" si="94"/>
        <v>Error?</v>
      </c>
      <c r="E6104" s="2" t="s">
        <v>189</v>
      </c>
    </row>
    <row r="6105" spans="1:5" x14ac:dyDescent="0.2">
      <c r="A6105">
        <v>6044</v>
      </c>
      <c r="B6105" s="1832">
        <f>'Assets-Liab 5-6'!I9</f>
        <v>1354213</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5527927</v>
      </c>
      <c r="D6113" s="2" t="str">
        <f t="shared" si="94"/>
        <v>Error?</v>
      </c>
      <c r="E6113" s="2" t="s">
        <v>189</v>
      </c>
    </row>
    <row r="6114" spans="1:5" x14ac:dyDescent="0.2">
      <c r="A6114">
        <v>6053</v>
      </c>
      <c r="B6114" s="1832">
        <f>'Assets-Liab 5-6'!D11</f>
        <v>57895</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2977109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500170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19985714</v>
      </c>
      <c r="D6142" s="2" t="str">
        <f t="shared" si="94"/>
        <v>Error?</v>
      </c>
      <c r="E6142" s="2" t="s">
        <v>189</v>
      </c>
    </row>
    <row r="6143" spans="1:5" x14ac:dyDescent="0.2">
      <c r="A6143">
        <v>6082</v>
      </c>
      <c r="B6143" s="1832">
        <f>'Assets-Liab 5-6'!D27</f>
        <v>10466155</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148225</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90754</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17973</v>
      </c>
      <c r="D6149" s="2" t="str">
        <f t="shared" si="95"/>
        <v>Error?</v>
      </c>
      <c r="E6149" s="2" t="s">
        <v>189</v>
      </c>
    </row>
    <row r="6150" spans="1:5" x14ac:dyDescent="0.2">
      <c r="A6150">
        <v>6089</v>
      </c>
      <c r="B6150" s="1832">
        <f>'Assets-Liab 5-6'!K27</f>
        <v>704859</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30973991</v>
      </c>
      <c r="D6169" s="2" t="str">
        <f t="shared" si="95"/>
        <v>Error?</v>
      </c>
      <c r="E6169" s="2" t="s">
        <v>189</v>
      </c>
    </row>
    <row r="6170" spans="1:5" x14ac:dyDescent="0.2">
      <c r="A6170">
        <v>6109</v>
      </c>
      <c r="B6170" s="1832">
        <f>'Assets-Liab 5-6'!D30</f>
        <v>319117</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75621</v>
      </c>
      <c r="D6172" s="2" t="str">
        <f t="shared" si="95"/>
        <v>Error?</v>
      </c>
      <c r="E6172" s="2" t="s">
        <v>189</v>
      </c>
    </row>
    <row r="6173" spans="1:5" x14ac:dyDescent="0.2">
      <c r="A6173">
        <v>6112</v>
      </c>
      <c r="B6173" s="1832">
        <f>'Assets-Liab 5-6'!G30</f>
        <v>638631</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2786</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2852427</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3373356</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-396247</v>
      </c>
      <c r="D6215" s="2" t="str">
        <f t="shared" si="96"/>
        <v>Error?</v>
      </c>
      <c r="E6215" s="2" t="s">
        <v>189</v>
      </c>
    </row>
    <row r="6216" spans="1:5" x14ac:dyDescent="0.2">
      <c r="A6216">
        <v>6155</v>
      </c>
      <c r="B6216" s="1832">
        <f>'Assets-Liab 5-6'!J41</f>
        <v>2977109</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2977109</v>
      </c>
      <c r="D6219" s="2" t="str">
        <f t="shared" si="96"/>
        <v>Error?</v>
      </c>
      <c r="E6219" s="2" t="s">
        <v>189</v>
      </c>
    </row>
    <row r="6220" spans="1:5" x14ac:dyDescent="0.2">
      <c r="A6220">
        <v>6159</v>
      </c>
      <c r="B6220" s="1832">
        <f>'Acct Summary 7-8'!J4</f>
        <v>5357785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5357785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5357785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6718375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6718375</v>
      </c>
      <c r="D6229" s="2" t="str">
        <f t="shared" si="96"/>
        <v>Error?</v>
      </c>
      <c r="E6229" s="2" t="s">
        <v>189</v>
      </c>
    </row>
    <row r="6230" spans="1:5" x14ac:dyDescent="0.2">
      <c r="A6230">
        <v>6169</v>
      </c>
      <c r="B6230" s="1832">
        <f>'Acct Summary 7-8'!J20</f>
        <v>-1360590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-1360590</v>
      </c>
      <c r="D6263" s="2" t="str">
        <f t="shared" si="96"/>
        <v>Error?</v>
      </c>
      <c r="E6263" s="2" t="s">
        <v>189</v>
      </c>
    </row>
    <row r="6264" spans="1:5" x14ac:dyDescent="0.2">
      <c r="A6264">
        <v>6203</v>
      </c>
      <c r="B6264" s="1832">
        <f>'Acct Summary 7-8'!J79</f>
        <v>964343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-396247</v>
      </c>
      <c r="D6266" s="2" t="str">
        <f t="shared" si="96"/>
        <v>Error?</v>
      </c>
      <c r="E6266" s="2" t="s">
        <v>189</v>
      </c>
    </row>
    <row r="6267" spans="1:5" x14ac:dyDescent="0.2">
      <c r="A6267">
        <v>6206</v>
      </c>
      <c r="B6267" s="1832">
        <f>'Acct Summary 7-8'!C82</f>
        <v>30755625</v>
      </c>
      <c r="D6267" s="2" t="str">
        <f t="shared" si="96"/>
        <v>Error?</v>
      </c>
      <c r="E6267" s="2" t="s">
        <v>189</v>
      </c>
    </row>
    <row r="6268" spans="1:5" x14ac:dyDescent="0.2">
      <c r="A6268">
        <v>6207</v>
      </c>
      <c r="B6268" s="1832">
        <f>'Acct Summary 7-8'!D82</f>
        <v>-14718604</v>
      </c>
      <c r="D6268" s="2" t="str">
        <f t="shared" si="96"/>
        <v>Error?</v>
      </c>
      <c r="E6268" s="2" t="s">
        <v>189</v>
      </c>
    </row>
    <row r="6269" spans="1:5" x14ac:dyDescent="0.2">
      <c r="A6269">
        <v>6208</v>
      </c>
      <c r="B6269" s="1832">
        <f>'Acct Summary 7-8'!E82</f>
        <v>640528</v>
      </c>
      <c r="D6269" s="2" t="str">
        <f t="shared" si="96"/>
        <v>Error?</v>
      </c>
      <c r="E6269" s="2" t="s">
        <v>189</v>
      </c>
    </row>
    <row r="6270" spans="1:5" x14ac:dyDescent="0.2">
      <c r="A6270">
        <v>6209</v>
      </c>
      <c r="B6270" s="1832">
        <f>'Acct Summary 7-8'!F82</f>
        <v>2487923</v>
      </c>
      <c r="D6270" s="2" t="str">
        <f t="shared" si="96"/>
        <v>Error?</v>
      </c>
      <c r="E6270" s="2" t="s">
        <v>189</v>
      </c>
    </row>
    <row r="6271" spans="1:5" x14ac:dyDescent="0.2">
      <c r="A6271">
        <v>6210</v>
      </c>
      <c r="B6271" s="1832">
        <f>'Acct Summary 7-8'!G82</f>
        <v>541839</v>
      </c>
      <c r="D6271" s="2" t="str">
        <f t="shared" ref="D6271:D6334" si="97">IF(ISBLANK(B6271),"OK",IF(A6271-B6271=0,"OK","Error?"))</f>
        <v>Error?</v>
      </c>
      <c r="E6271" s="2" t="s">
        <v>189</v>
      </c>
    </row>
    <row r="6272" spans="1:5" x14ac:dyDescent="0.2">
      <c r="A6272">
        <v>6211</v>
      </c>
      <c r="B6272" s="1832">
        <f>'Acct Summary 7-8'!H82</f>
        <v>1495918</v>
      </c>
      <c r="D6272" s="2" t="str">
        <f t="shared" si="97"/>
        <v>Error?</v>
      </c>
      <c r="E6272" s="2" t="s">
        <v>189</v>
      </c>
    </row>
    <row r="6273" spans="1:5" x14ac:dyDescent="0.2">
      <c r="A6273">
        <v>6212</v>
      </c>
      <c r="B6273" s="1832">
        <f>'Acct Summary 7-8'!I82</f>
        <v>125232</v>
      </c>
      <c r="D6273" s="2" t="str">
        <f t="shared" si="97"/>
        <v>Error?</v>
      </c>
      <c r="E6273" s="2" t="s">
        <v>189</v>
      </c>
    </row>
    <row r="6274" spans="1:5" x14ac:dyDescent="0.2">
      <c r="A6274">
        <v>6213</v>
      </c>
      <c r="B6274" s="1832">
        <f>'Acct Summary 7-8'!J82</f>
        <v>-1360590</v>
      </c>
      <c r="D6274" s="2" t="str">
        <f t="shared" si="97"/>
        <v>Error?</v>
      </c>
      <c r="E6274" s="2" t="s">
        <v>189</v>
      </c>
    </row>
    <row r="6275" spans="1:5" x14ac:dyDescent="0.2">
      <c r="A6275">
        <v>6214</v>
      </c>
      <c r="B6275" s="1832">
        <f>'Acct Summary 7-8'!K82</f>
        <v>2854566</v>
      </c>
      <c r="D6275" s="2" t="str">
        <f t="shared" si="97"/>
        <v>Error?</v>
      </c>
      <c r="E6275" s="2" t="s">
        <v>189</v>
      </c>
    </row>
    <row r="6276" spans="1:5" x14ac:dyDescent="0.2">
      <c r="A6276">
        <v>6215</v>
      </c>
      <c r="B6276" s="1832">
        <f>'Acct Summary 7-8'!C83</f>
        <v>0.16171696356388152</v>
      </c>
      <c r="D6276" s="2" t="str">
        <f t="shared" si="97"/>
        <v>Error?</v>
      </c>
      <c r="E6276" s="2" t="s">
        <v>189</v>
      </c>
    </row>
    <row r="6277" spans="1:5" x14ac:dyDescent="0.2">
      <c r="A6277">
        <v>6216</v>
      </c>
      <c r="B6277" s="1832">
        <f>'Acct Summary 7-8'!D83</f>
        <v>1.7621807330840344</v>
      </c>
      <c r="D6277" s="2" t="str">
        <f t="shared" si="97"/>
        <v>Error?</v>
      </c>
      <c r="E6277" s="2" t="s">
        <v>189</v>
      </c>
    </row>
    <row r="6278" spans="1:5" x14ac:dyDescent="0.2">
      <c r="A6278">
        <v>6217</v>
      </c>
      <c r="B6278" s="1832">
        <f>'Acct Summary 7-8'!E83</f>
        <v>1.9632796622803921E-2</v>
      </c>
      <c r="D6278" s="2" t="str">
        <f t="shared" si="97"/>
        <v>Error?</v>
      </c>
      <c r="E6278" s="2" t="s">
        <v>189</v>
      </c>
    </row>
    <row r="6279" spans="1:5" x14ac:dyDescent="0.2">
      <c r="A6279">
        <v>6218</v>
      </c>
      <c r="B6279" s="1832">
        <f>'Acct Summary 7-8'!F83</f>
        <v>0.11960764593425741</v>
      </c>
      <c r="D6279" s="2" t="str">
        <f t="shared" si="97"/>
        <v>Error?</v>
      </c>
      <c r="E6279" s="2" t="s">
        <v>189</v>
      </c>
    </row>
    <row r="6280" spans="1:5" x14ac:dyDescent="0.2">
      <c r="A6280">
        <v>6219</v>
      </c>
      <c r="B6280" s="1832">
        <f>'Acct Summary 7-8'!G83</f>
        <v>0.28720883636317374</v>
      </c>
      <c r="D6280" s="2" t="str">
        <f t="shared" si="97"/>
        <v>Error?</v>
      </c>
      <c r="E6280" s="2" t="s">
        <v>189</v>
      </c>
    </row>
    <row r="6281" spans="1:5" x14ac:dyDescent="0.2">
      <c r="A6281">
        <v>6220</v>
      </c>
      <c r="B6281" s="1832">
        <f>'Acct Summary 7-8'!H83</f>
        <v>0.29986068542769573</v>
      </c>
      <c r="D6281" s="2" t="str">
        <f t="shared" si="97"/>
        <v>Error?</v>
      </c>
      <c r="E6281" s="2" t="s">
        <v>189</v>
      </c>
    </row>
    <row r="6282" spans="1:5" x14ac:dyDescent="0.2">
      <c r="A6282">
        <v>6221</v>
      </c>
      <c r="B6282" s="1832">
        <f>'Acct Summary 7-8'!I83</f>
        <v>1.11099918200077E-3</v>
      </c>
      <c r="D6282" s="2" t="str">
        <f t="shared" si="97"/>
        <v>Error?</v>
      </c>
      <c r="E6282" s="2" t="s">
        <v>189</v>
      </c>
    </row>
    <row r="6283" spans="1:5" x14ac:dyDescent="0.2">
      <c r="A6283">
        <v>6222</v>
      </c>
      <c r="B6283" s="1832">
        <f>'Acct Summary 7-8'!J83</f>
        <v>3.4336916115453242</v>
      </c>
      <c r="D6283" s="2" t="str">
        <f t="shared" si="97"/>
        <v>Error?</v>
      </c>
      <c r="E6283" s="2" t="s">
        <v>189</v>
      </c>
    </row>
    <row r="6284" spans="1:5" x14ac:dyDescent="0.2">
      <c r="A6284">
        <v>6223</v>
      </c>
      <c r="B6284" s="1832">
        <f>'Acct Summary 7-8'!K83</f>
        <v>0.84466685624010773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717291</v>
      </c>
      <c r="D6287" s="2" t="str">
        <f t="shared" si="97"/>
        <v>Error?</v>
      </c>
      <c r="E6287" s="2" t="s">
        <v>189</v>
      </c>
    </row>
    <row r="6288" spans="1:5" x14ac:dyDescent="0.2">
      <c r="A6288">
        <v>6227</v>
      </c>
      <c r="B6288" s="1832">
        <f>'Acct Summary 7-8'!E40</f>
        <v>14744</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5356607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5356607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1178</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1178</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1495917</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79960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5357785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1894</v>
      </c>
    </row>
    <row r="6383" spans="1:6" x14ac:dyDescent="0.2">
      <c r="A6383" s="126">
        <v>6322</v>
      </c>
      <c r="B6383" s="1832"/>
      <c r="D6383" s="2" t="str">
        <f t="shared" si="98"/>
        <v>OK</v>
      </c>
      <c r="E6383" s="2" t="s">
        <v>189</v>
      </c>
      <c r="F6383" s="1" t="s">
        <v>1894</v>
      </c>
    </row>
    <row r="6384" spans="1:6" x14ac:dyDescent="0.2">
      <c r="A6384" s="126">
        <v>6323</v>
      </c>
      <c r="B6384" s="1832"/>
      <c r="D6384" s="2" t="str">
        <f t="shared" si="98"/>
        <v>OK</v>
      </c>
      <c r="E6384" s="2" t="s">
        <v>189</v>
      </c>
      <c r="F6384" s="1" t="s">
        <v>1894</v>
      </c>
    </row>
    <row r="6385" spans="1:6" x14ac:dyDescent="0.2">
      <c r="A6385" s="126">
        <v>6324</v>
      </c>
      <c r="B6385" s="1832"/>
      <c r="D6385" s="2" t="str">
        <f t="shared" si="98"/>
        <v>OK</v>
      </c>
      <c r="E6385" s="2" t="s">
        <v>189</v>
      </c>
      <c r="F6385" s="1" t="s">
        <v>1894</v>
      </c>
    </row>
    <row r="6386" spans="1:6" x14ac:dyDescent="0.2">
      <c r="A6386" s="126">
        <v>6325</v>
      </c>
      <c r="B6386" s="1832"/>
      <c r="D6386" s="2" t="str">
        <f t="shared" si="98"/>
        <v>OK</v>
      </c>
      <c r="E6386" s="2" t="s">
        <v>189</v>
      </c>
      <c r="F6386" s="1" t="s">
        <v>1894</v>
      </c>
    </row>
    <row r="6387" spans="1:6" x14ac:dyDescent="0.2">
      <c r="A6387" s="126">
        <v>6326</v>
      </c>
      <c r="B6387" s="1832"/>
      <c r="D6387" s="2" t="str">
        <f t="shared" si="98"/>
        <v>OK</v>
      </c>
      <c r="E6387" s="2" t="s">
        <v>189</v>
      </c>
      <c r="F6387" s="1" t="s">
        <v>1894</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1894</v>
      </c>
    </row>
    <row r="6411" spans="1:6" x14ac:dyDescent="0.2">
      <c r="A6411" s="126">
        <v>6350</v>
      </c>
      <c r="B6411" s="1832"/>
      <c r="D6411" s="2" t="str">
        <f t="shared" si="99"/>
        <v>OK</v>
      </c>
      <c r="E6411" s="2" t="s">
        <v>189</v>
      </c>
      <c r="F6411" s="1" t="s">
        <v>1894</v>
      </c>
    </row>
    <row r="6412" spans="1:6" x14ac:dyDescent="0.2">
      <c r="A6412" s="126">
        <v>6351</v>
      </c>
      <c r="B6412" s="1832"/>
      <c r="D6412" s="2" t="str">
        <f t="shared" si="99"/>
        <v>OK</v>
      </c>
      <c r="E6412" s="2" t="s">
        <v>189</v>
      </c>
      <c r="F6412" s="1" t="s">
        <v>1894</v>
      </c>
    </row>
    <row r="6413" spans="1:6" x14ac:dyDescent="0.2">
      <c r="A6413" s="126">
        <v>6352</v>
      </c>
      <c r="B6413" s="1832"/>
      <c r="D6413" s="2" t="str">
        <f t="shared" si="99"/>
        <v>OK</v>
      </c>
      <c r="E6413" s="2" t="s">
        <v>189</v>
      </c>
      <c r="F6413" s="1" t="s">
        <v>1894</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1990</v>
      </c>
    </row>
    <row r="6417" spans="1:5" x14ac:dyDescent="0.2">
      <c r="A6417" s="126">
        <v>6356</v>
      </c>
      <c r="B6417" s="1832"/>
      <c r="D6417" s="2" t="str">
        <f t="shared" si="99"/>
        <v>OK</v>
      </c>
      <c r="E6417" s="4" t="s">
        <v>1990</v>
      </c>
    </row>
    <row r="6418" spans="1:5" x14ac:dyDescent="0.2">
      <c r="A6418" s="126">
        <v>6357</v>
      </c>
      <c r="B6418" s="1832"/>
      <c r="D6418" s="2" t="str">
        <f t="shared" si="99"/>
        <v>OK</v>
      </c>
      <c r="E6418" s="4" t="s">
        <v>1990</v>
      </c>
    </row>
    <row r="6419" spans="1:5" x14ac:dyDescent="0.2">
      <c r="A6419" s="126">
        <v>6358</v>
      </c>
      <c r="B6419" s="1832"/>
      <c r="D6419" s="2" t="str">
        <f t="shared" si="99"/>
        <v>OK</v>
      </c>
      <c r="E6419" s="4" t="s">
        <v>1990</v>
      </c>
    </row>
    <row r="6420" spans="1:5" x14ac:dyDescent="0.2">
      <c r="A6420" s="126">
        <v>6359</v>
      </c>
      <c r="B6420" s="1832"/>
      <c r="D6420" s="2" t="str">
        <f t="shared" si="99"/>
        <v>OK</v>
      </c>
      <c r="E6420" s="4" t="s">
        <v>1990</v>
      </c>
    </row>
    <row r="6421" spans="1:5" x14ac:dyDescent="0.2">
      <c r="A6421" s="126">
        <v>6360</v>
      </c>
      <c r="B6421" s="1832"/>
      <c r="D6421" s="2" t="str">
        <f t="shared" si="99"/>
        <v>OK</v>
      </c>
      <c r="E6421" s="4" t="s">
        <v>1990</v>
      </c>
    </row>
    <row r="6422" spans="1:5" x14ac:dyDescent="0.2">
      <c r="A6422" s="126">
        <v>6361</v>
      </c>
      <c r="B6422" s="1832"/>
      <c r="D6422" s="2" t="str">
        <f t="shared" si="99"/>
        <v>OK</v>
      </c>
      <c r="E6422" s="4" t="s">
        <v>1990</v>
      </c>
    </row>
    <row r="6423" spans="1:5" x14ac:dyDescent="0.2">
      <c r="A6423" s="126">
        <v>6362</v>
      </c>
      <c r="B6423" s="1832"/>
      <c r="D6423" s="2" t="str">
        <f t="shared" si="99"/>
        <v>OK</v>
      </c>
      <c r="E6423" s="4" t="s">
        <v>1990</v>
      </c>
    </row>
    <row r="6424" spans="1:5" x14ac:dyDescent="0.2">
      <c r="A6424" s="126">
        <v>6363</v>
      </c>
      <c r="B6424" s="1832"/>
      <c r="D6424" s="2" t="str">
        <f t="shared" si="99"/>
        <v>OK</v>
      </c>
      <c r="E6424" s="4" t="s">
        <v>1990</v>
      </c>
    </row>
    <row r="6425" spans="1:5" x14ac:dyDescent="0.2">
      <c r="A6425" s="126">
        <v>6364</v>
      </c>
      <c r="B6425" s="1832"/>
      <c r="D6425" s="2" t="str">
        <f t="shared" si="99"/>
        <v>OK</v>
      </c>
      <c r="E6425" s="4" t="s">
        <v>1990</v>
      </c>
    </row>
    <row r="6426" spans="1:5" x14ac:dyDescent="0.2">
      <c r="A6426" s="126">
        <v>6365</v>
      </c>
      <c r="B6426" s="1832"/>
      <c r="D6426" s="2" t="str">
        <f t="shared" si="99"/>
        <v>OK</v>
      </c>
      <c r="E6426" s="4" t="s">
        <v>1990</v>
      </c>
    </row>
    <row r="6427" spans="1:5" x14ac:dyDescent="0.2">
      <c r="A6427" s="126">
        <v>6366</v>
      </c>
      <c r="B6427" s="1832"/>
      <c r="D6427" s="2" t="str">
        <f t="shared" si="99"/>
        <v>OK</v>
      </c>
      <c r="E6427" s="4" t="s">
        <v>1990</v>
      </c>
    </row>
    <row r="6428" spans="1:5" x14ac:dyDescent="0.2">
      <c r="A6428" s="126">
        <v>6367</v>
      </c>
      <c r="B6428" s="1832"/>
      <c r="D6428" s="2" t="str">
        <f t="shared" si="99"/>
        <v>OK</v>
      </c>
      <c r="E6428" s="4" t="s">
        <v>1990</v>
      </c>
    </row>
    <row r="6429" spans="1:5" x14ac:dyDescent="0.2">
      <c r="A6429" s="126">
        <v>6368</v>
      </c>
      <c r="B6429" s="1832"/>
      <c r="D6429" s="2" t="str">
        <f t="shared" si="99"/>
        <v>OK</v>
      </c>
      <c r="E6429" s="4" t="s">
        <v>1990</v>
      </c>
    </row>
    <row r="6430" spans="1:5" x14ac:dyDescent="0.2">
      <c r="A6430" s="126">
        <v>6369</v>
      </c>
      <c r="B6430" s="1832"/>
      <c r="D6430" s="2" t="str">
        <f t="shared" si="99"/>
        <v>OK</v>
      </c>
      <c r="E6430" s="4" t="s">
        <v>1990</v>
      </c>
    </row>
    <row r="6431" spans="1:5" x14ac:dyDescent="0.2">
      <c r="A6431" s="126">
        <v>6370</v>
      </c>
      <c r="B6431" s="1832"/>
      <c r="D6431" s="2" t="str">
        <f t="shared" si="99"/>
        <v>OK</v>
      </c>
      <c r="E6431" s="4" t="s">
        <v>1990</v>
      </c>
    </row>
    <row r="6432" spans="1:5" x14ac:dyDescent="0.2">
      <c r="A6432" s="126">
        <v>6371</v>
      </c>
      <c r="B6432" s="1832"/>
      <c r="D6432" s="2" t="str">
        <f t="shared" si="99"/>
        <v>OK</v>
      </c>
      <c r="E6432" s="4" t="s">
        <v>1990</v>
      </c>
    </row>
    <row r="6433" spans="1:5" x14ac:dyDescent="0.2">
      <c r="A6433" s="126">
        <v>6372</v>
      </c>
      <c r="B6433" s="1832"/>
      <c r="D6433" s="2" t="str">
        <f t="shared" si="99"/>
        <v>OK</v>
      </c>
      <c r="E6433" s="4" t="s">
        <v>1990</v>
      </c>
    </row>
    <row r="6434" spans="1:5" x14ac:dyDescent="0.2">
      <c r="A6434" s="126">
        <v>6373</v>
      </c>
      <c r="B6434" s="1832"/>
      <c r="D6434" s="2" t="str">
        <f t="shared" si="99"/>
        <v>OK</v>
      </c>
      <c r="E6434" s="4" t="s">
        <v>1990</v>
      </c>
    </row>
    <row r="6435" spans="1:5" x14ac:dyDescent="0.2">
      <c r="A6435" s="126">
        <v>6374</v>
      </c>
      <c r="B6435" s="1832"/>
      <c r="D6435" s="2" t="str">
        <f t="shared" si="99"/>
        <v>OK</v>
      </c>
      <c r="E6435" s="4" t="s">
        <v>1990</v>
      </c>
    </row>
    <row r="6436" spans="1:5" x14ac:dyDescent="0.2">
      <c r="A6436" s="126">
        <v>6375</v>
      </c>
      <c r="B6436" s="1832"/>
      <c r="D6436" s="2" t="str">
        <f t="shared" si="99"/>
        <v>OK</v>
      </c>
      <c r="E6436" s="4" t="s">
        <v>1990</v>
      </c>
    </row>
    <row r="6437" spans="1:5" x14ac:dyDescent="0.2">
      <c r="A6437" s="126">
        <v>6376</v>
      </c>
      <c r="B6437" s="1832"/>
      <c r="D6437" s="2" t="str">
        <f t="shared" si="99"/>
        <v>OK</v>
      </c>
      <c r="E6437" s="4" t="s">
        <v>1990</v>
      </c>
    </row>
    <row r="6438" spans="1:5" x14ac:dyDescent="0.2">
      <c r="A6438" s="126">
        <v>6377</v>
      </c>
      <c r="B6438" s="1832"/>
      <c r="D6438" s="2" t="str">
        <f t="shared" si="99"/>
        <v>OK</v>
      </c>
      <c r="E6438" s="4" t="s">
        <v>1990</v>
      </c>
    </row>
    <row r="6439" spans="1:5" x14ac:dyDescent="0.2">
      <c r="A6439" s="126">
        <v>6378</v>
      </c>
      <c r="B6439" s="1832"/>
      <c r="D6439" s="2" t="str">
        <f t="shared" si="99"/>
        <v>OK</v>
      </c>
      <c r="E6439" s="4" t="s">
        <v>1990</v>
      </c>
    </row>
    <row r="6440" spans="1:5" x14ac:dyDescent="0.2">
      <c r="A6440" s="126">
        <v>6379</v>
      </c>
      <c r="B6440" s="1832"/>
      <c r="D6440" s="2" t="str">
        <f t="shared" si="99"/>
        <v>OK</v>
      </c>
      <c r="E6440" s="4" t="s">
        <v>1990</v>
      </c>
    </row>
    <row r="6441" spans="1:5" x14ac:dyDescent="0.2">
      <c r="A6441" s="126">
        <v>6380</v>
      </c>
      <c r="B6441" s="1832"/>
      <c r="D6441" s="2" t="str">
        <f t="shared" si="99"/>
        <v>OK</v>
      </c>
      <c r="E6441" s="4" t="s">
        <v>1990</v>
      </c>
    </row>
    <row r="6442" spans="1:5" x14ac:dyDescent="0.2">
      <c r="A6442" s="126">
        <v>6381</v>
      </c>
      <c r="B6442" s="1832"/>
      <c r="D6442" s="2" t="str">
        <f t="shared" si="99"/>
        <v>OK</v>
      </c>
      <c r="E6442" s="4" t="s">
        <v>1990</v>
      </c>
    </row>
    <row r="6443" spans="1:5" x14ac:dyDescent="0.2">
      <c r="A6443" s="126">
        <v>6382</v>
      </c>
      <c r="B6443" s="1832"/>
      <c r="D6443" s="2" t="str">
        <f t="shared" si="99"/>
        <v>OK</v>
      </c>
      <c r="E6443" s="4" t="s">
        <v>1990</v>
      </c>
    </row>
    <row r="6444" spans="1:5" x14ac:dyDescent="0.2">
      <c r="A6444" s="126">
        <v>6383</v>
      </c>
      <c r="B6444" s="1832"/>
      <c r="D6444" s="2" t="str">
        <f t="shared" si="99"/>
        <v>OK</v>
      </c>
      <c r="E6444" s="4" t="s">
        <v>1990</v>
      </c>
    </row>
    <row r="6445" spans="1:5" x14ac:dyDescent="0.2">
      <c r="A6445" s="126">
        <v>6384</v>
      </c>
      <c r="B6445" s="1832"/>
      <c r="D6445" s="2" t="str">
        <f t="shared" si="99"/>
        <v>OK</v>
      </c>
      <c r="E6445" s="4" t="s">
        <v>1990</v>
      </c>
    </row>
    <row r="6446" spans="1:5" x14ac:dyDescent="0.2">
      <c r="A6446" s="126">
        <v>6385</v>
      </c>
      <c r="B6446" s="1832"/>
      <c r="D6446" s="2" t="str">
        <f t="shared" si="99"/>
        <v>OK</v>
      </c>
      <c r="E6446" s="4" t="s">
        <v>1990</v>
      </c>
    </row>
    <row r="6447" spans="1:5" x14ac:dyDescent="0.2">
      <c r="A6447" s="126">
        <v>6386</v>
      </c>
      <c r="B6447" s="1832"/>
      <c r="D6447" s="2" t="str">
        <f t="shared" si="99"/>
        <v>OK</v>
      </c>
      <c r="E6447" s="4" t="s">
        <v>1990</v>
      </c>
    </row>
    <row r="6448" spans="1:5" x14ac:dyDescent="0.2">
      <c r="A6448" s="126">
        <v>6387</v>
      </c>
      <c r="B6448" s="1832"/>
      <c r="D6448" s="2" t="str">
        <f t="shared" si="99"/>
        <v>OK</v>
      </c>
      <c r="E6448" s="4" t="s">
        <v>1990</v>
      </c>
    </row>
    <row r="6449" spans="1:5" x14ac:dyDescent="0.2">
      <c r="A6449" s="126">
        <v>6388</v>
      </c>
      <c r="B6449" s="1832"/>
      <c r="D6449" s="2" t="str">
        <f t="shared" si="99"/>
        <v>OK</v>
      </c>
      <c r="E6449" s="4" t="s">
        <v>1990</v>
      </c>
    </row>
    <row r="6450" spans="1:5" x14ac:dyDescent="0.2">
      <c r="A6450" s="126">
        <v>6389</v>
      </c>
      <c r="B6450" s="1832"/>
      <c r="D6450" s="2" t="str">
        <f t="shared" si="99"/>
        <v>OK</v>
      </c>
      <c r="E6450" s="4" t="s">
        <v>1990</v>
      </c>
    </row>
    <row r="6451" spans="1:5" x14ac:dyDescent="0.2">
      <c r="A6451" s="126">
        <v>6390</v>
      </c>
      <c r="B6451" s="1832"/>
      <c r="D6451" s="2" t="str">
        <f t="shared" si="99"/>
        <v>OK</v>
      </c>
      <c r="E6451" s="4" t="s">
        <v>1990</v>
      </c>
    </row>
    <row r="6452" spans="1:5" x14ac:dyDescent="0.2">
      <c r="A6452" s="126">
        <v>6391</v>
      </c>
      <c r="B6452" s="1832"/>
      <c r="D6452" s="2" t="str">
        <f t="shared" si="99"/>
        <v>OK</v>
      </c>
      <c r="E6452" s="4" t="s">
        <v>1990</v>
      </c>
    </row>
    <row r="6453" spans="1:5" x14ac:dyDescent="0.2">
      <c r="A6453" s="126">
        <v>6392</v>
      </c>
      <c r="B6453" s="1832"/>
      <c r="D6453" s="2" t="str">
        <f t="shared" si="99"/>
        <v>OK</v>
      </c>
      <c r="E6453" s="4" t="s">
        <v>1990</v>
      </c>
    </row>
    <row r="6454" spans="1:5" x14ac:dyDescent="0.2">
      <c r="A6454" s="126">
        <v>6393</v>
      </c>
      <c r="B6454" s="1832"/>
      <c r="D6454" s="2" t="str">
        <f t="shared" si="99"/>
        <v>OK</v>
      </c>
      <c r="E6454" s="4" t="s">
        <v>1990</v>
      </c>
    </row>
    <row r="6455" spans="1:5" x14ac:dyDescent="0.2">
      <c r="A6455" s="126">
        <v>6394</v>
      </c>
      <c r="B6455" s="1832"/>
      <c r="D6455" s="2" t="str">
        <f t="shared" si="99"/>
        <v>OK</v>
      </c>
      <c r="E6455" s="4" t="s">
        <v>1990</v>
      </c>
    </row>
    <row r="6456" spans="1:5" x14ac:dyDescent="0.2">
      <c r="A6456" s="126">
        <v>6395</v>
      </c>
      <c r="B6456" s="1832"/>
      <c r="D6456" s="2" t="str">
        <f t="shared" si="99"/>
        <v>OK</v>
      </c>
      <c r="E6456" s="4" t="s">
        <v>1990</v>
      </c>
    </row>
    <row r="6457" spans="1:5" x14ac:dyDescent="0.2">
      <c r="A6457" s="126">
        <v>6396</v>
      </c>
      <c r="B6457" s="1832"/>
      <c r="D6457" s="2" t="str">
        <f t="shared" si="99"/>
        <v>OK</v>
      </c>
      <c r="E6457" s="4" t="s">
        <v>1990</v>
      </c>
    </row>
    <row r="6458" spans="1:5" x14ac:dyDescent="0.2">
      <c r="A6458" s="126">
        <v>6397</v>
      </c>
      <c r="B6458" s="1832"/>
      <c r="D6458" s="2" t="str">
        <f t="shared" si="99"/>
        <v>OK</v>
      </c>
      <c r="E6458" s="4" t="s">
        <v>1990</v>
      </c>
    </row>
    <row r="6459" spans="1:5" x14ac:dyDescent="0.2">
      <c r="A6459" s="126">
        <v>6398</v>
      </c>
      <c r="B6459" s="1832"/>
      <c r="D6459" s="2" t="str">
        <f t="shared" si="99"/>
        <v>OK</v>
      </c>
      <c r="E6459" s="4" t="s">
        <v>1990</v>
      </c>
    </row>
    <row r="6460" spans="1:5" x14ac:dyDescent="0.2">
      <c r="A6460" s="126">
        <v>6399</v>
      </c>
      <c r="B6460" s="1832"/>
      <c r="D6460" s="2" t="str">
        <f t="shared" si="99"/>
        <v>OK</v>
      </c>
      <c r="E6460" s="4" t="s">
        <v>1990</v>
      </c>
    </row>
    <row r="6461" spans="1:5" x14ac:dyDescent="0.2">
      <c r="A6461" s="126">
        <v>6400</v>
      </c>
      <c r="B6461" s="1832"/>
      <c r="D6461" s="2" t="str">
        <f t="shared" si="99"/>
        <v>OK</v>
      </c>
      <c r="E6461" s="4" t="s">
        <v>1990</v>
      </c>
    </row>
    <row r="6462" spans="1:5" x14ac:dyDescent="0.2">
      <c r="A6462" s="126">
        <v>6401</v>
      </c>
      <c r="B6462" s="1832"/>
      <c r="D6462" s="2" t="str">
        <f t="shared" si="99"/>
        <v>OK</v>
      </c>
      <c r="E6462" s="4" t="s">
        <v>1990</v>
      </c>
    </row>
    <row r="6463" spans="1:5" x14ac:dyDescent="0.2">
      <c r="A6463" s="126">
        <v>6402</v>
      </c>
      <c r="B6463" s="1832"/>
      <c r="D6463" s="2" t="str">
        <f t="shared" ref="D6463:D6526" si="100">IF(ISBLANK(B6463),"OK",IF(A6463-B6463=0,"OK","Error?"))</f>
        <v>OK</v>
      </c>
      <c r="E6463" s="4" t="s">
        <v>1990</v>
      </c>
    </row>
    <row r="6464" spans="1:5" x14ac:dyDescent="0.2">
      <c r="A6464" s="126">
        <v>6403</v>
      </c>
      <c r="B6464" s="1832"/>
      <c r="D6464" s="2" t="str">
        <f t="shared" si="100"/>
        <v>OK</v>
      </c>
      <c r="E6464" s="4" t="s">
        <v>1990</v>
      </c>
    </row>
    <row r="6465" spans="1:5" x14ac:dyDescent="0.2">
      <c r="A6465" s="126">
        <v>6404</v>
      </c>
      <c r="B6465" s="1832"/>
      <c r="D6465" s="2" t="str">
        <f t="shared" si="100"/>
        <v>OK</v>
      </c>
      <c r="E6465" s="4" t="s">
        <v>1990</v>
      </c>
    </row>
    <row r="6466" spans="1:5" x14ac:dyDescent="0.2">
      <c r="A6466" s="126">
        <v>6405</v>
      </c>
      <c r="B6466" s="1832"/>
      <c r="D6466" s="2" t="str">
        <f t="shared" si="100"/>
        <v>OK</v>
      </c>
      <c r="E6466" s="4" t="s">
        <v>1990</v>
      </c>
    </row>
    <row r="6467" spans="1:5" x14ac:dyDescent="0.2">
      <c r="A6467" s="126">
        <v>6406</v>
      </c>
      <c r="B6467" s="1832"/>
      <c r="D6467" s="2" t="str">
        <f t="shared" si="100"/>
        <v>OK</v>
      </c>
      <c r="E6467" s="4" t="s">
        <v>1990</v>
      </c>
    </row>
    <row r="6468" spans="1:5" x14ac:dyDescent="0.2">
      <c r="A6468" s="126">
        <v>6407</v>
      </c>
      <c r="B6468" s="1832"/>
      <c r="D6468" s="2" t="str">
        <f t="shared" si="100"/>
        <v>OK</v>
      </c>
      <c r="E6468" s="4" t="s">
        <v>1990</v>
      </c>
    </row>
    <row r="6469" spans="1:5" x14ac:dyDescent="0.2">
      <c r="A6469" s="126">
        <v>6408</v>
      </c>
      <c r="B6469" s="1832"/>
      <c r="D6469" s="2" t="str">
        <f t="shared" si="100"/>
        <v>OK</v>
      </c>
      <c r="E6469" s="4" t="s">
        <v>1990</v>
      </c>
    </row>
    <row r="6470" spans="1:5" x14ac:dyDescent="0.2">
      <c r="A6470" s="126">
        <v>6409</v>
      </c>
      <c r="B6470" s="1832"/>
      <c r="D6470" s="2" t="str">
        <f t="shared" si="100"/>
        <v>OK</v>
      </c>
      <c r="E6470" s="4" t="s">
        <v>1990</v>
      </c>
    </row>
    <row r="6471" spans="1:5" x14ac:dyDescent="0.2">
      <c r="A6471" s="126">
        <v>6410</v>
      </c>
      <c r="B6471" s="1832"/>
      <c r="D6471" s="2" t="str">
        <f t="shared" si="100"/>
        <v>OK</v>
      </c>
      <c r="E6471" s="4" t="s">
        <v>1990</v>
      </c>
    </row>
    <row r="6472" spans="1:5" x14ac:dyDescent="0.2">
      <c r="A6472" s="126">
        <v>6411</v>
      </c>
      <c r="B6472" s="1832"/>
      <c r="D6472" s="2" t="str">
        <f t="shared" si="100"/>
        <v>OK</v>
      </c>
      <c r="E6472" s="4" t="s">
        <v>1990</v>
      </c>
    </row>
    <row r="6473" spans="1:5" x14ac:dyDescent="0.2">
      <c r="A6473" s="126">
        <v>6412</v>
      </c>
      <c r="B6473" s="1832"/>
      <c r="D6473" s="2" t="str">
        <f t="shared" si="100"/>
        <v>OK</v>
      </c>
      <c r="E6473" s="4" t="s">
        <v>1990</v>
      </c>
    </row>
    <row r="6474" spans="1:5" x14ac:dyDescent="0.2">
      <c r="A6474" s="126">
        <v>6413</v>
      </c>
      <c r="B6474" s="1832"/>
      <c r="D6474" s="2" t="str">
        <f t="shared" si="100"/>
        <v>OK</v>
      </c>
      <c r="E6474" s="4" t="s">
        <v>1990</v>
      </c>
    </row>
    <row r="6475" spans="1:5" x14ac:dyDescent="0.2">
      <c r="A6475" s="126">
        <v>6414</v>
      </c>
      <c r="B6475" s="1832"/>
      <c r="D6475" s="2" t="str">
        <f t="shared" si="100"/>
        <v>OK</v>
      </c>
      <c r="E6475" s="4" t="s">
        <v>1990</v>
      </c>
    </row>
    <row r="6476" spans="1:5" x14ac:dyDescent="0.2">
      <c r="A6476" s="126">
        <v>6415</v>
      </c>
      <c r="B6476" s="1832"/>
      <c r="D6476" s="2" t="str">
        <f t="shared" si="100"/>
        <v>OK</v>
      </c>
      <c r="E6476" s="4" t="s">
        <v>1990</v>
      </c>
    </row>
    <row r="6477" spans="1:5" x14ac:dyDescent="0.2">
      <c r="A6477" s="126">
        <v>6416</v>
      </c>
      <c r="B6477" s="1832"/>
      <c r="D6477" s="2" t="str">
        <f t="shared" si="100"/>
        <v>OK</v>
      </c>
      <c r="E6477" s="4" t="s">
        <v>1990</v>
      </c>
    </row>
    <row r="6478" spans="1:5" x14ac:dyDescent="0.2">
      <c r="A6478" s="126">
        <v>6417</v>
      </c>
      <c r="B6478" s="1832"/>
      <c r="D6478" s="2" t="str">
        <f t="shared" si="100"/>
        <v>OK</v>
      </c>
      <c r="E6478" s="4" t="s">
        <v>1990</v>
      </c>
    </row>
    <row r="6479" spans="1:5" x14ac:dyDescent="0.2">
      <c r="A6479" s="126">
        <v>6418</v>
      </c>
      <c r="B6479" s="1832"/>
      <c r="D6479" s="2" t="str">
        <f t="shared" si="100"/>
        <v>OK</v>
      </c>
      <c r="E6479" s="4" t="s">
        <v>1990</v>
      </c>
    </row>
    <row r="6480" spans="1:5" x14ac:dyDescent="0.2">
      <c r="A6480" s="126">
        <v>6419</v>
      </c>
      <c r="B6480" s="1832"/>
      <c r="D6480" s="2" t="str">
        <f t="shared" si="100"/>
        <v>OK</v>
      </c>
      <c r="E6480" s="4" t="s">
        <v>1990</v>
      </c>
    </row>
    <row r="6481" spans="1:5" x14ac:dyDescent="0.2">
      <c r="A6481" s="126">
        <v>6420</v>
      </c>
      <c r="B6481" s="1832"/>
      <c r="D6481" s="2" t="str">
        <f t="shared" si="100"/>
        <v>OK</v>
      </c>
      <c r="E6481" s="4" t="s">
        <v>1990</v>
      </c>
    </row>
    <row r="6482" spans="1:5" x14ac:dyDescent="0.2">
      <c r="A6482" s="126">
        <v>6421</v>
      </c>
      <c r="B6482" s="1832"/>
      <c r="D6482" s="2" t="str">
        <f t="shared" si="100"/>
        <v>OK</v>
      </c>
      <c r="E6482" s="4" t="s">
        <v>1990</v>
      </c>
    </row>
    <row r="6483" spans="1:5" x14ac:dyDescent="0.2">
      <c r="A6483" s="126">
        <v>6422</v>
      </c>
      <c r="B6483" s="1832"/>
      <c r="D6483" s="2" t="str">
        <f t="shared" si="100"/>
        <v>OK</v>
      </c>
      <c r="E6483" s="4" t="s">
        <v>1990</v>
      </c>
    </row>
    <row r="6484" spans="1:5" x14ac:dyDescent="0.2">
      <c r="A6484" s="126">
        <v>6423</v>
      </c>
      <c r="B6484" s="1832"/>
      <c r="D6484" s="2" t="str">
        <f t="shared" si="100"/>
        <v>OK</v>
      </c>
      <c r="E6484" s="4" t="s">
        <v>1990</v>
      </c>
    </row>
    <row r="6485" spans="1:5" x14ac:dyDescent="0.2">
      <c r="A6485" s="126">
        <v>6424</v>
      </c>
      <c r="B6485" s="1832"/>
      <c r="D6485" s="2" t="str">
        <f t="shared" si="100"/>
        <v>OK</v>
      </c>
      <c r="E6485" s="4" t="s">
        <v>1990</v>
      </c>
    </row>
    <row r="6486" spans="1:5" x14ac:dyDescent="0.2">
      <c r="A6486" s="126">
        <v>6425</v>
      </c>
      <c r="B6486" s="1832"/>
      <c r="D6486" s="2" t="str">
        <f t="shared" si="100"/>
        <v>OK</v>
      </c>
      <c r="E6486" s="4" t="s">
        <v>1990</v>
      </c>
    </row>
    <row r="6487" spans="1:5" x14ac:dyDescent="0.2">
      <c r="A6487" s="126">
        <v>6426</v>
      </c>
      <c r="B6487" s="1832"/>
      <c r="D6487" s="2" t="str">
        <f t="shared" si="100"/>
        <v>OK</v>
      </c>
      <c r="E6487" s="4" t="s">
        <v>1990</v>
      </c>
    </row>
    <row r="6488" spans="1:5" x14ac:dyDescent="0.2">
      <c r="A6488" s="126">
        <v>6427</v>
      </c>
      <c r="B6488" s="1832"/>
      <c r="D6488" s="2" t="str">
        <f t="shared" si="100"/>
        <v>OK</v>
      </c>
      <c r="E6488" s="4" t="s">
        <v>1990</v>
      </c>
    </row>
    <row r="6489" spans="1:5" x14ac:dyDescent="0.2">
      <c r="A6489" s="126">
        <v>6428</v>
      </c>
      <c r="B6489" s="1832"/>
      <c r="D6489" s="2" t="str">
        <f t="shared" si="100"/>
        <v>OK</v>
      </c>
      <c r="E6489" s="4" t="s">
        <v>1990</v>
      </c>
    </row>
    <row r="6490" spans="1:5" x14ac:dyDescent="0.2">
      <c r="A6490" s="126">
        <v>6429</v>
      </c>
      <c r="B6490" s="1832"/>
      <c r="D6490" s="2" t="str">
        <f t="shared" si="100"/>
        <v>OK</v>
      </c>
      <c r="E6490" s="4" t="s">
        <v>1990</v>
      </c>
    </row>
    <row r="6491" spans="1:5" x14ac:dyDescent="0.2">
      <c r="A6491" s="126">
        <v>6430</v>
      </c>
      <c r="B6491" s="1832"/>
      <c r="D6491" s="2" t="str">
        <f t="shared" si="100"/>
        <v>OK</v>
      </c>
      <c r="E6491" s="4" t="s">
        <v>1990</v>
      </c>
    </row>
    <row r="6492" spans="1:5" x14ac:dyDescent="0.2">
      <c r="A6492" s="126">
        <v>6431</v>
      </c>
      <c r="B6492" s="1832"/>
      <c r="D6492" s="2" t="str">
        <f t="shared" si="100"/>
        <v>OK</v>
      </c>
      <c r="E6492" s="4" t="s">
        <v>1990</v>
      </c>
    </row>
    <row r="6493" spans="1:5" x14ac:dyDescent="0.2">
      <c r="A6493" s="126">
        <v>6432</v>
      </c>
      <c r="B6493" s="1832"/>
      <c r="D6493" s="2" t="str">
        <f t="shared" si="100"/>
        <v>OK</v>
      </c>
      <c r="E6493" s="4" t="s">
        <v>1990</v>
      </c>
    </row>
    <row r="6494" spans="1:5" x14ac:dyDescent="0.2">
      <c r="A6494" s="126">
        <v>6433</v>
      </c>
      <c r="B6494" s="1832"/>
      <c r="D6494" s="2" t="str">
        <f t="shared" si="100"/>
        <v>OK</v>
      </c>
      <c r="E6494" s="4" t="s">
        <v>1990</v>
      </c>
    </row>
    <row r="6495" spans="1:5" x14ac:dyDescent="0.2">
      <c r="A6495" s="126">
        <v>6434</v>
      </c>
      <c r="B6495" s="1832"/>
      <c r="D6495" s="2" t="str">
        <f t="shared" si="100"/>
        <v>OK</v>
      </c>
      <c r="E6495" s="4" t="s">
        <v>1990</v>
      </c>
    </row>
    <row r="6496" spans="1:5" x14ac:dyDescent="0.2">
      <c r="A6496" s="126">
        <v>6435</v>
      </c>
      <c r="B6496" s="1832"/>
      <c r="D6496" s="2" t="str">
        <f t="shared" si="100"/>
        <v>OK</v>
      </c>
      <c r="E6496" s="4" t="s">
        <v>1990</v>
      </c>
    </row>
    <row r="6497" spans="1:5" x14ac:dyDescent="0.2">
      <c r="A6497" s="126">
        <v>6436</v>
      </c>
      <c r="B6497" s="1832"/>
      <c r="D6497" s="2" t="str">
        <f t="shared" si="100"/>
        <v>OK</v>
      </c>
      <c r="E6497" s="4" t="s">
        <v>1990</v>
      </c>
    </row>
    <row r="6498" spans="1:5" x14ac:dyDescent="0.2">
      <c r="A6498" s="126">
        <v>6437</v>
      </c>
      <c r="B6498" s="1832"/>
      <c r="D6498" s="2" t="str">
        <f t="shared" si="100"/>
        <v>OK</v>
      </c>
      <c r="E6498" s="4" t="s">
        <v>1990</v>
      </c>
    </row>
    <row r="6499" spans="1:5" x14ac:dyDescent="0.2">
      <c r="A6499" s="126">
        <v>6438</v>
      </c>
      <c r="B6499" s="1832"/>
      <c r="D6499" s="2" t="str">
        <f t="shared" si="100"/>
        <v>OK</v>
      </c>
      <c r="E6499" s="4" t="s">
        <v>1990</v>
      </c>
    </row>
    <row r="6500" spans="1:5" x14ac:dyDescent="0.2">
      <c r="A6500" s="126">
        <v>6439</v>
      </c>
      <c r="B6500" s="1832"/>
      <c r="D6500" s="2" t="str">
        <f t="shared" si="100"/>
        <v>OK</v>
      </c>
      <c r="E6500" s="4" t="s">
        <v>1990</v>
      </c>
    </row>
    <row r="6501" spans="1:5" x14ac:dyDescent="0.2">
      <c r="A6501" s="126">
        <v>6440</v>
      </c>
      <c r="B6501" s="1832"/>
      <c r="D6501" s="2" t="str">
        <f t="shared" si="100"/>
        <v>OK</v>
      </c>
      <c r="E6501" s="4" t="s">
        <v>1990</v>
      </c>
    </row>
    <row r="6502" spans="1:5" x14ac:dyDescent="0.2">
      <c r="A6502" s="126">
        <v>6441</v>
      </c>
      <c r="B6502" s="1832"/>
      <c r="D6502" s="2" t="str">
        <f t="shared" si="100"/>
        <v>OK</v>
      </c>
      <c r="E6502" s="4" t="s">
        <v>1990</v>
      </c>
    </row>
    <row r="6503" spans="1:5" x14ac:dyDescent="0.2">
      <c r="A6503" s="126">
        <v>6442</v>
      </c>
      <c r="B6503" s="1832"/>
      <c r="D6503" s="2" t="str">
        <f t="shared" si="100"/>
        <v>OK</v>
      </c>
      <c r="E6503" s="4" t="s">
        <v>1990</v>
      </c>
    </row>
    <row r="6504" spans="1:5" x14ac:dyDescent="0.2">
      <c r="A6504" s="126">
        <v>6443</v>
      </c>
      <c r="B6504" s="1832"/>
      <c r="D6504" s="2" t="str">
        <f t="shared" si="100"/>
        <v>OK</v>
      </c>
      <c r="E6504" s="4" t="s">
        <v>1990</v>
      </c>
    </row>
    <row r="6505" spans="1:5" x14ac:dyDescent="0.2">
      <c r="A6505" s="126">
        <v>6444</v>
      </c>
      <c r="B6505" s="1832"/>
      <c r="D6505" s="2" t="str">
        <f t="shared" si="100"/>
        <v>OK</v>
      </c>
      <c r="E6505" s="4" t="s">
        <v>1990</v>
      </c>
    </row>
    <row r="6506" spans="1:5" x14ac:dyDescent="0.2">
      <c r="A6506" s="126">
        <v>6445</v>
      </c>
      <c r="B6506" s="1832"/>
      <c r="D6506" s="2" t="str">
        <f t="shared" si="100"/>
        <v>OK</v>
      </c>
      <c r="E6506" s="4" t="s">
        <v>1990</v>
      </c>
    </row>
    <row r="6507" spans="1:5" x14ac:dyDescent="0.2">
      <c r="A6507" s="126">
        <v>6446</v>
      </c>
      <c r="B6507" s="1832"/>
      <c r="D6507" s="2" t="str">
        <f t="shared" si="100"/>
        <v>OK</v>
      </c>
      <c r="E6507" s="4" t="s">
        <v>1990</v>
      </c>
    </row>
    <row r="6508" spans="1:5" x14ac:dyDescent="0.2">
      <c r="A6508" s="126">
        <v>6447</v>
      </c>
      <c r="B6508" s="1832"/>
      <c r="D6508" s="2" t="str">
        <f t="shared" si="100"/>
        <v>OK</v>
      </c>
      <c r="E6508" s="4" t="s">
        <v>1990</v>
      </c>
    </row>
    <row r="6509" spans="1:5" x14ac:dyDescent="0.2">
      <c r="A6509" s="126">
        <v>6448</v>
      </c>
      <c r="B6509" s="1832"/>
      <c r="D6509" s="2" t="str">
        <f t="shared" si="100"/>
        <v>OK</v>
      </c>
      <c r="E6509" s="4" t="s">
        <v>1990</v>
      </c>
    </row>
    <row r="6510" spans="1:5" x14ac:dyDescent="0.2">
      <c r="A6510" s="126">
        <v>6449</v>
      </c>
      <c r="B6510" s="1832"/>
      <c r="D6510" s="2" t="str">
        <f t="shared" si="100"/>
        <v>OK</v>
      </c>
      <c r="E6510" s="4" t="s">
        <v>1990</v>
      </c>
    </row>
    <row r="6511" spans="1:5" x14ac:dyDescent="0.2">
      <c r="A6511" s="126">
        <v>6450</v>
      </c>
      <c r="B6511" s="1832"/>
      <c r="D6511" s="2" t="str">
        <f t="shared" si="100"/>
        <v>OK</v>
      </c>
      <c r="E6511" s="4" t="s">
        <v>1990</v>
      </c>
    </row>
    <row r="6512" spans="1:5" x14ac:dyDescent="0.2">
      <c r="A6512" s="126">
        <v>6451</v>
      </c>
      <c r="B6512" s="1832"/>
      <c r="D6512" s="2" t="str">
        <f t="shared" si="100"/>
        <v>OK</v>
      </c>
      <c r="E6512" s="4" t="s">
        <v>1990</v>
      </c>
    </row>
    <row r="6513" spans="1:5" x14ac:dyDescent="0.2">
      <c r="A6513" s="126">
        <v>6452</v>
      </c>
      <c r="B6513" s="1832"/>
      <c r="D6513" s="2" t="str">
        <f t="shared" si="100"/>
        <v>OK</v>
      </c>
      <c r="E6513" s="4" t="s">
        <v>1990</v>
      </c>
    </row>
    <row r="6514" spans="1:5" x14ac:dyDescent="0.2">
      <c r="A6514" s="126">
        <v>6453</v>
      </c>
      <c r="B6514" s="1832"/>
      <c r="D6514" s="2" t="str">
        <f t="shared" si="100"/>
        <v>OK</v>
      </c>
      <c r="E6514" s="4" t="s">
        <v>1990</v>
      </c>
    </row>
    <row r="6515" spans="1:5" x14ac:dyDescent="0.2">
      <c r="A6515" s="126">
        <v>6454</v>
      </c>
      <c r="B6515" s="1832"/>
      <c r="D6515" s="2" t="str">
        <f t="shared" si="100"/>
        <v>OK</v>
      </c>
      <c r="E6515" s="4" t="s">
        <v>1990</v>
      </c>
    </row>
    <row r="6516" spans="1:5" x14ac:dyDescent="0.2">
      <c r="A6516" s="126">
        <v>6455</v>
      </c>
      <c r="B6516" s="1832"/>
      <c r="D6516" s="2" t="str">
        <f t="shared" si="100"/>
        <v>OK</v>
      </c>
      <c r="E6516" s="4" t="s">
        <v>1990</v>
      </c>
    </row>
    <row r="6517" spans="1:5" x14ac:dyDescent="0.2">
      <c r="A6517" s="126">
        <v>6456</v>
      </c>
      <c r="B6517" s="1832"/>
      <c r="D6517" s="2" t="str">
        <f t="shared" si="100"/>
        <v>OK</v>
      </c>
      <c r="E6517" s="4" t="s">
        <v>1990</v>
      </c>
    </row>
    <row r="6518" spans="1:5" x14ac:dyDescent="0.2">
      <c r="A6518" s="126">
        <v>6457</v>
      </c>
      <c r="B6518" s="1832"/>
      <c r="D6518" s="2" t="str">
        <f t="shared" si="100"/>
        <v>OK</v>
      </c>
      <c r="E6518" s="4" t="s">
        <v>1990</v>
      </c>
    </row>
    <row r="6519" spans="1:5" x14ac:dyDescent="0.2">
      <c r="A6519" s="126">
        <v>6458</v>
      </c>
      <c r="B6519" s="1832"/>
      <c r="D6519" s="2" t="str">
        <f t="shared" si="100"/>
        <v>OK</v>
      </c>
      <c r="E6519" s="4" t="s">
        <v>1990</v>
      </c>
    </row>
    <row r="6520" spans="1:5" x14ac:dyDescent="0.2">
      <c r="A6520" s="126">
        <v>6459</v>
      </c>
      <c r="B6520" s="1832"/>
      <c r="D6520" s="2" t="str">
        <f t="shared" si="100"/>
        <v>OK</v>
      </c>
      <c r="E6520" s="4" t="s">
        <v>1990</v>
      </c>
    </row>
    <row r="6521" spans="1:5" x14ac:dyDescent="0.2">
      <c r="A6521" s="126">
        <v>6460</v>
      </c>
      <c r="B6521" s="1832"/>
      <c r="D6521" s="2" t="str">
        <f t="shared" si="100"/>
        <v>OK</v>
      </c>
      <c r="E6521" s="4" t="s">
        <v>1990</v>
      </c>
    </row>
    <row r="6522" spans="1:5" x14ac:dyDescent="0.2">
      <c r="A6522" s="126">
        <v>6461</v>
      </c>
      <c r="B6522" s="1832"/>
      <c r="D6522" s="2" t="str">
        <f t="shared" si="100"/>
        <v>OK</v>
      </c>
      <c r="E6522" s="4" t="s">
        <v>1990</v>
      </c>
    </row>
    <row r="6523" spans="1:5" x14ac:dyDescent="0.2">
      <c r="A6523" s="126">
        <v>6462</v>
      </c>
      <c r="B6523" s="1832"/>
      <c r="D6523" s="2" t="str">
        <f t="shared" si="100"/>
        <v>OK</v>
      </c>
      <c r="E6523" s="4" t="s">
        <v>1990</v>
      </c>
    </row>
    <row r="6524" spans="1:5" x14ac:dyDescent="0.2">
      <c r="A6524" s="126">
        <v>6463</v>
      </c>
      <c r="B6524" s="1832"/>
      <c r="D6524" s="2" t="str">
        <f t="shared" si="100"/>
        <v>OK</v>
      </c>
      <c r="E6524" s="4" t="s">
        <v>1990</v>
      </c>
    </row>
    <row r="6525" spans="1:5" x14ac:dyDescent="0.2">
      <c r="A6525" s="126">
        <v>6464</v>
      </c>
      <c r="B6525" s="1832"/>
      <c r="D6525" s="2" t="str">
        <f t="shared" si="100"/>
        <v>OK</v>
      </c>
      <c r="E6525" s="4" t="s">
        <v>1990</v>
      </c>
    </row>
    <row r="6526" spans="1:5" x14ac:dyDescent="0.2">
      <c r="A6526" s="126">
        <v>6465</v>
      </c>
      <c r="B6526" s="1832"/>
      <c r="D6526" s="2" t="str">
        <f t="shared" si="100"/>
        <v>OK</v>
      </c>
      <c r="E6526" s="4" t="s">
        <v>1990</v>
      </c>
    </row>
    <row r="6527" spans="1:5" x14ac:dyDescent="0.2">
      <c r="A6527" s="126">
        <v>6466</v>
      </c>
      <c r="B6527" s="1832"/>
      <c r="D6527" s="2" t="str">
        <f t="shared" ref="D6527:D6590" si="101">IF(ISBLANK(B6527),"OK",IF(A6527-B6527=0,"OK","Error?"))</f>
        <v>OK</v>
      </c>
      <c r="E6527" s="4" t="s">
        <v>1990</v>
      </c>
    </row>
    <row r="6528" spans="1:5" x14ac:dyDescent="0.2">
      <c r="A6528" s="126">
        <v>6467</v>
      </c>
      <c r="B6528" s="1832"/>
      <c r="D6528" s="2" t="str">
        <f t="shared" si="101"/>
        <v>OK</v>
      </c>
      <c r="E6528" s="4" t="s">
        <v>1990</v>
      </c>
    </row>
    <row r="6529" spans="1:5" x14ac:dyDescent="0.2">
      <c r="A6529" s="126">
        <v>6468</v>
      </c>
      <c r="B6529" s="1832"/>
      <c r="D6529" s="2" t="str">
        <f t="shared" si="101"/>
        <v>OK</v>
      </c>
      <c r="E6529" s="4" t="s">
        <v>1990</v>
      </c>
    </row>
    <row r="6530" spans="1:5" x14ac:dyDescent="0.2">
      <c r="A6530" s="126">
        <v>6469</v>
      </c>
      <c r="B6530" s="1832"/>
      <c r="D6530" s="2" t="str">
        <f t="shared" si="101"/>
        <v>OK</v>
      </c>
      <c r="E6530" s="4" t="s">
        <v>1990</v>
      </c>
    </row>
    <row r="6531" spans="1:5" x14ac:dyDescent="0.2">
      <c r="A6531" s="126">
        <v>6470</v>
      </c>
      <c r="B6531" s="1832"/>
      <c r="D6531" s="2" t="str">
        <f t="shared" si="101"/>
        <v>OK</v>
      </c>
      <c r="E6531" s="4" t="s">
        <v>1990</v>
      </c>
    </row>
    <row r="6532" spans="1:5" x14ac:dyDescent="0.2">
      <c r="A6532" s="126">
        <v>6471</v>
      </c>
      <c r="B6532" s="1832"/>
      <c r="D6532" s="2" t="str">
        <f t="shared" si="101"/>
        <v>OK</v>
      </c>
      <c r="E6532" s="4" t="s">
        <v>1990</v>
      </c>
    </row>
    <row r="6533" spans="1:5" x14ac:dyDescent="0.2">
      <c r="A6533" s="126">
        <v>6472</v>
      </c>
      <c r="B6533" s="1832"/>
      <c r="D6533" s="2" t="str">
        <f t="shared" si="101"/>
        <v>OK</v>
      </c>
      <c r="E6533" s="4" t="s">
        <v>1990</v>
      </c>
    </row>
    <row r="6534" spans="1:5" x14ac:dyDescent="0.2">
      <c r="A6534" s="126">
        <v>6473</v>
      </c>
      <c r="B6534" s="1832"/>
      <c r="D6534" s="2" t="str">
        <f t="shared" si="101"/>
        <v>OK</v>
      </c>
      <c r="E6534" s="4" t="s">
        <v>1990</v>
      </c>
    </row>
    <row r="6535" spans="1:5" x14ac:dyDescent="0.2">
      <c r="A6535" s="126">
        <v>6474</v>
      </c>
      <c r="B6535" s="1832"/>
      <c r="D6535" s="2" t="str">
        <f t="shared" si="101"/>
        <v>OK</v>
      </c>
      <c r="E6535" s="4" t="s">
        <v>1990</v>
      </c>
    </row>
    <row r="6536" spans="1:5" x14ac:dyDescent="0.2">
      <c r="A6536" s="126">
        <v>6475</v>
      </c>
      <c r="B6536" s="1832"/>
      <c r="D6536" s="2" t="str">
        <f t="shared" si="101"/>
        <v>OK</v>
      </c>
      <c r="E6536" s="4" t="s">
        <v>1990</v>
      </c>
    </row>
    <row r="6537" spans="1:5" x14ac:dyDescent="0.2">
      <c r="A6537" s="126">
        <v>6476</v>
      </c>
      <c r="B6537" s="1832"/>
      <c r="D6537" s="2" t="str">
        <f t="shared" si="101"/>
        <v>OK</v>
      </c>
      <c r="E6537" s="4" t="s">
        <v>1990</v>
      </c>
    </row>
    <row r="6538" spans="1:5" x14ac:dyDescent="0.2">
      <c r="A6538" s="126">
        <v>6477</v>
      </c>
      <c r="B6538" s="1832"/>
      <c r="D6538" s="2" t="str">
        <f t="shared" si="101"/>
        <v>OK</v>
      </c>
      <c r="E6538" s="4" t="s">
        <v>1990</v>
      </c>
    </row>
    <row r="6539" spans="1:5" x14ac:dyDescent="0.2">
      <c r="A6539" s="126">
        <v>6478</v>
      </c>
      <c r="B6539" s="1832"/>
      <c r="D6539" s="2" t="str">
        <f t="shared" si="101"/>
        <v>OK</v>
      </c>
      <c r="E6539" s="4" t="s">
        <v>1990</v>
      </c>
    </row>
    <row r="6540" spans="1:5" x14ac:dyDescent="0.2">
      <c r="A6540" s="126">
        <v>6479</v>
      </c>
      <c r="B6540" s="1832"/>
      <c r="D6540" s="2" t="str">
        <f t="shared" si="101"/>
        <v>OK</v>
      </c>
      <c r="E6540" s="4" t="s">
        <v>1990</v>
      </c>
    </row>
    <row r="6541" spans="1:5" x14ac:dyDescent="0.2">
      <c r="A6541" s="126">
        <v>6480</v>
      </c>
      <c r="B6541" s="1832"/>
      <c r="D6541" s="2" t="str">
        <f t="shared" si="101"/>
        <v>OK</v>
      </c>
      <c r="E6541" s="4" t="s">
        <v>1990</v>
      </c>
    </row>
    <row r="6542" spans="1:5" x14ac:dyDescent="0.2">
      <c r="A6542" s="126">
        <v>6481</v>
      </c>
      <c r="B6542" s="1832"/>
      <c r="D6542" s="2" t="str">
        <f t="shared" si="101"/>
        <v>OK</v>
      </c>
      <c r="E6542" s="4" t="s">
        <v>1990</v>
      </c>
    </row>
    <row r="6543" spans="1:5" x14ac:dyDescent="0.2">
      <c r="A6543" s="126">
        <v>6482</v>
      </c>
      <c r="B6543" s="1832"/>
      <c r="D6543" s="2" t="str">
        <f t="shared" si="101"/>
        <v>OK</v>
      </c>
      <c r="E6543" s="4" t="s">
        <v>1990</v>
      </c>
    </row>
    <row r="6544" spans="1:5" x14ac:dyDescent="0.2">
      <c r="A6544" s="126">
        <v>6483</v>
      </c>
      <c r="B6544" s="1832"/>
      <c r="D6544" s="2" t="str">
        <f t="shared" si="101"/>
        <v>OK</v>
      </c>
      <c r="E6544" s="4" t="s">
        <v>1990</v>
      </c>
    </row>
    <row r="6545" spans="1:5" x14ac:dyDescent="0.2">
      <c r="A6545" s="126">
        <v>6484</v>
      </c>
      <c r="B6545" s="1832"/>
      <c r="D6545" s="2" t="str">
        <f t="shared" si="101"/>
        <v>OK</v>
      </c>
      <c r="E6545" s="4" t="s">
        <v>1990</v>
      </c>
    </row>
    <row r="6546" spans="1:5" x14ac:dyDescent="0.2">
      <c r="A6546" s="126">
        <v>6485</v>
      </c>
      <c r="B6546" s="1832"/>
      <c r="D6546" s="2" t="str">
        <f t="shared" si="101"/>
        <v>OK</v>
      </c>
      <c r="E6546" s="4" t="s">
        <v>1990</v>
      </c>
    </row>
    <row r="6547" spans="1:5" x14ac:dyDescent="0.2">
      <c r="A6547" s="126">
        <v>6486</v>
      </c>
      <c r="B6547" s="1832"/>
      <c r="D6547" s="2" t="str">
        <f t="shared" si="101"/>
        <v>OK</v>
      </c>
      <c r="E6547" s="4" t="s">
        <v>1990</v>
      </c>
    </row>
    <row r="6548" spans="1:5" x14ac:dyDescent="0.2">
      <c r="A6548" s="126">
        <v>6487</v>
      </c>
      <c r="B6548" s="1832"/>
      <c r="D6548" s="2" t="str">
        <f t="shared" si="101"/>
        <v>OK</v>
      </c>
      <c r="E6548" s="4" t="s">
        <v>1990</v>
      </c>
    </row>
    <row r="6549" spans="1:5" x14ac:dyDescent="0.2">
      <c r="A6549" s="126">
        <v>6488</v>
      </c>
      <c r="B6549" s="1832"/>
      <c r="D6549" s="2" t="str">
        <f t="shared" si="101"/>
        <v>OK</v>
      </c>
      <c r="E6549" s="4" t="s">
        <v>1990</v>
      </c>
    </row>
    <row r="6550" spans="1:5" x14ac:dyDescent="0.2">
      <c r="A6550" s="126">
        <v>6489</v>
      </c>
      <c r="B6550" s="1832"/>
      <c r="D6550" s="2" t="str">
        <f t="shared" si="101"/>
        <v>OK</v>
      </c>
      <c r="E6550" s="4" t="s">
        <v>1990</v>
      </c>
    </row>
    <row r="6551" spans="1:5" x14ac:dyDescent="0.2">
      <c r="A6551" s="126">
        <v>6490</v>
      </c>
      <c r="B6551" s="1832"/>
      <c r="D6551" s="2" t="str">
        <f t="shared" si="101"/>
        <v>OK</v>
      </c>
      <c r="E6551" s="4" t="s">
        <v>1990</v>
      </c>
    </row>
    <row r="6552" spans="1:5" x14ac:dyDescent="0.2">
      <c r="A6552" s="126">
        <v>6491</v>
      </c>
      <c r="B6552" s="1832"/>
      <c r="D6552" s="2" t="str">
        <f t="shared" si="101"/>
        <v>OK</v>
      </c>
      <c r="E6552" s="4" t="s">
        <v>1990</v>
      </c>
    </row>
    <row r="6553" spans="1:5" x14ac:dyDescent="0.2">
      <c r="A6553" s="126">
        <v>6492</v>
      </c>
      <c r="B6553" s="1832"/>
      <c r="D6553" s="2" t="str">
        <f t="shared" si="101"/>
        <v>OK</v>
      </c>
      <c r="E6553" s="4" t="s">
        <v>1990</v>
      </c>
    </row>
    <row r="6554" spans="1:5" x14ac:dyDescent="0.2">
      <c r="A6554" s="126">
        <v>6493</v>
      </c>
      <c r="B6554" s="1832"/>
      <c r="D6554" s="2" t="str">
        <f t="shared" si="101"/>
        <v>OK</v>
      </c>
      <c r="E6554" s="4" t="s">
        <v>1990</v>
      </c>
    </row>
    <row r="6555" spans="1:5" x14ac:dyDescent="0.2">
      <c r="A6555" s="126">
        <v>6494</v>
      </c>
      <c r="B6555" s="1832"/>
      <c r="D6555" s="2" t="str">
        <f t="shared" si="101"/>
        <v>OK</v>
      </c>
      <c r="E6555" s="4" t="s">
        <v>1990</v>
      </c>
    </row>
    <row r="6556" spans="1:5" x14ac:dyDescent="0.2">
      <c r="A6556" s="126">
        <v>6495</v>
      </c>
      <c r="B6556" s="1832"/>
      <c r="D6556" s="2" t="str">
        <f t="shared" si="101"/>
        <v>OK</v>
      </c>
      <c r="E6556" s="4" t="s">
        <v>1990</v>
      </c>
    </row>
    <row r="6557" spans="1:5" x14ac:dyDescent="0.2">
      <c r="A6557" s="126">
        <v>6496</v>
      </c>
      <c r="B6557" s="1832"/>
      <c r="D6557" s="2" t="str">
        <f t="shared" si="101"/>
        <v>OK</v>
      </c>
      <c r="E6557" s="4" t="s">
        <v>1990</v>
      </c>
    </row>
    <row r="6558" spans="1:5" x14ac:dyDescent="0.2">
      <c r="A6558" s="126">
        <v>6497</v>
      </c>
      <c r="B6558" s="1832"/>
      <c r="D6558" s="2" t="str">
        <f t="shared" si="101"/>
        <v>OK</v>
      </c>
      <c r="E6558" s="4" t="s">
        <v>1990</v>
      </c>
    </row>
    <row r="6559" spans="1:5" x14ac:dyDescent="0.2">
      <c r="A6559" s="126">
        <v>6498</v>
      </c>
      <c r="B6559" s="1832"/>
      <c r="D6559" s="2" t="str">
        <f t="shared" si="101"/>
        <v>OK</v>
      </c>
      <c r="E6559" s="4" t="s">
        <v>1990</v>
      </c>
    </row>
    <row r="6560" spans="1:5" x14ac:dyDescent="0.2">
      <c r="A6560" s="126">
        <v>6499</v>
      </c>
      <c r="B6560" s="1832"/>
      <c r="D6560" s="2" t="str">
        <f t="shared" si="101"/>
        <v>OK</v>
      </c>
      <c r="E6560" s="4" t="s">
        <v>1990</v>
      </c>
    </row>
    <row r="6561" spans="1:5" x14ac:dyDescent="0.2">
      <c r="A6561" s="126">
        <v>6500</v>
      </c>
      <c r="B6561" s="1832"/>
      <c r="D6561" s="2" t="str">
        <f t="shared" si="101"/>
        <v>OK</v>
      </c>
      <c r="E6561" s="4" t="s">
        <v>1990</v>
      </c>
    </row>
    <row r="6562" spans="1:5" x14ac:dyDescent="0.2">
      <c r="A6562" s="126">
        <v>6501</v>
      </c>
      <c r="B6562" s="1832"/>
      <c r="D6562" s="2" t="str">
        <f t="shared" si="101"/>
        <v>OK</v>
      </c>
      <c r="E6562" s="4" t="s">
        <v>1990</v>
      </c>
    </row>
    <row r="6563" spans="1:5" x14ac:dyDescent="0.2">
      <c r="A6563" s="126">
        <v>6502</v>
      </c>
      <c r="B6563" s="1832"/>
      <c r="D6563" s="2" t="str">
        <f t="shared" si="101"/>
        <v>OK</v>
      </c>
      <c r="E6563" s="4" t="s">
        <v>1990</v>
      </c>
    </row>
    <row r="6564" spans="1:5" x14ac:dyDescent="0.2">
      <c r="A6564" s="126">
        <v>6503</v>
      </c>
      <c r="B6564" s="1832"/>
      <c r="D6564" s="2" t="str">
        <f t="shared" si="101"/>
        <v>OK</v>
      </c>
      <c r="E6564" s="4" t="s">
        <v>1990</v>
      </c>
    </row>
    <row r="6565" spans="1:5" x14ac:dyDescent="0.2">
      <c r="A6565" s="126">
        <v>6504</v>
      </c>
      <c r="B6565" s="1832"/>
      <c r="D6565" s="2" t="str">
        <f t="shared" si="101"/>
        <v>OK</v>
      </c>
      <c r="E6565" s="4" t="s">
        <v>1990</v>
      </c>
    </row>
    <row r="6566" spans="1:5" x14ac:dyDescent="0.2">
      <c r="A6566" s="126">
        <v>6505</v>
      </c>
      <c r="B6566" s="1832"/>
      <c r="D6566" s="2" t="str">
        <f t="shared" si="101"/>
        <v>OK</v>
      </c>
      <c r="E6566" s="4" t="s">
        <v>1990</v>
      </c>
    </row>
    <row r="6567" spans="1:5" x14ac:dyDescent="0.2">
      <c r="A6567" s="126">
        <v>6506</v>
      </c>
      <c r="B6567" s="1832"/>
      <c r="D6567" s="2" t="str">
        <f t="shared" si="101"/>
        <v>OK</v>
      </c>
      <c r="E6567" s="4" t="s">
        <v>1990</v>
      </c>
    </row>
    <row r="6568" spans="1:5" x14ac:dyDescent="0.2">
      <c r="A6568" s="126">
        <v>6507</v>
      </c>
      <c r="B6568" s="1832"/>
      <c r="D6568" s="2" t="str">
        <f t="shared" si="101"/>
        <v>OK</v>
      </c>
      <c r="E6568" s="4" t="s">
        <v>1990</v>
      </c>
    </row>
    <row r="6569" spans="1:5" x14ac:dyDescent="0.2">
      <c r="A6569" s="126">
        <v>6508</v>
      </c>
      <c r="B6569" s="1832"/>
      <c r="D6569" s="2" t="str">
        <f t="shared" si="101"/>
        <v>OK</v>
      </c>
      <c r="E6569" s="4" t="s">
        <v>1990</v>
      </c>
    </row>
    <row r="6570" spans="1:5" x14ac:dyDescent="0.2">
      <c r="A6570" s="126">
        <v>6509</v>
      </c>
      <c r="B6570" s="1832"/>
      <c r="D6570" s="2" t="str">
        <f t="shared" si="101"/>
        <v>OK</v>
      </c>
      <c r="E6570" s="4" t="s">
        <v>1990</v>
      </c>
    </row>
    <row r="6571" spans="1:5" x14ac:dyDescent="0.2">
      <c r="A6571" s="126">
        <v>6510</v>
      </c>
      <c r="B6571" s="1832"/>
      <c r="D6571" s="2" t="str">
        <f t="shared" si="101"/>
        <v>OK</v>
      </c>
      <c r="E6571" s="4" t="s">
        <v>1990</v>
      </c>
    </row>
    <row r="6572" spans="1:5" x14ac:dyDescent="0.2">
      <c r="A6572" s="126">
        <v>6511</v>
      </c>
      <c r="B6572" s="1832"/>
      <c r="D6572" s="2" t="str">
        <f t="shared" si="101"/>
        <v>OK</v>
      </c>
      <c r="E6572" s="4" t="s">
        <v>1990</v>
      </c>
    </row>
    <row r="6573" spans="1:5" x14ac:dyDescent="0.2">
      <c r="A6573" s="126">
        <v>6512</v>
      </c>
      <c r="B6573" s="1832"/>
      <c r="D6573" s="2" t="str">
        <f t="shared" si="101"/>
        <v>OK</v>
      </c>
      <c r="E6573" s="4" t="s">
        <v>1990</v>
      </c>
    </row>
    <row r="6574" spans="1:5" x14ac:dyDescent="0.2">
      <c r="A6574" s="126">
        <v>6513</v>
      </c>
      <c r="B6574" s="1832"/>
      <c r="D6574" s="2" t="str">
        <f t="shared" si="101"/>
        <v>OK</v>
      </c>
      <c r="E6574" s="4" t="s">
        <v>1990</v>
      </c>
    </row>
    <row r="6575" spans="1:5" x14ac:dyDescent="0.2">
      <c r="A6575" s="126">
        <v>6514</v>
      </c>
      <c r="B6575" s="1832"/>
      <c r="D6575" s="2" t="str">
        <f t="shared" si="101"/>
        <v>OK</v>
      </c>
      <c r="E6575" s="4" t="s">
        <v>1990</v>
      </c>
    </row>
    <row r="6576" spans="1:5" x14ac:dyDescent="0.2">
      <c r="A6576" s="126">
        <v>6515</v>
      </c>
      <c r="B6576" s="1832"/>
      <c r="D6576" s="2" t="str">
        <f t="shared" si="101"/>
        <v>OK</v>
      </c>
      <c r="E6576" s="4" t="s">
        <v>1990</v>
      </c>
    </row>
    <row r="6577" spans="1:5" x14ac:dyDescent="0.2">
      <c r="A6577" s="126">
        <v>6516</v>
      </c>
      <c r="B6577" s="1832"/>
      <c r="D6577" s="2" t="str">
        <f t="shared" si="101"/>
        <v>OK</v>
      </c>
      <c r="E6577" s="4" t="s">
        <v>1990</v>
      </c>
    </row>
    <row r="6578" spans="1:5" x14ac:dyDescent="0.2">
      <c r="A6578" s="126">
        <v>6517</v>
      </c>
      <c r="B6578" s="1832"/>
      <c r="D6578" s="2" t="str">
        <f t="shared" si="101"/>
        <v>OK</v>
      </c>
      <c r="E6578" s="4" t="s">
        <v>1990</v>
      </c>
    </row>
    <row r="6579" spans="1:5" x14ac:dyDescent="0.2">
      <c r="A6579" s="126">
        <v>6518</v>
      </c>
      <c r="B6579" s="1832"/>
      <c r="D6579" s="2" t="str">
        <f t="shared" si="101"/>
        <v>OK</v>
      </c>
      <c r="E6579" s="4" t="s">
        <v>1990</v>
      </c>
    </row>
    <row r="6580" spans="1:5" x14ac:dyDescent="0.2">
      <c r="A6580" s="126">
        <v>6519</v>
      </c>
      <c r="B6580" s="1832"/>
      <c r="D6580" s="2" t="str">
        <f t="shared" si="101"/>
        <v>OK</v>
      </c>
      <c r="E6580" s="4" t="s">
        <v>1990</v>
      </c>
    </row>
    <row r="6581" spans="1:5" x14ac:dyDescent="0.2">
      <c r="A6581" s="126">
        <v>6520</v>
      </c>
      <c r="B6581" s="1832"/>
      <c r="D6581" s="2" t="str">
        <f t="shared" si="101"/>
        <v>OK</v>
      </c>
      <c r="E6581" s="4" t="s">
        <v>1990</v>
      </c>
    </row>
    <row r="6582" spans="1:5" x14ac:dyDescent="0.2">
      <c r="A6582" s="126">
        <v>6521</v>
      </c>
      <c r="B6582" s="1832"/>
      <c r="D6582" s="2" t="str">
        <f t="shared" si="101"/>
        <v>OK</v>
      </c>
      <c r="E6582" s="4" t="s">
        <v>1990</v>
      </c>
    </row>
    <row r="6583" spans="1:5" x14ac:dyDescent="0.2">
      <c r="A6583" s="126">
        <v>6522</v>
      </c>
      <c r="B6583" s="1832"/>
      <c r="D6583" s="2" t="str">
        <f t="shared" si="101"/>
        <v>OK</v>
      </c>
      <c r="E6583" s="4" t="s">
        <v>1990</v>
      </c>
    </row>
    <row r="6584" spans="1:5" x14ac:dyDescent="0.2">
      <c r="A6584" s="126">
        <v>6523</v>
      </c>
      <c r="B6584" s="1832"/>
      <c r="D6584" s="2" t="str">
        <f t="shared" si="101"/>
        <v>OK</v>
      </c>
      <c r="E6584" s="4" t="s">
        <v>1990</v>
      </c>
    </row>
    <row r="6585" spans="1:5" x14ac:dyDescent="0.2">
      <c r="A6585" s="126">
        <v>6524</v>
      </c>
      <c r="B6585" s="1832"/>
      <c r="D6585" s="2" t="str">
        <f t="shared" si="101"/>
        <v>OK</v>
      </c>
      <c r="E6585" s="4" t="s">
        <v>1990</v>
      </c>
    </row>
    <row r="6586" spans="1:5" x14ac:dyDescent="0.2">
      <c r="A6586" s="126">
        <v>6525</v>
      </c>
      <c r="B6586" s="1832"/>
      <c r="D6586" s="2" t="str">
        <f t="shared" si="101"/>
        <v>OK</v>
      </c>
      <c r="E6586" s="4" t="s">
        <v>1990</v>
      </c>
    </row>
    <row r="6587" spans="1:5" x14ac:dyDescent="0.2">
      <c r="A6587" s="126">
        <v>6526</v>
      </c>
      <c r="B6587" s="1832"/>
      <c r="D6587" s="2" t="str">
        <f t="shared" si="101"/>
        <v>OK</v>
      </c>
      <c r="E6587" s="4" t="s">
        <v>1990</v>
      </c>
    </row>
    <row r="6588" spans="1:5" x14ac:dyDescent="0.2">
      <c r="A6588" s="126">
        <v>6527</v>
      </c>
      <c r="B6588" s="1832"/>
      <c r="D6588" s="2" t="str">
        <f t="shared" si="101"/>
        <v>OK</v>
      </c>
      <c r="E6588" s="4" t="s">
        <v>1990</v>
      </c>
    </row>
    <row r="6589" spans="1:5" x14ac:dyDescent="0.2">
      <c r="A6589" s="126">
        <v>6528</v>
      </c>
      <c r="B6589" s="1832"/>
      <c r="D6589" s="2" t="str">
        <f t="shared" si="101"/>
        <v>OK</v>
      </c>
      <c r="E6589" s="4" t="s">
        <v>1990</v>
      </c>
    </row>
    <row r="6590" spans="1:5" x14ac:dyDescent="0.2">
      <c r="A6590" s="126">
        <v>6529</v>
      </c>
      <c r="B6590" s="1832"/>
      <c r="D6590" s="2" t="str">
        <f t="shared" si="101"/>
        <v>OK</v>
      </c>
      <c r="E6590" s="4" t="s">
        <v>1990</v>
      </c>
    </row>
    <row r="6591" spans="1:5" x14ac:dyDescent="0.2">
      <c r="A6591" s="126">
        <v>6530</v>
      </c>
      <c r="B6591" s="1832"/>
      <c r="D6591" s="2" t="str">
        <f t="shared" ref="D6591:D6654" si="102">IF(ISBLANK(B6591),"OK",IF(A6591-B6591=0,"OK","Error?"))</f>
        <v>OK</v>
      </c>
      <c r="E6591" s="4" t="s">
        <v>1990</v>
      </c>
    </row>
    <row r="6592" spans="1:5" x14ac:dyDescent="0.2">
      <c r="A6592" s="126">
        <v>6531</v>
      </c>
      <c r="B6592" s="1832"/>
      <c r="D6592" s="2" t="str">
        <f t="shared" si="102"/>
        <v>OK</v>
      </c>
      <c r="E6592" s="4" t="s">
        <v>1990</v>
      </c>
    </row>
    <row r="6593" spans="1:5" x14ac:dyDescent="0.2">
      <c r="A6593" s="126">
        <v>6532</v>
      </c>
      <c r="B6593" s="1832"/>
      <c r="D6593" s="2" t="str">
        <f t="shared" si="102"/>
        <v>OK</v>
      </c>
      <c r="E6593" s="4" t="s">
        <v>1990</v>
      </c>
    </row>
    <row r="6594" spans="1:5" x14ac:dyDescent="0.2">
      <c r="A6594" s="126">
        <v>6533</v>
      </c>
      <c r="B6594" s="1832"/>
      <c r="D6594" s="2" t="str">
        <f t="shared" si="102"/>
        <v>OK</v>
      </c>
      <c r="E6594" s="4" t="s">
        <v>1990</v>
      </c>
    </row>
    <row r="6595" spans="1:5" x14ac:dyDescent="0.2">
      <c r="A6595" s="126">
        <v>6534</v>
      </c>
      <c r="B6595" s="1832"/>
      <c r="D6595" s="2" t="str">
        <f t="shared" si="102"/>
        <v>OK</v>
      </c>
      <c r="E6595" s="4" t="s">
        <v>1990</v>
      </c>
    </row>
    <row r="6596" spans="1:5" x14ac:dyDescent="0.2">
      <c r="A6596" s="126">
        <v>6535</v>
      </c>
      <c r="B6596" s="1832"/>
      <c r="D6596" s="2" t="str">
        <f t="shared" si="102"/>
        <v>OK</v>
      </c>
      <c r="E6596" s="4" t="s">
        <v>1990</v>
      </c>
    </row>
    <row r="6597" spans="1:5" x14ac:dyDescent="0.2">
      <c r="A6597" s="126">
        <v>6536</v>
      </c>
      <c r="B6597" s="1832"/>
      <c r="D6597" s="2" t="str">
        <f t="shared" si="102"/>
        <v>OK</v>
      </c>
      <c r="E6597" s="4" t="s">
        <v>1990</v>
      </c>
    </row>
    <row r="6598" spans="1:5" x14ac:dyDescent="0.2">
      <c r="A6598" s="126">
        <v>6537</v>
      </c>
      <c r="B6598" s="1832"/>
      <c r="D6598" s="2" t="str">
        <f t="shared" si="102"/>
        <v>OK</v>
      </c>
      <c r="E6598" s="4" t="s">
        <v>1990</v>
      </c>
    </row>
    <row r="6599" spans="1:5" x14ac:dyDescent="0.2">
      <c r="A6599" s="126">
        <v>6538</v>
      </c>
      <c r="B6599" s="1832"/>
      <c r="D6599" s="2" t="str">
        <f t="shared" si="102"/>
        <v>OK</v>
      </c>
      <c r="E6599" s="4" t="s">
        <v>1990</v>
      </c>
    </row>
    <row r="6600" spans="1:5" x14ac:dyDescent="0.2">
      <c r="A6600" s="126">
        <v>6539</v>
      </c>
      <c r="B6600" s="1832"/>
      <c r="D6600" s="2" t="str">
        <f t="shared" si="102"/>
        <v>OK</v>
      </c>
      <c r="E6600" s="4" t="s">
        <v>1990</v>
      </c>
    </row>
    <row r="6601" spans="1:5" x14ac:dyDescent="0.2">
      <c r="A6601" s="126">
        <v>6540</v>
      </c>
      <c r="B6601" s="1832"/>
      <c r="D6601" s="2" t="str">
        <f t="shared" si="102"/>
        <v>OK</v>
      </c>
      <c r="E6601" s="4" t="s">
        <v>1990</v>
      </c>
    </row>
    <row r="6602" spans="1:5" x14ac:dyDescent="0.2">
      <c r="A6602" s="126">
        <v>6541</v>
      </c>
      <c r="B6602" s="1832"/>
      <c r="D6602" s="2" t="str">
        <f t="shared" si="102"/>
        <v>OK</v>
      </c>
      <c r="E6602" s="4" t="s">
        <v>1990</v>
      </c>
    </row>
    <row r="6603" spans="1:5" x14ac:dyDescent="0.2">
      <c r="A6603" s="126">
        <v>6542</v>
      </c>
      <c r="B6603" s="1832"/>
      <c r="D6603" s="2" t="str">
        <f t="shared" si="102"/>
        <v>OK</v>
      </c>
      <c r="E6603" s="4" t="s">
        <v>1990</v>
      </c>
    </row>
    <row r="6604" spans="1:5" x14ac:dyDescent="0.2">
      <c r="A6604" s="126">
        <v>6543</v>
      </c>
      <c r="B6604" s="1832"/>
      <c r="D6604" s="2" t="str">
        <f t="shared" si="102"/>
        <v>OK</v>
      </c>
      <c r="E6604" s="4" t="s">
        <v>1990</v>
      </c>
    </row>
    <row r="6605" spans="1:5" x14ac:dyDescent="0.2">
      <c r="A6605" s="126">
        <v>6544</v>
      </c>
      <c r="B6605" s="1832"/>
      <c r="D6605" s="2" t="str">
        <f t="shared" si="102"/>
        <v>OK</v>
      </c>
      <c r="E6605" s="4" t="s">
        <v>1990</v>
      </c>
    </row>
    <row r="6606" spans="1:5" x14ac:dyDescent="0.2">
      <c r="A6606" s="126">
        <v>6545</v>
      </c>
      <c r="B6606" s="1832"/>
      <c r="D6606" s="2" t="str">
        <f t="shared" si="102"/>
        <v>OK</v>
      </c>
      <c r="E6606" s="4" t="s">
        <v>1990</v>
      </c>
    </row>
    <row r="6607" spans="1:5" x14ac:dyDescent="0.2">
      <c r="A6607" s="126">
        <v>6546</v>
      </c>
      <c r="B6607" s="1832"/>
      <c r="D6607" s="2" t="str">
        <f t="shared" si="102"/>
        <v>OK</v>
      </c>
      <c r="E6607" s="4" t="s">
        <v>1990</v>
      </c>
    </row>
    <row r="6608" spans="1:5" x14ac:dyDescent="0.2">
      <c r="A6608" s="126">
        <v>6547</v>
      </c>
      <c r="B6608" s="1832"/>
      <c r="D6608" s="2" t="str">
        <f t="shared" si="102"/>
        <v>OK</v>
      </c>
      <c r="E6608" s="4" t="s">
        <v>1990</v>
      </c>
    </row>
    <row r="6609" spans="1:5" x14ac:dyDescent="0.2">
      <c r="A6609" s="126">
        <v>6548</v>
      </c>
      <c r="B6609" s="1832"/>
      <c r="D6609" s="2" t="str">
        <f t="shared" si="102"/>
        <v>OK</v>
      </c>
      <c r="E6609" s="4" t="s">
        <v>1990</v>
      </c>
    </row>
    <row r="6610" spans="1:5" x14ac:dyDescent="0.2">
      <c r="A6610" s="126">
        <v>6549</v>
      </c>
      <c r="B6610" s="1832"/>
      <c r="D6610" s="2" t="str">
        <f t="shared" si="102"/>
        <v>OK</v>
      </c>
      <c r="E6610" s="4" t="s">
        <v>1990</v>
      </c>
    </row>
    <row r="6611" spans="1:5" x14ac:dyDescent="0.2">
      <c r="A6611" s="126">
        <v>6550</v>
      </c>
      <c r="B6611" s="1832"/>
      <c r="D6611" s="2" t="str">
        <f t="shared" si="102"/>
        <v>OK</v>
      </c>
      <c r="E6611" s="4" t="s">
        <v>1990</v>
      </c>
    </row>
    <row r="6612" spans="1:5" x14ac:dyDescent="0.2">
      <c r="A6612" s="126">
        <v>6551</v>
      </c>
      <c r="B6612" s="1832"/>
      <c r="D6612" s="2" t="str">
        <f t="shared" si="102"/>
        <v>OK</v>
      </c>
      <c r="E6612" s="4" t="s">
        <v>1990</v>
      </c>
    </row>
    <row r="6613" spans="1:5" x14ac:dyDescent="0.2">
      <c r="A6613" s="126">
        <v>6552</v>
      </c>
      <c r="B6613" s="1832"/>
      <c r="D6613" s="2" t="str">
        <f t="shared" si="102"/>
        <v>OK</v>
      </c>
      <c r="E6613" s="4" t="s">
        <v>1990</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4437756</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1894</v>
      </c>
    </row>
    <row r="6842" spans="1:5" x14ac:dyDescent="0.2">
      <c r="A6842" s="126">
        <v>6781</v>
      </c>
      <c r="B6842" s="1832"/>
      <c r="D6842" s="2" t="str">
        <f t="shared" si="105"/>
        <v>OK</v>
      </c>
      <c r="E6842" s="1" t="s">
        <v>1894</v>
      </c>
    </row>
    <row r="6843" spans="1:5" x14ac:dyDescent="0.2">
      <c r="A6843" s="126">
        <v>6782</v>
      </c>
      <c r="B6843" s="1832"/>
      <c r="D6843" s="2" t="str">
        <f t="shared" si="105"/>
        <v>OK</v>
      </c>
      <c r="E6843" s="1" t="s">
        <v>1894</v>
      </c>
    </row>
    <row r="6844" spans="1:5" x14ac:dyDescent="0.2">
      <c r="A6844">
        <v>6783</v>
      </c>
      <c r="B6844" s="1832">
        <f>'Expenditures 15-22'!I5</f>
        <v>924576</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6035134</v>
      </c>
      <c r="D6848" s="2" t="str">
        <f t="shared" si="106"/>
        <v>Error?</v>
      </c>
    </row>
    <row r="6849" spans="1:4" x14ac:dyDescent="0.2">
      <c r="A6849">
        <v>6788</v>
      </c>
      <c r="B6849" s="1832">
        <f>'Expenditures 15-22'!I8</f>
        <v>184250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3027610</v>
      </c>
      <c r="D6853" s="2" t="str">
        <f t="shared" si="106"/>
        <v>Error?</v>
      </c>
    </row>
    <row r="6854" spans="1:4" x14ac:dyDescent="0.2">
      <c r="A6854">
        <v>6793</v>
      </c>
      <c r="B6854" s="1832">
        <f>'Expenditures 15-22'!I10</f>
        <v>276670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311906</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1821</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603674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1699223</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55697</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55697</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9543</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9543</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525</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540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5248</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903386</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903386</v>
      </c>
      <c r="D6940" s="2" t="str">
        <f t="shared" si="107"/>
        <v>Error?</v>
      </c>
    </row>
    <row r="6941" spans="1:4" x14ac:dyDescent="0.2">
      <c r="A6941" s="126">
        <v>6880</v>
      </c>
      <c r="B6941" s="1832"/>
      <c r="D6941" s="2" t="str">
        <f t="shared" si="107"/>
        <v>OK</v>
      </c>
    </row>
    <row r="6942" spans="1:4" x14ac:dyDescent="0.2">
      <c r="A6942">
        <v>6881</v>
      </c>
      <c r="B6942" s="1832">
        <f>'Expenditures 15-22'!I53</f>
        <v>6313</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385550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385550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2346</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237411</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115722</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629905</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4270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1331243</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1335513</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2036971</v>
      </c>
      <c r="D6977" s="2" t="str">
        <f t="shared" si="108"/>
        <v>Error?</v>
      </c>
    </row>
    <row r="6978" spans="1:4" x14ac:dyDescent="0.2">
      <c r="A6978">
        <v>6917</v>
      </c>
      <c r="B6978" s="1832">
        <f>'Expenditures 15-22'!J74</f>
        <v>385550</v>
      </c>
      <c r="D6978" s="2" t="str">
        <f t="shared" si="108"/>
        <v>Error?</v>
      </c>
    </row>
    <row r="6979" spans="1:4" x14ac:dyDescent="0.2">
      <c r="A6979">
        <v>6918</v>
      </c>
      <c r="B6979" s="1832">
        <f>'Expenditures 15-22'!I75</f>
        <v>2098</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9096949</v>
      </c>
      <c r="D6983" s="2" t="str">
        <f t="shared" si="108"/>
        <v>Error?</v>
      </c>
    </row>
    <row r="6984" spans="1:4" x14ac:dyDescent="0.2">
      <c r="A6984">
        <v>6923</v>
      </c>
      <c r="B6984" s="1832">
        <f>'Expenditures 15-22'!K86</f>
        <v>9096949</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9096949</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3738292</v>
      </c>
      <c r="D7020" s="2" t="str">
        <f t="shared" si="108"/>
        <v>Error?</v>
      </c>
    </row>
    <row r="7021" spans="1:4" x14ac:dyDescent="0.2">
      <c r="A7021">
        <v>6960</v>
      </c>
      <c r="B7021" s="1832">
        <f>'Expenditures 15-22'!J114</f>
        <v>385550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11446</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11446</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11446</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6718375</v>
      </c>
      <c r="D7042" s="2" t="str">
        <f t="shared" si="109"/>
        <v>Error?</v>
      </c>
    </row>
    <row r="7043" spans="1:5" x14ac:dyDescent="0.2">
      <c r="A7043">
        <v>6982</v>
      </c>
      <c r="B7043" s="1832">
        <f>'Revenues 9-14'!H9</f>
        <v>0</v>
      </c>
      <c r="D7043" s="2" t="str">
        <f t="shared" si="109"/>
        <v>Error?</v>
      </c>
    </row>
    <row r="7044" spans="1:5" x14ac:dyDescent="0.2">
      <c r="A7044">
        <v>6983</v>
      </c>
      <c r="B7044" s="1832">
        <f>'Revenues 9-14'!D106</f>
        <v>315</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11446</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5357785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19717</v>
      </c>
      <c r="D7067" s="2" t="str">
        <f t="shared" si="109"/>
        <v>Error?</v>
      </c>
    </row>
    <row r="7068" spans="1:4" x14ac:dyDescent="0.2">
      <c r="A7068">
        <v>7007</v>
      </c>
      <c r="B7068" s="1832">
        <f>'Expenditures 15-22'!K205</f>
        <v>19717</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243603</v>
      </c>
      <c r="D7073" s="2" t="str">
        <f t="shared" si="109"/>
        <v>Error?</v>
      </c>
    </row>
    <row r="7074" spans="1:4" x14ac:dyDescent="0.2">
      <c r="A7074">
        <v>7013</v>
      </c>
      <c r="B7074" s="1832">
        <f>'Expenditures 15-22'!K216</f>
        <v>243603</v>
      </c>
      <c r="D7074" s="2" t="str">
        <f t="shared" si="109"/>
        <v>Error?</v>
      </c>
    </row>
    <row r="7075" spans="1:4" x14ac:dyDescent="0.2">
      <c r="A7075">
        <v>7014</v>
      </c>
      <c r="B7075" s="1832">
        <f>'Expenditures 15-22'!D218</f>
        <v>116470</v>
      </c>
      <c r="D7075" s="2" t="str">
        <f t="shared" si="109"/>
        <v>Error?</v>
      </c>
    </row>
    <row r="7076" spans="1:4" x14ac:dyDescent="0.2">
      <c r="A7076">
        <v>7015</v>
      </c>
      <c r="B7076" s="1832">
        <f>'Expenditures 15-22'!K218</f>
        <v>116470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6913</v>
      </c>
      <c r="D7079" s="2" t="str">
        <f t="shared" si="109"/>
        <v>Error?</v>
      </c>
    </row>
    <row r="7080" spans="1:4" x14ac:dyDescent="0.2">
      <c r="A7080">
        <v>7019</v>
      </c>
      <c r="B7080" s="1832">
        <f>'Expenditures 15-22'!K226</f>
        <v>6913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77612</v>
      </c>
      <c r="D7093" s="2" t="str">
        <f t="shared" si="109"/>
        <v>Error?</v>
      </c>
    </row>
    <row r="7094" spans="1:4" x14ac:dyDescent="0.2">
      <c r="A7094">
        <v>7033</v>
      </c>
      <c r="B7094" s="1832">
        <f>'Expenditures 15-22'!K254</f>
        <v>77612</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24356</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24356</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2656830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2656830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106287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106287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1784684</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1784684</v>
      </c>
      <c r="D7171" s="2" t="str">
        <f t="shared" si="111"/>
        <v>Error?</v>
      </c>
    </row>
    <row r="7172" spans="1:4" x14ac:dyDescent="0.2">
      <c r="A7172">
        <v>7111</v>
      </c>
      <c r="B7172" s="1832">
        <f>'Expenditures 15-22'!C325</f>
        <v>375104</v>
      </c>
      <c r="D7172" s="2" t="str">
        <f t="shared" si="111"/>
        <v>Error?</v>
      </c>
    </row>
    <row r="7173" spans="1:4" x14ac:dyDescent="0.2">
      <c r="A7173">
        <v>7112</v>
      </c>
      <c r="B7173" s="1832">
        <f>'Expenditures 15-22'!D325</f>
        <v>40361</v>
      </c>
      <c r="D7173" s="2" t="str">
        <f t="shared" si="111"/>
        <v>Error?</v>
      </c>
    </row>
    <row r="7174" spans="1:4" x14ac:dyDescent="0.2">
      <c r="A7174">
        <v>7113</v>
      </c>
      <c r="B7174" s="1832">
        <f>'Expenditures 15-22'!E325</f>
        <v>1155357</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1570822</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168649</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168649</v>
      </c>
      <c r="D7198" s="2" t="str">
        <f t="shared" si="111"/>
        <v>Error?</v>
      </c>
    </row>
    <row r="7199" spans="1:4" x14ac:dyDescent="0.2">
      <c r="A7199">
        <v>7138</v>
      </c>
      <c r="B7199" s="1832">
        <f>'Expenditures 15-22'!C330</f>
        <v>375104</v>
      </c>
      <c r="D7199" s="2" t="str">
        <f t="shared" si="111"/>
        <v>Error?</v>
      </c>
    </row>
    <row r="7200" spans="1:4" x14ac:dyDescent="0.2">
      <c r="A7200">
        <v>7139</v>
      </c>
      <c r="B7200" s="1832">
        <f>'Expenditures 15-22'!D330</f>
        <v>40361</v>
      </c>
      <c r="D7200" s="2" t="str">
        <f t="shared" si="111"/>
        <v>Error?</v>
      </c>
    </row>
    <row r="7201" spans="1:4" x14ac:dyDescent="0.2">
      <c r="A7201">
        <v>7140</v>
      </c>
      <c r="B7201" s="1832">
        <f>'Expenditures 15-22'!E330</f>
        <v>6302910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6718375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375104</v>
      </c>
      <c r="D7216" s="2" t="str">
        <f t="shared" si="111"/>
        <v>Error?</v>
      </c>
    </row>
    <row r="7217" spans="1:4" x14ac:dyDescent="0.2">
      <c r="A7217">
        <v>7156</v>
      </c>
      <c r="B7217" s="1832">
        <f>'Expenditures 15-22'!D342</f>
        <v>40361</v>
      </c>
      <c r="D7217" s="2" t="str">
        <f t="shared" si="111"/>
        <v>Error?</v>
      </c>
    </row>
    <row r="7218" spans="1:4" x14ac:dyDescent="0.2">
      <c r="A7218">
        <v>7157</v>
      </c>
      <c r="B7218" s="1832">
        <f>'Expenditures 15-22'!E342</f>
        <v>6302910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6718375</v>
      </c>
      <c r="D7224" s="2" t="str">
        <f t="shared" si="111"/>
        <v>Error?</v>
      </c>
    </row>
    <row r="7225" spans="1:4" x14ac:dyDescent="0.2">
      <c r="A7225">
        <v>7164</v>
      </c>
      <c r="B7225" s="1832">
        <f>'Expenditures 15-22'!K343</f>
        <v>-1360590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1566335</v>
      </c>
      <c r="D7246" s="2" t="str">
        <f t="shared" si="112"/>
        <v>Error?</v>
      </c>
    </row>
    <row r="7247" spans="1:4" x14ac:dyDescent="0.2">
      <c r="A7247">
        <f t="shared" si="113"/>
        <v>7186</v>
      </c>
      <c r="B7247" s="1832">
        <f>'Expenditures 15-22'!E7</f>
        <v>8119</v>
      </c>
      <c r="D7247" s="2" t="str">
        <f t="shared" si="112"/>
        <v>Error?</v>
      </c>
    </row>
    <row r="7248" spans="1:4" x14ac:dyDescent="0.2">
      <c r="A7248">
        <f t="shared" si="113"/>
        <v>7187</v>
      </c>
      <c r="B7248" s="1832">
        <f>'Expenditures 15-22'!F7</f>
        <v>22603</v>
      </c>
      <c r="D7248" s="2" t="str">
        <f t="shared" si="112"/>
        <v>Error?</v>
      </c>
    </row>
    <row r="7249" spans="1:4" x14ac:dyDescent="0.2">
      <c r="A7249">
        <f t="shared" si="113"/>
        <v>7188</v>
      </c>
      <c r="B7249" s="1832">
        <f>'Expenditures 15-22'!G7</f>
        <v>321</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2184194</v>
      </c>
      <c r="D7251" s="2" t="str">
        <f t="shared" si="112"/>
        <v>Error?</v>
      </c>
    </row>
    <row r="7252" spans="1:4" x14ac:dyDescent="0.2">
      <c r="A7252">
        <f t="shared" si="113"/>
        <v>7191</v>
      </c>
      <c r="B7252" s="1832">
        <f>'Expenditures 15-22'!D9</f>
        <v>835484</v>
      </c>
      <c r="D7252" s="2" t="str">
        <f t="shared" si="112"/>
        <v>Error?</v>
      </c>
    </row>
    <row r="7253" spans="1:4" x14ac:dyDescent="0.2">
      <c r="A7253">
        <f t="shared" si="113"/>
        <v>7192</v>
      </c>
      <c r="B7253" s="1832">
        <f>'Expenditures 15-22'!E9</f>
        <v>32</v>
      </c>
      <c r="D7253" s="2" t="str">
        <f t="shared" si="112"/>
        <v>Error?</v>
      </c>
    </row>
    <row r="7254" spans="1:4" x14ac:dyDescent="0.2">
      <c r="A7254">
        <f t="shared" si="113"/>
        <v>7193</v>
      </c>
      <c r="B7254" s="1832">
        <f>'Expenditures 15-22'!F9</f>
        <v>7900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461232</v>
      </c>
      <c r="D7263" s="2" t="str">
        <f t="shared" si="112"/>
        <v>Error?</v>
      </c>
    </row>
    <row r="7264" spans="1:4" x14ac:dyDescent="0.2">
      <c r="A7264">
        <f t="shared" si="113"/>
        <v>7203</v>
      </c>
      <c r="B7264" s="1832">
        <f>'Expenditures 15-22'!D17</f>
        <v>142442</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3749738</v>
      </c>
      <c r="D7624" s="2" t="str">
        <f t="shared" si="124"/>
        <v>Error?</v>
      </c>
      <c r="E7624" s="2" t="s">
        <v>19</v>
      </c>
    </row>
    <row r="7625" spans="1:5" x14ac:dyDescent="0.2">
      <c r="A7625">
        <f t="shared" si="123"/>
        <v>7564</v>
      </c>
      <c r="B7625" s="1832">
        <f>'Cap Outlay Deprec 26'!I17</f>
        <v>374973.8</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20935852.800000001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1991</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1991</v>
      </c>
    </row>
    <row r="7641" spans="1:6" x14ac:dyDescent="0.2">
      <c r="A7641" s="126">
        <f t="shared" si="125"/>
        <v>7580</v>
      </c>
      <c r="B7641" s="1833"/>
      <c r="D7641" s="2" t="str">
        <f t="shared" si="124"/>
        <v>OK</v>
      </c>
      <c r="E7641" s="4" t="s">
        <v>1991</v>
      </c>
    </row>
    <row r="7642" spans="1:6" x14ac:dyDescent="0.2">
      <c r="A7642" s="126">
        <f t="shared" si="125"/>
        <v>7581</v>
      </c>
      <c r="B7642" s="1833"/>
      <c r="D7642" s="2" t="str">
        <f t="shared" si="124"/>
        <v>OK</v>
      </c>
      <c r="E7642" s="4" t="s">
        <v>1991</v>
      </c>
    </row>
    <row r="7643" spans="1:6" x14ac:dyDescent="0.2">
      <c r="A7643" s="126">
        <f t="shared" si="125"/>
        <v>7582</v>
      </c>
      <c r="B7643" s="1833"/>
      <c r="D7643" s="2" t="str">
        <f t="shared" si="124"/>
        <v>OK</v>
      </c>
      <c r="E7643" s="4" t="s">
        <v>1991</v>
      </c>
    </row>
    <row r="7644" spans="1:6" x14ac:dyDescent="0.2">
      <c r="A7644" s="126">
        <f t="shared" si="125"/>
        <v>7583</v>
      </c>
      <c r="B7644" s="1833"/>
      <c r="D7644" s="2" t="str">
        <f t="shared" si="124"/>
        <v>OK</v>
      </c>
      <c r="E7644" s="4" t="s">
        <v>1991</v>
      </c>
    </row>
    <row r="7645" spans="1:6" x14ac:dyDescent="0.2">
      <c r="A7645" s="126">
        <f t="shared" si="125"/>
        <v>7584</v>
      </c>
      <c r="B7645" s="1833"/>
      <c r="D7645" s="2" t="str">
        <f t="shared" si="124"/>
        <v>OK</v>
      </c>
      <c r="E7645" s="4" t="s">
        <v>1991</v>
      </c>
    </row>
    <row r="7646" spans="1:6" x14ac:dyDescent="0.2">
      <c r="A7646" s="126">
        <f t="shared" si="125"/>
        <v>7585</v>
      </c>
      <c r="B7646" s="1833"/>
      <c r="D7646" s="2" t="str">
        <f t="shared" si="124"/>
        <v>OK</v>
      </c>
      <c r="E7646" s="4" t="s">
        <v>1991</v>
      </c>
    </row>
    <row r="7647" spans="1:6" x14ac:dyDescent="0.2">
      <c r="A7647" s="126">
        <f t="shared" si="125"/>
        <v>7586</v>
      </c>
      <c r="B7647" s="1833"/>
      <c r="D7647" s="2" t="str">
        <f t="shared" si="124"/>
        <v>OK</v>
      </c>
      <c r="E7647" s="4" t="s">
        <v>1991</v>
      </c>
    </row>
    <row r="7648" spans="1:6" x14ac:dyDescent="0.2">
      <c r="A7648" s="126">
        <f t="shared" si="125"/>
        <v>7587</v>
      </c>
      <c r="B7648" s="1833"/>
      <c r="D7648" s="2" t="str">
        <f t="shared" si="124"/>
        <v>OK</v>
      </c>
      <c r="E7648" s="4" t="s">
        <v>1991</v>
      </c>
    </row>
    <row r="7649" spans="1:5" x14ac:dyDescent="0.2">
      <c r="A7649" s="126">
        <f t="shared" si="125"/>
        <v>7588</v>
      </c>
      <c r="B7649" s="1833"/>
      <c r="D7649" s="2" t="str">
        <f t="shared" si="124"/>
        <v>OK</v>
      </c>
      <c r="E7649" s="4" t="s">
        <v>1991</v>
      </c>
    </row>
    <row r="7650" spans="1:5" x14ac:dyDescent="0.2">
      <c r="A7650" s="126">
        <f t="shared" si="125"/>
        <v>7589</v>
      </c>
      <c r="B7650" s="1833"/>
      <c r="D7650" s="2" t="str">
        <f t="shared" si="124"/>
        <v>OK</v>
      </c>
      <c r="E7650" s="4" t="s">
        <v>1991</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717291</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14744</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406747</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406747</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274426</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79960</v>
      </c>
      <c r="D7712" s="2" t="str">
        <f t="shared" si="126"/>
        <v>Error?</v>
      </c>
      <c r="E7712" s="2" t="s">
        <v>821</v>
      </c>
    </row>
    <row r="7713" spans="1:6" x14ac:dyDescent="0.2">
      <c r="A7713">
        <v>7652</v>
      </c>
      <c r="B7713" s="1832">
        <f>'Rest Tax Levies-Tort Im 25'!J8</f>
        <v>0</v>
      </c>
      <c r="D7713" s="2" t="str">
        <f t="shared" si="126"/>
        <v>Error?</v>
      </c>
      <c r="E7713" s="2" t="s">
        <v>821</v>
      </c>
    </row>
    <row r="7714" spans="1:6" x14ac:dyDescent="0.2">
      <c r="A7714">
        <v>7653</v>
      </c>
      <c r="B7714" s="1832">
        <f>'Rest Tax Levies-Tort Im 25'!K9</f>
        <v>173401</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0</v>
      </c>
      <c r="D7718" s="2" t="str">
        <f t="shared" si="126"/>
        <v>Error?</v>
      </c>
      <c r="E7718" s="2" t="s">
        <v>821</v>
      </c>
    </row>
    <row r="7719" spans="1:6" x14ac:dyDescent="0.2">
      <c r="A7719">
        <v>7658</v>
      </c>
      <c r="B7719" s="1832">
        <f>'Rest Tax Levies-Tort Im 25'!K12</f>
        <v>253361</v>
      </c>
      <c r="D7719" s="2" t="str">
        <f t="shared" si="126"/>
        <v>Error?</v>
      </c>
      <c r="E7719" s="2" t="s">
        <v>821</v>
      </c>
    </row>
    <row r="7720" spans="1:6" x14ac:dyDescent="0.2">
      <c r="A7720">
        <v>7659</v>
      </c>
      <c r="B7720" s="1832">
        <f>'Rest Tax Levies-Tort Im 25'!H14</f>
        <v>34005944</v>
      </c>
      <c r="D7720" s="2" t="str">
        <f t="shared" si="126"/>
        <v>Error?</v>
      </c>
      <c r="E7720" s="2" t="s">
        <v>821</v>
      </c>
    </row>
    <row r="7721" spans="1:6" x14ac:dyDescent="0.2">
      <c r="A7721">
        <v>7660</v>
      </c>
      <c r="B7721" s="1832">
        <f>'Rest Tax Levies-Tort Im 25'!K14</f>
        <v>253361</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0</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4981317</v>
      </c>
      <c r="D7759" s="2" t="str">
        <f t="shared" si="127"/>
        <v>Error?</v>
      </c>
      <c r="E7759" s="4" t="s">
        <v>1321</v>
      </c>
    </row>
    <row r="7760" spans="1:6" x14ac:dyDescent="0.2">
      <c r="A7760">
        <v>7699</v>
      </c>
      <c r="B7760" s="1832">
        <f>'Aud Quest 2'!J90</f>
        <v>4981317</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127722</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1993</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1822</v>
      </c>
    </row>
    <row r="7775" spans="1:5" x14ac:dyDescent="0.2">
      <c r="A7775">
        <v>7714</v>
      </c>
      <c r="B7775" s="1832">
        <f>'Expenditures 15-22'!H133</f>
        <v>0</v>
      </c>
      <c r="D7775" s="2" t="str">
        <f t="shared" si="127"/>
        <v>Error?</v>
      </c>
      <c r="E7775" s="4" t="s">
        <v>1822</v>
      </c>
    </row>
    <row r="7776" spans="1:5" x14ac:dyDescent="0.2">
      <c r="A7776">
        <v>7715</v>
      </c>
      <c r="B7776" s="1832">
        <f>'Expenditures 15-22'!K133</f>
        <v>0</v>
      </c>
      <c r="D7776" s="2" t="str">
        <f t="shared" si="127"/>
        <v>Error?</v>
      </c>
      <c r="E7776" s="4" t="s">
        <v>1822</v>
      </c>
    </row>
    <row r="7777" spans="1:5" x14ac:dyDescent="0.2">
      <c r="A7777">
        <v>7716</v>
      </c>
      <c r="B7777" s="1832">
        <f>'Expenditures 15-22'!H157</f>
        <v>0</v>
      </c>
      <c r="D7777" s="2" t="str">
        <f t="shared" si="127"/>
        <v>Error?</v>
      </c>
      <c r="E7777" s="4" t="s">
        <v>1822</v>
      </c>
    </row>
    <row r="7778" spans="1:5" x14ac:dyDescent="0.2">
      <c r="A7778">
        <v>7717</v>
      </c>
      <c r="B7778" s="1832">
        <f>'Expenditures 15-22'!K157</f>
        <v>0</v>
      </c>
      <c r="D7778" s="2" t="str">
        <f t="shared" si="127"/>
        <v>Error?</v>
      </c>
      <c r="E7778" s="4" t="s">
        <v>1822</v>
      </c>
    </row>
    <row r="7779" spans="1:5" x14ac:dyDescent="0.2">
      <c r="A7779">
        <v>7718</v>
      </c>
      <c r="B7779" s="1832">
        <f>'Expenditures 15-22'!H158</f>
        <v>0</v>
      </c>
      <c r="D7779" s="2" t="str">
        <f t="shared" si="127"/>
        <v>Error?</v>
      </c>
      <c r="E7779" s="4" t="s">
        <v>1822</v>
      </c>
    </row>
    <row r="7780" spans="1:5" x14ac:dyDescent="0.2">
      <c r="A7780">
        <v>7719</v>
      </c>
      <c r="B7780" s="1832">
        <f>'Expenditures 15-22'!K158</f>
        <v>0</v>
      </c>
      <c r="D7780" s="2" t="str">
        <f t="shared" si="127"/>
        <v>Error?</v>
      </c>
      <c r="E7780" s="4" t="s">
        <v>1822</v>
      </c>
    </row>
    <row r="7781" spans="1:5" x14ac:dyDescent="0.2">
      <c r="A7781">
        <v>7720</v>
      </c>
      <c r="B7781" s="1832">
        <f>'Expenditures 15-22'!H159</f>
        <v>0</v>
      </c>
      <c r="D7781" s="2" t="str">
        <f t="shared" si="127"/>
        <v>Error?</v>
      </c>
      <c r="E7781" s="4" t="s">
        <v>1822</v>
      </c>
    </row>
    <row r="7782" spans="1:5" x14ac:dyDescent="0.2">
      <c r="A7782">
        <v>7721</v>
      </c>
      <c r="B7782" s="1832">
        <f>'Expenditures 15-22'!K159</f>
        <v>0</v>
      </c>
      <c r="D7782" s="2" t="str">
        <f t="shared" si="127"/>
        <v>Error?</v>
      </c>
      <c r="E7782" s="4" t="s">
        <v>1822</v>
      </c>
    </row>
    <row r="7783" spans="1:5" x14ac:dyDescent="0.2">
      <c r="A7783">
        <v>7722</v>
      </c>
      <c r="B7783" s="1832">
        <f>'Expenditures 15-22'!D282</f>
        <v>0</v>
      </c>
      <c r="D7783" s="2" t="str">
        <f t="shared" si="127"/>
        <v>Error?</v>
      </c>
      <c r="E7783" s="4" t="s">
        <v>1822</v>
      </c>
    </row>
    <row r="7784" spans="1:5" x14ac:dyDescent="0.2">
      <c r="A7784">
        <v>7723</v>
      </c>
      <c r="B7784" s="1832">
        <f>'Expenditures 15-22'!K282</f>
        <v>0</v>
      </c>
      <c r="D7784" s="2" t="str">
        <f t="shared" si="127"/>
        <v>Error?</v>
      </c>
      <c r="E7784" s="4" t="s">
        <v>1822</v>
      </c>
    </row>
    <row r="7785" spans="1:5" x14ac:dyDescent="0.2">
      <c r="A7785">
        <v>7724</v>
      </c>
      <c r="B7785" s="1832">
        <f>'Expenditures 15-22'!H332</f>
        <v>0</v>
      </c>
      <c r="D7785" s="2" t="str">
        <f t="shared" si="127"/>
        <v>Error?</v>
      </c>
      <c r="E7785" s="4" t="s">
        <v>1822</v>
      </c>
    </row>
    <row r="7786" spans="1:5" x14ac:dyDescent="0.2">
      <c r="A7786">
        <v>7725</v>
      </c>
      <c r="B7786" s="1832">
        <f>'Expenditures 15-22'!K332</f>
        <v>0</v>
      </c>
      <c r="D7786" s="2" t="str">
        <f t="shared" si="127"/>
        <v>Error?</v>
      </c>
      <c r="E7786" s="4" t="s">
        <v>1822</v>
      </c>
    </row>
    <row r="7787" spans="1:5" x14ac:dyDescent="0.2">
      <c r="A7787">
        <v>7726</v>
      </c>
      <c r="B7787" s="1832">
        <f>'Expenditures 15-22'!H333</f>
        <v>0</v>
      </c>
      <c r="D7787" s="2" t="str">
        <f t="shared" si="127"/>
        <v>Error?</v>
      </c>
      <c r="E7787" s="4" t="s">
        <v>1822</v>
      </c>
    </row>
    <row r="7788" spans="1:5" x14ac:dyDescent="0.2">
      <c r="A7788">
        <v>7727</v>
      </c>
      <c r="B7788" s="1832">
        <f>'Expenditures 15-22'!K333</f>
        <v>0</v>
      </c>
      <c r="D7788" s="2" t="str">
        <f t="shared" si="127"/>
        <v>Error?</v>
      </c>
      <c r="E7788" s="4" t="s">
        <v>1822</v>
      </c>
    </row>
    <row r="7789" spans="1:5" x14ac:dyDescent="0.2">
      <c r="A7789">
        <v>7728</v>
      </c>
      <c r="B7789" s="1832">
        <f>'Expenditures 15-22'!H334</f>
        <v>0</v>
      </c>
      <c r="D7789" s="2" t="str">
        <f t="shared" si="127"/>
        <v>Error?</v>
      </c>
      <c r="E7789" s="4" t="s">
        <v>1822</v>
      </c>
    </row>
    <row r="7790" spans="1:5" x14ac:dyDescent="0.2">
      <c r="A7790">
        <v>7729</v>
      </c>
      <c r="B7790" s="1832">
        <f>'Expenditures 15-22'!K334</f>
        <v>0</v>
      </c>
      <c r="D7790" s="2" t="str">
        <f t="shared" si="127"/>
        <v>Error?</v>
      </c>
      <c r="E7790" s="4" t="s">
        <v>1822</v>
      </c>
    </row>
    <row r="7791" spans="1:5" x14ac:dyDescent="0.2">
      <c r="A7791">
        <v>7730</v>
      </c>
      <c r="B7791" s="1832">
        <f>'Expenditures 15-22'!H354</f>
        <v>0</v>
      </c>
      <c r="D7791" s="2" t="str">
        <f t="shared" si="127"/>
        <v>Error?</v>
      </c>
      <c r="E7791" s="4" t="s">
        <v>1822</v>
      </c>
    </row>
    <row r="7792" spans="1:5" x14ac:dyDescent="0.2">
      <c r="A7792">
        <v>7731</v>
      </c>
      <c r="B7792" s="1832">
        <f>'Expenditures 15-22'!K354</f>
        <v>0</v>
      </c>
      <c r="D7792" s="2" t="str">
        <f t="shared" si="127"/>
        <v>Error?</v>
      </c>
      <c r="E7792" s="4" t="s">
        <v>1822</v>
      </c>
    </row>
    <row r="7793" spans="1:5" x14ac:dyDescent="0.2">
      <c r="A7793">
        <v>7732</v>
      </c>
      <c r="B7793" s="1832">
        <f>'Expenditures 15-22'!H355</f>
        <v>0</v>
      </c>
      <c r="D7793" s="2" t="str">
        <f t="shared" si="127"/>
        <v>Error?</v>
      </c>
      <c r="E7793" s="4" t="s">
        <v>1822</v>
      </c>
    </row>
    <row r="7794" spans="1:5" x14ac:dyDescent="0.2">
      <c r="A7794">
        <v>7733</v>
      </c>
      <c r="B7794" s="1832">
        <f>'Expenditures 15-22'!K355</f>
        <v>0</v>
      </c>
      <c r="D7794" s="2" t="str">
        <f t="shared" si="127"/>
        <v>Error?</v>
      </c>
      <c r="E7794" s="4" t="s">
        <v>1822</v>
      </c>
    </row>
    <row r="7795" spans="1:5" x14ac:dyDescent="0.2">
      <c r="A7795">
        <v>7734</v>
      </c>
      <c r="B7795" s="1832">
        <f>'Expenditures 15-22'!E138</f>
        <v>0</v>
      </c>
      <c r="D7795" s="2" t="str">
        <f t="shared" si="127"/>
        <v>Error?</v>
      </c>
      <c r="E7795" s="4" t="s">
        <v>1822</v>
      </c>
    </row>
    <row r="7796" spans="1:5" x14ac:dyDescent="0.2">
      <c r="A7796">
        <v>7735</v>
      </c>
      <c r="B7796" s="1832">
        <f>'Acct Summary 7-8'!J15</f>
        <v>0</v>
      </c>
      <c r="D7796" s="2" t="str">
        <f t="shared" si="127"/>
        <v>Error?</v>
      </c>
      <c r="E7796" s="4" t="s">
        <v>1822</v>
      </c>
    </row>
    <row r="7797" spans="1:5" x14ac:dyDescent="0.2">
      <c r="A7797" s="126">
        <v>7736</v>
      </c>
      <c r="B7797" s="1832"/>
      <c r="D7797" s="2" t="str">
        <f t="shared" si="127"/>
        <v>OK</v>
      </c>
      <c r="E7797" s="4" t="s">
        <v>1975</v>
      </c>
    </row>
    <row r="7798" spans="1:5" x14ac:dyDescent="0.2">
      <c r="A7798" s="126">
        <v>7737</v>
      </c>
      <c r="B7798" s="1832"/>
      <c r="D7798" s="2" t="str">
        <f t="shared" si="127"/>
        <v>OK</v>
      </c>
      <c r="E7798" s="4" t="s">
        <v>1975</v>
      </c>
    </row>
    <row r="7799" spans="1:5" x14ac:dyDescent="0.2">
      <c r="A7799" s="126">
        <v>7738</v>
      </c>
      <c r="B7799" s="1832"/>
      <c r="D7799" s="2" t="str">
        <f t="shared" si="127"/>
        <v>OK</v>
      </c>
      <c r="E7799" s="4" t="s">
        <v>1975</v>
      </c>
    </row>
    <row r="7800" spans="1:5" x14ac:dyDescent="0.2">
      <c r="A7800">
        <v>7739</v>
      </c>
      <c r="B7800" s="1832">
        <f>'Rest Tax Levies-Tort Im 25'!K23</f>
        <v>253361</v>
      </c>
      <c r="D7800" s="2" t="str">
        <f t="shared" si="127"/>
        <v>Error?</v>
      </c>
      <c r="E7800" s="4" t="s">
        <v>1962</v>
      </c>
    </row>
    <row r="7801" spans="1:5" x14ac:dyDescent="0.2">
      <c r="A7801">
        <v>7740</v>
      </c>
      <c r="B7801" s="1832">
        <f>'Revenues 9-14'!C120</f>
        <v>0</v>
      </c>
      <c r="D7801" s="2" t="str">
        <f t="shared" si="127"/>
        <v>Error?</v>
      </c>
      <c r="E7801" s="4" t="s">
        <v>1896</v>
      </c>
    </row>
    <row r="7802" spans="1:5" x14ac:dyDescent="0.2">
      <c r="A7802">
        <v>7741</v>
      </c>
      <c r="B7802" s="1832">
        <f>'Revenues 9-14'!D120</f>
        <v>0</v>
      </c>
      <c r="D7802" s="2" t="str">
        <f t="shared" si="127"/>
        <v>Error?</v>
      </c>
      <c r="E7802" s="4" t="s">
        <v>1896</v>
      </c>
    </row>
    <row r="7803" spans="1:5" x14ac:dyDescent="0.2">
      <c r="A7803">
        <v>7742</v>
      </c>
      <c r="B7803" s="1832">
        <f>'Revenues 9-14'!E120</f>
        <v>0</v>
      </c>
      <c r="D7803" s="2" t="str">
        <f t="shared" si="127"/>
        <v>Error?</v>
      </c>
      <c r="E7803" s="4" t="s">
        <v>1896</v>
      </c>
    </row>
    <row r="7804" spans="1:5" x14ac:dyDescent="0.2">
      <c r="A7804">
        <v>7743</v>
      </c>
      <c r="B7804" s="1832">
        <f>'Revenues 9-14'!F120</f>
        <v>0</v>
      </c>
      <c r="D7804" s="2" t="str">
        <f t="shared" si="127"/>
        <v>Error?</v>
      </c>
      <c r="E7804" s="4" t="s">
        <v>1896</v>
      </c>
    </row>
    <row r="7805" spans="1:5" x14ac:dyDescent="0.2">
      <c r="A7805">
        <v>7744</v>
      </c>
      <c r="B7805" s="1832">
        <f>'Revenues 9-14'!G120</f>
        <v>0</v>
      </c>
      <c r="D7805" s="2" t="str">
        <f t="shared" si="127"/>
        <v>Error?</v>
      </c>
      <c r="E7805" s="4" t="s">
        <v>1896</v>
      </c>
    </row>
    <row r="7806" spans="1:5" x14ac:dyDescent="0.2">
      <c r="A7806">
        <v>7745</v>
      </c>
      <c r="B7806" s="1832">
        <f>'Revenues 9-14'!H120</f>
        <v>0</v>
      </c>
      <c r="D7806" s="2" t="str">
        <f t="shared" si="127"/>
        <v>Error?</v>
      </c>
      <c r="E7806" s="4" t="s">
        <v>1896</v>
      </c>
    </row>
    <row r="7807" spans="1:5" x14ac:dyDescent="0.2">
      <c r="A7807">
        <v>7746</v>
      </c>
      <c r="B7807" s="1832">
        <f>'Revenues 9-14'!J120</f>
        <v>0</v>
      </c>
      <c r="D7807" s="2" t="str">
        <f t="shared" ref="D7807:D7821" si="128">IF(ISBLANK(B7807),"OK",IF(A7807-B7807=0,"OK","Error?"))</f>
        <v>Error?</v>
      </c>
      <c r="E7807" s="4" t="s">
        <v>1896</v>
      </c>
    </row>
    <row r="7808" spans="1:5" x14ac:dyDescent="0.2">
      <c r="A7808">
        <v>7747</v>
      </c>
      <c r="B7808" s="1832">
        <f>'Revenues 9-14'!K120</f>
        <v>0</v>
      </c>
      <c r="D7808" s="2" t="str">
        <f t="shared" si="128"/>
        <v>Error?</v>
      </c>
      <c r="E7808" s="4" t="s">
        <v>1896</v>
      </c>
    </row>
    <row r="7809" spans="1:5" x14ac:dyDescent="0.2">
      <c r="A7809">
        <v>7748</v>
      </c>
      <c r="B7809" s="1832">
        <f>'Revenues 9-14'!C261</f>
        <v>0</v>
      </c>
      <c r="D7809" s="2" t="str">
        <f t="shared" si="128"/>
        <v>Error?</v>
      </c>
      <c r="E7809" s="4" t="s">
        <v>1897</v>
      </c>
    </row>
    <row r="7810" spans="1:5" x14ac:dyDescent="0.2">
      <c r="A7810">
        <v>7749</v>
      </c>
      <c r="B7810" s="1832">
        <f>'Revenues 9-14'!D261</f>
        <v>0</v>
      </c>
      <c r="D7810" s="2" t="str">
        <f t="shared" si="128"/>
        <v>Error?</v>
      </c>
      <c r="E7810" s="4" t="s">
        <v>1897</v>
      </c>
    </row>
    <row r="7811" spans="1:5" x14ac:dyDescent="0.2">
      <c r="A7811">
        <v>7750</v>
      </c>
      <c r="B7811" s="1832">
        <f>'Revenues 9-14'!F261</f>
        <v>0</v>
      </c>
      <c r="D7811" s="2" t="str">
        <f t="shared" si="128"/>
        <v>Error?</v>
      </c>
      <c r="E7811" s="4" t="s">
        <v>1897</v>
      </c>
    </row>
    <row r="7812" spans="1:5" x14ac:dyDescent="0.2">
      <c r="A7812">
        <v>7751</v>
      </c>
      <c r="B7812" s="1832">
        <f>'Revenues 9-14'!G261</f>
        <v>0</v>
      </c>
      <c r="D7812" s="2" t="str">
        <f t="shared" si="128"/>
        <v>Error?</v>
      </c>
      <c r="E7812" s="4" t="s">
        <v>1897</v>
      </c>
    </row>
    <row r="7813" spans="1:5" x14ac:dyDescent="0.2">
      <c r="A7813">
        <v>7752</v>
      </c>
      <c r="B7813" s="1832">
        <f>'Revenues 9-14'!C262</f>
        <v>0</v>
      </c>
      <c r="D7813" s="2" t="str">
        <f t="shared" si="128"/>
        <v>Error?</v>
      </c>
      <c r="E7813" s="4" t="s">
        <v>1898</v>
      </c>
    </row>
    <row r="7814" spans="1:5" x14ac:dyDescent="0.2">
      <c r="A7814">
        <v>7753</v>
      </c>
      <c r="B7814" s="1832">
        <f>'Revenues 9-14'!D262</f>
        <v>0</v>
      </c>
      <c r="D7814" s="2" t="str">
        <f t="shared" si="128"/>
        <v>Error?</v>
      </c>
      <c r="E7814" s="4" t="s">
        <v>1898</v>
      </c>
    </row>
    <row r="7815" spans="1:5" x14ac:dyDescent="0.2">
      <c r="A7815">
        <v>7754</v>
      </c>
      <c r="B7815" s="1832">
        <f>'Revenues 9-14'!F262</f>
        <v>0</v>
      </c>
      <c r="D7815" s="2" t="str">
        <f t="shared" si="128"/>
        <v>Error?</v>
      </c>
      <c r="E7815" s="4" t="s">
        <v>1898</v>
      </c>
    </row>
    <row r="7816" spans="1:5" x14ac:dyDescent="0.2">
      <c r="A7816">
        <v>7755</v>
      </c>
      <c r="B7816" s="1832">
        <f>'Revenues 9-14'!G262</f>
        <v>0</v>
      </c>
      <c r="D7816" s="2" t="str">
        <f t="shared" si="128"/>
        <v>Error?</v>
      </c>
      <c r="E7816" s="4" t="s">
        <v>1898</v>
      </c>
    </row>
    <row r="7817" spans="1:5" x14ac:dyDescent="0.2">
      <c r="A7817">
        <v>7756</v>
      </c>
      <c r="B7817" s="1832">
        <f>'Short-Term Long-Term Debt 24'!C49</f>
        <v>396560668</v>
      </c>
      <c r="D7817" s="2" t="str">
        <f t="shared" si="128"/>
        <v>Error?</v>
      </c>
      <c r="E7817" s="4" t="s">
        <v>1962</v>
      </c>
    </row>
    <row r="7818" spans="1:5" x14ac:dyDescent="0.2">
      <c r="A7818">
        <v>7757</v>
      </c>
      <c r="B7818" s="1832">
        <f>'PCTC-OEPP 27-28'!F172</f>
        <v>15672473</v>
      </c>
      <c r="D7818" s="2" t="str">
        <f t="shared" si="128"/>
        <v>Error?</v>
      </c>
      <c r="E7818" s="4" t="s">
        <v>1976</v>
      </c>
    </row>
    <row r="7819" spans="1:5" x14ac:dyDescent="0.2">
      <c r="A7819">
        <v>7758</v>
      </c>
      <c r="B7819" s="1832">
        <f>'PCTC-OEPP 27-28'!F173</f>
        <v>9262383</v>
      </c>
      <c r="D7819" s="2" t="str">
        <f t="shared" si="128"/>
        <v>Error?</v>
      </c>
      <c r="E7819" s="4" t="s">
        <v>1976</v>
      </c>
    </row>
    <row r="7820" spans="1:5" x14ac:dyDescent="0.2">
      <c r="A7820">
        <v>7759</v>
      </c>
      <c r="B7820" s="1832">
        <f>'ICR Computation 30'!E40</f>
        <v>-49408609.820000008</v>
      </c>
      <c r="D7820" s="2" t="str">
        <f t="shared" si="128"/>
        <v>Error?</v>
      </c>
    </row>
    <row r="7821" spans="1:5" x14ac:dyDescent="0.2">
      <c r="A7821">
        <v>7760</v>
      </c>
      <c r="B7821" s="1832">
        <f>'ICR Computation 30'!G40</f>
        <v>-49408609.820000008</v>
      </c>
      <c r="D7821" s="2" t="str">
        <f t="shared" si="128"/>
        <v>Error?</v>
      </c>
    </row>
    <row r="7822" spans="1:5" x14ac:dyDescent="0.2">
      <c r="A7822" s="1">
        <v>7761</v>
      </c>
      <c r="B7822" s="1832">
        <f>'PCTC-OEPP 27-28'!F14</f>
        <v>586575765</v>
      </c>
      <c r="D7822" s="4" t="s">
        <v>1993</v>
      </c>
      <c r="E7822" s="4" t="s">
        <v>1994</v>
      </c>
    </row>
    <row r="7823" spans="1:5" x14ac:dyDescent="0.2">
      <c r="A7823" s="1">
        <v>7762</v>
      </c>
      <c r="B7823" s="1832">
        <f>'PCTC-OEPP 27-28'!F30</f>
        <v>0</v>
      </c>
      <c r="D7823" s="4" t="s">
        <v>1993</v>
      </c>
      <c r="E7823" s="4" t="s">
        <v>1994</v>
      </c>
    </row>
    <row r="7824" spans="1:5" x14ac:dyDescent="0.2">
      <c r="A7824" s="1">
        <v>7763</v>
      </c>
      <c r="B7824" s="1832">
        <f>'PCTC-OEPP 27-28'!F31</f>
        <v>0</v>
      </c>
      <c r="D7824" s="4" t="s">
        <v>1993</v>
      </c>
      <c r="E7824" s="4" t="s">
        <v>1994</v>
      </c>
    </row>
    <row r="7825" spans="1:5" x14ac:dyDescent="0.2">
      <c r="A7825" s="1">
        <v>7764</v>
      </c>
      <c r="B7825" s="1832">
        <f>'PCTC-OEPP 27-28'!F32</f>
        <v>0</v>
      </c>
      <c r="D7825" s="2" t="str">
        <f t="shared" ref="D7825:D7887" si="129">IF(ISBLANK(B7825),"OK",IF(A7825-B7825=0,"OK","Error?"))</f>
        <v>Error?</v>
      </c>
      <c r="E7825" s="4" t="s">
        <v>1994</v>
      </c>
    </row>
    <row r="7826" spans="1:5" x14ac:dyDescent="0.2">
      <c r="A7826">
        <v>7765</v>
      </c>
      <c r="B7826" s="1832">
        <f>'PCTC-OEPP 27-28'!F34</f>
        <v>6034813</v>
      </c>
      <c r="D7826" s="2" t="str">
        <f t="shared" si="129"/>
        <v>Error?</v>
      </c>
      <c r="E7826" s="4" t="s">
        <v>1994</v>
      </c>
    </row>
    <row r="7827" spans="1:5" x14ac:dyDescent="0.2">
      <c r="A7827">
        <v>7766</v>
      </c>
      <c r="B7827" s="1832">
        <f>'PCTC-OEPP 27-28'!F35</f>
        <v>3027610</v>
      </c>
      <c r="D7827" s="2" t="str">
        <f t="shared" si="129"/>
        <v>Error?</v>
      </c>
      <c r="E7827" s="4" t="s">
        <v>1994</v>
      </c>
    </row>
    <row r="7828" spans="1:5" x14ac:dyDescent="0.2">
      <c r="A7828">
        <v>7767</v>
      </c>
      <c r="B7828" s="1832">
        <f>'PCTC-OEPP 27-28'!F36</f>
        <v>0</v>
      </c>
      <c r="D7828" s="2" t="str">
        <f t="shared" si="129"/>
        <v>Error?</v>
      </c>
      <c r="E7828" s="4" t="s">
        <v>1994</v>
      </c>
    </row>
    <row r="7829" spans="1:5" x14ac:dyDescent="0.2">
      <c r="A7829">
        <v>7768</v>
      </c>
      <c r="B7829" s="1832">
        <f>'PCTC-OEPP 27-28'!F37</f>
        <v>0</v>
      </c>
      <c r="D7829" s="2" t="str">
        <f t="shared" si="129"/>
        <v>Error?</v>
      </c>
      <c r="E7829" s="4" t="s">
        <v>1994</v>
      </c>
    </row>
    <row r="7830" spans="1:5" x14ac:dyDescent="0.2">
      <c r="A7830">
        <v>7769</v>
      </c>
      <c r="B7830" s="1832">
        <f>'PCTC-OEPP 27-28'!F38</f>
        <v>459656</v>
      </c>
      <c r="D7830" s="2" t="str">
        <f t="shared" si="129"/>
        <v>Error?</v>
      </c>
      <c r="E7830" s="4" t="s">
        <v>1994</v>
      </c>
    </row>
    <row r="7831" spans="1:5" x14ac:dyDescent="0.2">
      <c r="A7831">
        <v>7770</v>
      </c>
      <c r="B7831" s="1832">
        <f>'PCTC-OEPP 27-28'!F52</f>
        <v>3034146</v>
      </c>
      <c r="D7831" s="2" t="str">
        <f t="shared" si="129"/>
        <v>Error?</v>
      </c>
      <c r="E7831" s="4" t="s">
        <v>1994</v>
      </c>
    </row>
    <row r="7832" spans="1:5" x14ac:dyDescent="0.2">
      <c r="A7832">
        <v>7771</v>
      </c>
      <c r="B7832" s="1832">
        <f>'PCTC-OEPP 27-28'!F56</f>
        <v>0</v>
      </c>
      <c r="D7832" s="2" t="str">
        <f t="shared" si="129"/>
        <v>Error?</v>
      </c>
      <c r="E7832" s="4" t="s">
        <v>1994</v>
      </c>
    </row>
    <row r="7833" spans="1:5" x14ac:dyDescent="0.2">
      <c r="A7833">
        <v>7772</v>
      </c>
      <c r="B7833" s="1832">
        <f>'PCTC-OEPP 27-28'!F62</f>
        <v>0</v>
      </c>
      <c r="D7833" s="2" t="str">
        <f t="shared" si="129"/>
        <v>Error?</v>
      </c>
      <c r="E7833" s="4" t="s">
        <v>1994</v>
      </c>
    </row>
    <row r="7834" spans="1:5" x14ac:dyDescent="0.2">
      <c r="A7834">
        <v>7773</v>
      </c>
      <c r="B7834" s="1832">
        <f>'PCTC-OEPP 27-28'!F77</f>
        <v>97843283</v>
      </c>
      <c r="D7834" s="2" t="str">
        <f t="shared" si="129"/>
        <v>Error?</v>
      </c>
      <c r="E7834" s="4" t="s">
        <v>1994</v>
      </c>
    </row>
    <row r="7835" spans="1:5" x14ac:dyDescent="0.2">
      <c r="A7835">
        <v>7774</v>
      </c>
      <c r="B7835" s="1832">
        <f>'PCTC-OEPP 27-28'!F78</f>
        <v>488732482</v>
      </c>
      <c r="D7835" s="2" t="str">
        <f t="shared" si="129"/>
        <v>Error?</v>
      </c>
      <c r="E7835" s="4" t="s">
        <v>1994</v>
      </c>
    </row>
    <row r="7836" spans="1:5" x14ac:dyDescent="0.2">
      <c r="A7836" s="126">
        <v>7775</v>
      </c>
      <c r="B7836" s="1832"/>
      <c r="D7836" s="2" t="str">
        <f t="shared" si="129"/>
        <v>OK</v>
      </c>
      <c r="E7836" s="4" t="s">
        <v>1996</v>
      </c>
    </row>
    <row r="7837" spans="1:5" x14ac:dyDescent="0.2">
      <c r="A7837">
        <v>7776</v>
      </c>
      <c r="B7837" s="1832">
        <f>'PCTC-OEPP 27-28'!F80</f>
        <v>14534.967910398935</v>
      </c>
      <c r="D7837" s="2" t="str">
        <f t="shared" si="129"/>
        <v>Error?</v>
      </c>
      <c r="E7837" s="4" t="s">
        <v>1994</v>
      </c>
    </row>
    <row r="7838" spans="1:5" x14ac:dyDescent="0.2">
      <c r="A7838">
        <v>7777</v>
      </c>
      <c r="B7838" s="1832">
        <f>'PCTC-OEPP 27-28'!F96</f>
        <v>880334</v>
      </c>
      <c r="D7838" s="2" t="str">
        <f t="shared" si="129"/>
        <v>Error?</v>
      </c>
      <c r="E7838" s="4" t="s">
        <v>1994</v>
      </c>
    </row>
    <row r="7839" spans="1:5" x14ac:dyDescent="0.2">
      <c r="A7839">
        <v>7778</v>
      </c>
      <c r="B7839" s="1832">
        <f>'PCTC-OEPP 27-28'!F102</f>
        <v>637644</v>
      </c>
      <c r="D7839" s="2" t="str">
        <f t="shared" si="129"/>
        <v>Error?</v>
      </c>
      <c r="E7839" s="4" t="s">
        <v>1994</v>
      </c>
    </row>
    <row r="7840" spans="1:5" x14ac:dyDescent="0.2">
      <c r="A7840">
        <v>7779</v>
      </c>
      <c r="B7840" s="1832">
        <f>'PCTC-OEPP 27-28'!F103</f>
        <v>0</v>
      </c>
      <c r="D7840" s="2" t="str">
        <f t="shared" si="129"/>
        <v>Error?</v>
      </c>
      <c r="E7840" s="4" t="s">
        <v>1994</v>
      </c>
    </row>
    <row r="7841" spans="1:5" x14ac:dyDescent="0.2">
      <c r="A7841">
        <v>7780</v>
      </c>
      <c r="B7841" s="1832">
        <f>'PCTC-OEPP 27-28'!F104</f>
        <v>0</v>
      </c>
      <c r="D7841" s="2" t="str">
        <f t="shared" si="129"/>
        <v>Error?</v>
      </c>
      <c r="E7841" s="4" t="s">
        <v>1994</v>
      </c>
    </row>
    <row r="7842" spans="1:5" x14ac:dyDescent="0.2">
      <c r="A7842">
        <v>7781</v>
      </c>
      <c r="B7842" s="1832">
        <f>'PCTC-OEPP 27-28'!F106</f>
        <v>4661367</v>
      </c>
      <c r="D7842" s="2" t="str">
        <f t="shared" si="129"/>
        <v>Error?</v>
      </c>
      <c r="E7842" s="4" t="s">
        <v>1994</v>
      </c>
    </row>
    <row r="7843" spans="1:5" x14ac:dyDescent="0.2">
      <c r="A7843">
        <v>7782</v>
      </c>
      <c r="B7843" s="1832">
        <f>'PCTC-OEPP 27-28'!F107</f>
        <v>288995</v>
      </c>
      <c r="D7843" s="2" t="str">
        <f t="shared" si="129"/>
        <v>Error?</v>
      </c>
      <c r="E7843" s="4" t="s">
        <v>1994</v>
      </c>
    </row>
    <row r="7844" spans="1:5" x14ac:dyDescent="0.2">
      <c r="A7844">
        <v>7783</v>
      </c>
      <c r="B7844" s="1832">
        <f>'PCTC-OEPP 27-28'!F108</f>
        <v>0</v>
      </c>
      <c r="D7844" s="2" t="str">
        <f t="shared" si="129"/>
        <v>Error?</v>
      </c>
      <c r="E7844" s="4" t="s">
        <v>1994</v>
      </c>
    </row>
    <row r="7845" spans="1:5" x14ac:dyDescent="0.2">
      <c r="A7845">
        <v>7784</v>
      </c>
      <c r="B7845" s="1832">
        <f>'PCTC-OEPP 27-28'!F110</f>
        <v>0</v>
      </c>
      <c r="D7845" s="2" t="str">
        <f t="shared" si="129"/>
        <v>Error?</v>
      </c>
      <c r="E7845" s="4" t="s">
        <v>1994</v>
      </c>
    </row>
    <row r="7846" spans="1:5" x14ac:dyDescent="0.2">
      <c r="A7846">
        <v>7785</v>
      </c>
      <c r="B7846" s="1832">
        <f>'PCTC-OEPP 27-28'!F111</f>
        <v>173401</v>
      </c>
      <c r="D7846" s="2" t="str">
        <f t="shared" si="129"/>
        <v>Error?</v>
      </c>
      <c r="E7846" s="4" t="s">
        <v>1994</v>
      </c>
    </row>
    <row r="7847" spans="1:5" x14ac:dyDescent="0.2">
      <c r="A7847">
        <v>7786</v>
      </c>
      <c r="B7847" s="1832">
        <f>'PCTC-OEPP 27-28'!F112</f>
        <v>15929424</v>
      </c>
      <c r="D7847" s="2" t="str">
        <f t="shared" si="129"/>
        <v>Error?</v>
      </c>
      <c r="E7847" s="4" t="s">
        <v>1994</v>
      </c>
    </row>
    <row r="7848" spans="1:5" x14ac:dyDescent="0.2">
      <c r="A7848">
        <v>7787</v>
      </c>
      <c r="B7848" s="1832">
        <f>'PCTC-OEPP 27-28'!F114</f>
        <v>0</v>
      </c>
      <c r="D7848" s="2" t="str">
        <f t="shared" si="129"/>
        <v>Error?</v>
      </c>
      <c r="E7848" s="4" t="s">
        <v>1994</v>
      </c>
    </row>
    <row r="7849" spans="1:5" x14ac:dyDescent="0.2">
      <c r="A7849">
        <v>7788</v>
      </c>
      <c r="B7849" s="1832">
        <f>'PCTC-OEPP 27-28'!F115</f>
        <v>0</v>
      </c>
      <c r="D7849" s="2" t="str">
        <f t="shared" si="129"/>
        <v>Error?</v>
      </c>
      <c r="E7849" s="4" t="s">
        <v>1994</v>
      </c>
    </row>
    <row r="7850" spans="1:5" x14ac:dyDescent="0.2">
      <c r="A7850">
        <v>7789</v>
      </c>
      <c r="B7850" s="1832">
        <f>'PCTC-OEPP 27-28'!F116</f>
        <v>0</v>
      </c>
      <c r="D7850" s="2" t="str">
        <f t="shared" si="129"/>
        <v>Error?</v>
      </c>
      <c r="E7850" s="4" t="s">
        <v>1994</v>
      </c>
    </row>
    <row r="7851" spans="1:5" x14ac:dyDescent="0.2">
      <c r="A7851">
        <v>7790</v>
      </c>
      <c r="B7851" s="1832">
        <f>'PCTC-OEPP 27-28'!F117</f>
        <v>0</v>
      </c>
      <c r="D7851" s="2" t="str">
        <f t="shared" si="129"/>
        <v>Error?</v>
      </c>
      <c r="E7851" s="4" t="s">
        <v>1994</v>
      </c>
    </row>
    <row r="7852" spans="1:5" x14ac:dyDescent="0.2">
      <c r="A7852">
        <v>7791</v>
      </c>
      <c r="B7852" s="1832">
        <f>'PCTC-OEPP 27-28'!F118</f>
        <v>0</v>
      </c>
      <c r="D7852" s="2" t="str">
        <f t="shared" si="129"/>
        <v>Error?</v>
      </c>
      <c r="E7852" s="4" t="s">
        <v>1994</v>
      </c>
    </row>
    <row r="7853" spans="1:5" x14ac:dyDescent="0.2">
      <c r="A7853">
        <v>7792</v>
      </c>
      <c r="B7853" s="1832">
        <f>'PCTC-OEPP 27-28'!F119</f>
        <v>0</v>
      </c>
      <c r="D7853" s="2" t="str">
        <f t="shared" si="129"/>
        <v>Error?</v>
      </c>
      <c r="E7853" s="4" t="s">
        <v>1994</v>
      </c>
    </row>
    <row r="7854" spans="1:5" x14ac:dyDescent="0.2">
      <c r="A7854">
        <v>7793</v>
      </c>
      <c r="B7854" s="1832">
        <f>'PCTC-OEPP 27-28'!F120</f>
        <v>0</v>
      </c>
      <c r="D7854" s="2" t="str">
        <f t="shared" si="129"/>
        <v>Error?</v>
      </c>
      <c r="E7854" s="4" t="s">
        <v>1994</v>
      </c>
    </row>
    <row r="7855" spans="1:5" x14ac:dyDescent="0.2">
      <c r="A7855">
        <v>7794</v>
      </c>
      <c r="B7855" s="1832">
        <f>'PCTC-OEPP 27-28'!F122</f>
        <v>1961747</v>
      </c>
      <c r="D7855" s="2" t="str">
        <f t="shared" si="129"/>
        <v>Error?</v>
      </c>
      <c r="E7855" s="4" t="s">
        <v>1994</v>
      </c>
    </row>
    <row r="7856" spans="1:5" x14ac:dyDescent="0.2">
      <c r="A7856">
        <v>7795</v>
      </c>
      <c r="B7856" s="1832">
        <f>'PCTC-OEPP 27-28'!F124</f>
        <v>0</v>
      </c>
      <c r="D7856" s="2" t="str">
        <f t="shared" si="129"/>
        <v>Error?</v>
      </c>
      <c r="E7856" s="4" t="s">
        <v>1994</v>
      </c>
    </row>
    <row r="7857" spans="1:5" x14ac:dyDescent="0.2">
      <c r="A7857">
        <v>7796</v>
      </c>
      <c r="B7857" s="1832">
        <f>'PCTC-OEPP 27-28'!F125</f>
        <v>0</v>
      </c>
      <c r="D7857" s="2" t="str">
        <f t="shared" si="129"/>
        <v>Error?</v>
      </c>
      <c r="E7857" s="4" t="s">
        <v>1994</v>
      </c>
    </row>
    <row r="7858" spans="1:5" x14ac:dyDescent="0.2">
      <c r="A7858">
        <v>7797</v>
      </c>
      <c r="B7858" s="1832">
        <f>'PCTC-OEPP 27-28'!F126</f>
        <v>16160844</v>
      </c>
      <c r="D7858" s="2" t="str">
        <f t="shared" si="129"/>
        <v>Error?</v>
      </c>
      <c r="E7858" s="4" t="s">
        <v>1994</v>
      </c>
    </row>
    <row r="7859" spans="1:5" x14ac:dyDescent="0.2">
      <c r="A7859">
        <v>7798</v>
      </c>
      <c r="B7859" s="1832">
        <f>'PCTC-OEPP 27-28'!F127</f>
        <v>10283637</v>
      </c>
      <c r="D7859" s="2" t="str">
        <f t="shared" si="129"/>
        <v>Error?</v>
      </c>
      <c r="E7859" s="4" t="s">
        <v>1994</v>
      </c>
    </row>
    <row r="7860" spans="1:5" x14ac:dyDescent="0.2">
      <c r="A7860">
        <v>7799</v>
      </c>
      <c r="B7860" s="1832">
        <f>'PCTC-OEPP 27-28'!F128</f>
        <v>344382</v>
      </c>
      <c r="D7860" s="2" t="str">
        <f t="shared" si="129"/>
        <v>Error?</v>
      </c>
      <c r="E7860" s="4" t="s">
        <v>1994</v>
      </c>
    </row>
    <row r="7861" spans="1:5" x14ac:dyDescent="0.2">
      <c r="A7861">
        <v>7800</v>
      </c>
      <c r="B7861" s="1832">
        <f>'PCTC-OEPP 27-28'!F129</f>
        <v>8004248</v>
      </c>
      <c r="D7861" s="2" t="str">
        <f t="shared" si="129"/>
        <v>Error?</v>
      </c>
      <c r="E7861" s="4" t="s">
        <v>1994</v>
      </c>
    </row>
    <row r="7862" spans="1:5" x14ac:dyDescent="0.2">
      <c r="A7862">
        <v>7801</v>
      </c>
      <c r="B7862" s="1832">
        <f>'PCTC-OEPP 27-28'!F130</f>
        <v>402125</v>
      </c>
      <c r="D7862" s="2" t="str">
        <f t="shared" si="129"/>
        <v>Error?</v>
      </c>
      <c r="E7862" s="4" t="s">
        <v>1994</v>
      </c>
    </row>
    <row r="7863" spans="1:5" x14ac:dyDescent="0.2">
      <c r="A7863">
        <v>7802</v>
      </c>
      <c r="B7863" s="1832">
        <f>'PCTC-OEPP 27-28'!F131</f>
        <v>0</v>
      </c>
      <c r="D7863" s="2" t="str">
        <f t="shared" si="129"/>
        <v>Error?</v>
      </c>
      <c r="E7863" s="4" t="s">
        <v>1994</v>
      </c>
    </row>
    <row r="7864" spans="1:5" x14ac:dyDescent="0.2">
      <c r="A7864">
        <v>7803</v>
      </c>
      <c r="B7864" s="1832">
        <f>'PCTC-OEPP 27-28'!F132</f>
        <v>0</v>
      </c>
      <c r="D7864" s="2" t="str">
        <f t="shared" si="129"/>
        <v>Error?</v>
      </c>
      <c r="E7864" s="4" t="s">
        <v>1994</v>
      </c>
    </row>
    <row r="7865" spans="1:5" x14ac:dyDescent="0.2">
      <c r="A7865">
        <v>7804</v>
      </c>
      <c r="B7865" s="1832">
        <f>'PCTC-OEPP 27-28'!F133</f>
        <v>474484</v>
      </c>
      <c r="D7865" s="2" t="str">
        <f t="shared" si="129"/>
        <v>Error?</v>
      </c>
      <c r="E7865" s="4" t="s">
        <v>1994</v>
      </c>
    </row>
    <row r="7866" spans="1:5" x14ac:dyDescent="0.2">
      <c r="A7866">
        <v>7805</v>
      </c>
      <c r="B7866" s="1832">
        <f>'PCTC-OEPP 27-28'!F158</f>
        <v>0</v>
      </c>
      <c r="D7866" s="2" t="str">
        <f t="shared" si="129"/>
        <v>Error?</v>
      </c>
      <c r="E7866" s="4" t="s">
        <v>1994</v>
      </c>
    </row>
    <row r="7867" spans="1:5" x14ac:dyDescent="0.2">
      <c r="A7867">
        <v>7806</v>
      </c>
      <c r="B7867" s="1832">
        <f>'PCTC-OEPP 27-28'!F160</f>
        <v>127722</v>
      </c>
      <c r="D7867" s="2" t="str">
        <f t="shared" si="129"/>
        <v>Error?</v>
      </c>
      <c r="E7867" s="4" t="s">
        <v>1994</v>
      </c>
    </row>
    <row r="7868" spans="1:5" x14ac:dyDescent="0.2">
      <c r="A7868">
        <v>7807</v>
      </c>
      <c r="B7868" s="1832">
        <f>'PCTC-OEPP 27-28'!F161</f>
        <v>0</v>
      </c>
      <c r="D7868" s="2" t="str">
        <f t="shared" si="129"/>
        <v>Error?</v>
      </c>
      <c r="E7868" s="4" t="s">
        <v>1994</v>
      </c>
    </row>
    <row r="7869" spans="1:5" x14ac:dyDescent="0.2">
      <c r="A7869">
        <v>7808</v>
      </c>
      <c r="B7869" s="1832">
        <f>'PCTC-OEPP 27-28'!F162</f>
        <v>1196047</v>
      </c>
      <c r="D7869" s="2" t="str">
        <f t="shared" si="129"/>
        <v>Error?</v>
      </c>
      <c r="E7869" s="4" t="s">
        <v>1994</v>
      </c>
    </row>
    <row r="7870" spans="1:5" x14ac:dyDescent="0.2">
      <c r="A7870">
        <v>7809</v>
      </c>
      <c r="B7870" s="1832">
        <f>'PCTC-OEPP 27-28'!F163</f>
        <v>0</v>
      </c>
      <c r="D7870" s="2" t="str">
        <f t="shared" si="129"/>
        <v>Error?</v>
      </c>
      <c r="E7870" s="4" t="s">
        <v>1994</v>
      </c>
    </row>
    <row r="7871" spans="1:5" x14ac:dyDescent="0.2">
      <c r="A7871">
        <v>7810</v>
      </c>
      <c r="B7871" s="1832">
        <f>'PCTC-OEPP 27-28'!F164</f>
        <v>0</v>
      </c>
      <c r="D7871" s="2" t="str">
        <f t="shared" si="129"/>
        <v>Error?</v>
      </c>
      <c r="E7871" s="4" t="s">
        <v>1994</v>
      </c>
    </row>
    <row r="7872" spans="1:5" x14ac:dyDescent="0.2">
      <c r="A7872">
        <v>7811</v>
      </c>
      <c r="B7872" s="1832">
        <f>'PCTC-OEPP 27-28'!F165</f>
        <v>2207312</v>
      </c>
      <c r="D7872" s="2" t="str">
        <f t="shared" si="129"/>
        <v>Error?</v>
      </c>
      <c r="E7872" s="4" t="s">
        <v>1994</v>
      </c>
    </row>
    <row r="7873" spans="1:5" x14ac:dyDescent="0.2">
      <c r="A7873">
        <v>7812</v>
      </c>
      <c r="B7873" s="1832">
        <f>'PCTC-OEPP 27-28'!F166</f>
        <v>0</v>
      </c>
      <c r="D7873" s="2" t="str">
        <f t="shared" si="129"/>
        <v>Error?</v>
      </c>
      <c r="E7873" s="4" t="s">
        <v>1994</v>
      </c>
    </row>
    <row r="7874" spans="1:5" x14ac:dyDescent="0.2">
      <c r="A7874">
        <v>7813</v>
      </c>
      <c r="B7874" s="1832">
        <f>'PCTC-OEPP 27-28'!F169</f>
        <v>1201571</v>
      </c>
      <c r="D7874" s="2" t="str">
        <f t="shared" si="129"/>
        <v>Error?</v>
      </c>
      <c r="E7874" s="4" t="s">
        <v>1994</v>
      </c>
    </row>
    <row r="7875" spans="1:5" x14ac:dyDescent="0.2">
      <c r="A7875">
        <v>7814</v>
      </c>
      <c r="B7875" s="1832">
        <f>'PCTC-OEPP 27-28'!F170</f>
        <v>1031496</v>
      </c>
      <c r="D7875" s="2" t="str">
        <f t="shared" si="129"/>
        <v>Error?</v>
      </c>
      <c r="E7875" s="4" t="s">
        <v>1994</v>
      </c>
    </row>
    <row r="7876" spans="1:5" x14ac:dyDescent="0.2">
      <c r="A7876">
        <v>7815</v>
      </c>
      <c r="B7876" s="1832">
        <f>'PCTC-OEPP 27-28'!F171</f>
        <v>6624607</v>
      </c>
      <c r="D7876" s="2" t="str">
        <f t="shared" si="129"/>
        <v>Error?</v>
      </c>
      <c r="E7876" s="4" t="s">
        <v>1994</v>
      </c>
    </row>
    <row r="7877" spans="1:5" x14ac:dyDescent="0.2">
      <c r="A7877">
        <v>7816</v>
      </c>
      <c r="B7877" s="1832">
        <f>'PCTC-OEPP 27-28'!F175</f>
        <v>104278795</v>
      </c>
      <c r="D7877" s="2" t="str">
        <f t="shared" si="129"/>
        <v>Error?</v>
      </c>
      <c r="E7877" s="4" t="s">
        <v>1994</v>
      </c>
    </row>
    <row r="7878" spans="1:5" x14ac:dyDescent="0.2">
      <c r="A7878">
        <v>7817</v>
      </c>
      <c r="B7878" s="1832">
        <f>'PCTC-OEPP 27-28'!F176</f>
        <v>384453687</v>
      </c>
      <c r="D7878" s="2" t="str">
        <f t="shared" si="129"/>
        <v>Error?</v>
      </c>
      <c r="E7878" s="4" t="s">
        <v>1994</v>
      </c>
    </row>
    <row r="7879" spans="1:5" x14ac:dyDescent="0.2">
      <c r="A7879">
        <v>7818</v>
      </c>
      <c r="B7879" s="1832">
        <f>'PCTC-OEPP 27-28'!F178</f>
        <v>405389539.80000001</v>
      </c>
      <c r="D7879" s="2" t="str">
        <f t="shared" si="129"/>
        <v>Error?</v>
      </c>
      <c r="E7879" s="4" t="s">
        <v>1994</v>
      </c>
    </row>
    <row r="7880" spans="1:5" x14ac:dyDescent="0.2">
      <c r="A7880">
        <v>7819</v>
      </c>
      <c r="B7880" s="1832">
        <f>'PCTC-OEPP 27-28'!F180</f>
        <v>12056.337913313468</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fitToPage="1"/>
  </sheetPr>
  <dimension ref="A1:AC59"/>
  <sheetViews>
    <sheetView showGridLines="0" showZeros="0" zoomScale="110" zoomScaleNormal="110" workbookViewId="0"/>
  </sheetViews>
  <sheetFormatPr defaultColWidth="9.28515625" defaultRowHeight="12.75" x14ac:dyDescent="0.2"/>
  <cols>
    <col min="1" max="1" width="7.7109375" style="959" customWidth="1"/>
    <col min="2" max="2" width="2.28515625" style="955" customWidth="1"/>
    <col min="3" max="3" width="9.28515625" style="959"/>
    <col min="4" max="4" width="13" style="959" customWidth="1"/>
    <col min="5" max="5" width="16" style="959" customWidth="1"/>
    <col min="6" max="6" width="4.28515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7109375" style="959" customWidth="1"/>
    <col min="13" max="13" width="2.7109375" style="959" customWidth="1"/>
    <col min="14" max="14" width="13.28515625" style="959" customWidth="1"/>
    <col min="15" max="15" width="7.28515625" style="959" customWidth="1"/>
    <col min="16" max="16" width="7" style="959" customWidth="1"/>
    <col min="17" max="19" width="9.7109375" style="959" customWidth="1"/>
    <col min="20" max="16384" width="9.28515625" style="959"/>
  </cols>
  <sheetData>
    <row r="1" spans="1:29" x14ac:dyDescent="0.2">
      <c r="A1" s="954"/>
      <c r="C1" s="954"/>
      <c r="D1" s="954"/>
      <c r="E1" s="954"/>
      <c r="F1" s="956"/>
      <c r="G1" s="956"/>
      <c r="H1" s="954"/>
      <c r="I1" s="954"/>
      <c r="J1" s="954"/>
      <c r="K1" s="954"/>
      <c r="L1" s="957"/>
      <c r="M1" s="958"/>
    </row>
    <row r="2" spans="1:29" ht="13.5" customHeight="1" x14ac:dyDescent="0.2">
      <c r="A2" s="2626" t="s">
        <v>1180</v>
      </c>
      <c r="B2" s="2626"/>
      <c r="C2" s="2626"/>
      <c r="D2" s="2626"/>
      <c r="E2" s="2626"/>
      <c r="F2" s="2626"/>
      <c r="G2" s="2626"/>
      <c r="H2" s="2626"/>
      <c r="I2" s="2626"/>
      <c r="J2" s="2626"/>
      <c r="K2" s="2626"/>
      <c r="L2" s="2626"/>
    </row>
    <row r="3" spans="1:29" ht="13.5" customHeight="1" x14ac:dyDescent="0.2">
      <c r="A3" s="2658" t="s">
        <v>1179</v>
      </c>
      <c r="B3" s="2658"/>
      <c r="C3" s="2658"/>
      <c r="D3" s="2658"/>
      <c r="E3" s="2658"/>
      <c r="F3" s="2658"/>
      <c r="G3" s="2658"/>
      <c r="H3" s="2658"/>
      <c r="I3" s="2658"/>
      <c r="J3" s="2658"/>
      <c r="K3" s="2658"/>
      <c r="L3" s="2658"/>
    </row>
    <row r="4" spans="1:29" ht="13.5" customHeight="1" x14ac:dyDescent="0.2">
      <c r="A4" s="2647" t="str">
        <f>"Year Ending June 30, "&amp;'AFR20'!E2</f>
        <v>Year Ending June 30, 2020</v>
      </c>
      <c r="B4" s="2648"/>
      <c r="C4" s="2648"/>
      <c r="D4" s="2648"/>
      <c r="E4" s="2648"/>
      <c r="F4" s="2648"/>
      <c r="G4" s="2648"/>
      <c r="H4" s="2648"/>
      <c r="I4" s="2648"/>
      <c r="J4" s="2648"/>
      <c r="K4" s="2648"/>
      <c r="L4" s="264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649" t="str">
        <f>COVER!A17</f>
        <v xml:space="preserve">   SD U46 - Elgin</v>
      </c>
      <c r="B7" s="2650"/>
      <c r="C7" s="2650"/>
      <c r="D7" s="2651"/>
      <c r="E7" s="2652">
        <f>COVER!A13</f>
        <v>31045046022</v>
      </c>
      <c r="F7" s="2653"/>
      <c r="G7" s="2659" t="str">
        <f>COVER!T23</f>
        <v>066-003346</v>
      </c>
      <c r="H7" s="2660"/>
      <c r="I7" s="2660"/>
      <c r="J7" s="2660"/>
      <c r="K7" s="2660"/>
      <c r="L7" s="2661"/>
    </row>
    <row r="8" spans="1:29" ht="13.5" customHeight="1" x14ac:dyDescent="0.2">
      <c r="A8" s="963" t="s">
        <v>1499</v>
      </c>
      <c r="B8" s="964"/>
      <c r="C8" s="965"/>
      <c r="D8" s="965"/>
      <c r="E8" s="970"/>
      <c r="F8" s="969"/>
      <c r="G8" s="971" t="s">
        <v>1175</v>
      </c>
      <c r="H8" s="972"/>
      <c r="I8" s="972"/>
      <c r="J8" s="972"/>
      <c r="K8" s="972"/>
      <c r="L8" s="973"/>
    </row>
    <row r="9" spans="1:29" ht="13.5" customHeight="1" x14ac:dyDescent="0.2">
      <c r="A9" s="2662"/>
      <c r="B9" s="2663"/>
      <c r="C9" s="2663"/>
      <c r="D9" s="2663"/>
      <c r="E9" s="2663"/>
      <c r="F9" s="2664"/>
      <c r="G9" s="2632" t="str">
        <f>COVER!T13</f>
        <v>RSM US LLP</v>
      </c>
      <c r="H9" s="2665"/>
      <c r="I9" s="2665"/>
      <c r="J9" s="2665"/>
      <c r="K9" s="2665"/>
      <c r="L9" s="2666"/>
    </row>
    <row r="10" spans="1:29" ht="13.5" customHeight="1" x14ac:dyDescent="0.2">
      <c r="A10" s="2638" t="str">
        <f>COVER!A38</f>
        <v>Jeff King, Deputy Superintendent of Operations</v>
      </c>
      <c r="B10" s="2639"/>
      <c r="C10" s="2639"/>
      <c r="D10" s="2639"/>
      <c r="E10" s="2639"/>
      <c r="F10" s="2640"/>
      <c r="G10" s="2632" t="str">
        <f>COVER!T17</f>
        <v>30 South Wacker Drive, Suite 3300</v>
      </c>
      <c r="H10" s="2633"/>
      <c r="I10" s="2633"/>
      <c r="J10" s="2633"/>
      <c r="K10" s="2633"/>
      <c r="L10" s="2634"/>
    </row>
    <row r="11" spans="1:29" ht="13.5" customHeight="1" x14ac:dyDescent="0.2">
      <c r="A11" s="963" t="s">
        <v>1501</v>
      </c>
      <c r="B11" s="964"/>
      <c r="C11" s="965"/>
      <c r="D11" s="970"/>
      <c r="E11" s="965"/>
      <c r="F11" s="969"/>
      <c r="G11" s="2632" t="str">
        <f>COVER!T19</f>
        <v>Chicago</v>
      </c>
      <c r="H11" s="2633"/>
      <c r="I11" s="2633"/>
      <c r="J11" s="2633"/>
      <c r="K11" s="2633"/>
      <c r="L11" s="2634"/>
    </row>
    <row r="12" spans="1:29" ht="13.5" customHeight="1" x14ac:dyDescent="0.2">
      <c r="A12" s="2641" t="s">
        <v>1500</v>
      </c>
      <c r="B12" s="2642"/>
      <c r="C12" s="2642"/>
      <c r="D12" s="2642"/>
      <c r="E12" s="2642"/>
      <c r="F12" s="2643"/>
      <c r="G12" s="2635"/>
      <c r="H12" s="2636"/>
      <c r="I12" s="2636"/>
      <c r="J12" s="2636"/>
      <c r="K12" s="2636"/>
      <c r="L12" s="2637"/>
    </row>
    <row r="13" spans="1:29" ht="13.5" customHeight="1" x14ac:dyDescent="0.2">
      <c r="A13" s="2632"/>
      <c r="B13" s="2633"/>
      <c r="C13" s="2633"/>
      <c r="D13" s="2633"/>
      <c r="E13" s="2633"/>
      <c r="F13" s="2634"/>
      <c r="G13" s="2627" t="s">
        <v>1502</v>
      </c>
      <c r="H13" s="2628"/>
      <c r="I13" s="2644" t="str">
        <f>COVER!T25</f>
        <v>Katie.Barry@rsmus.com</v>
      </c>
      <c r="J13" s="2645"/>
      <c r="K13" s="2645"/>
      <c r="L13" s="2646"/>
    </row>
    <row r="14" spans="1:29" ht="13.5" customHeight="1" x14ac:dyDescent="0.2">
      <c r="A14" s="2632" t="str">
        <f>COVER!A19</f>
        <v>355 E. Chicago Street</v>
      </c>
      <c r="B14" s="2633"/>
      <c r="C14" s="2633"/>
      <c r="D14" s="2633"/>
      <c r="E14" s="2633"/>
      <c r="F14" s="2634"/>
      <c r="G14" s="974" t="s">
        <v>1174</v>
      </c>
      <c r="H14" s="972"/>
      <c r="I14" s="972"/>
      <c r="J14" s="972"/>
      <c r="K14" s="972"/>
      <c r="L14" s="973"/>
    </row>
    <row r="15" spans="1:29" ht="13.5" customHeight="1" x14ac:dyDescent="0.2">
      <c r="A15" s="2632" t="str">
        <f>COVER!A21</f>
        <v>Elgin, IL</v>
      </c>
      <c r="B15" s="2633"/>
      <c r="C15" s="2633"/>
      <c r="D15" s="2633"/>
      <c r="E15" s="2633"/>
      <c r="F15" s="2634"/>
      <c r="G15" s="2629" t="str">
        <f>COVER!T15</f>
        <v>Katie Barry</v>
      </c>
      <c r="H15" s="2630"/>
      <c r="I15" s="2630"/>
      <c r="J15" s="2630"/>
      <c r="K15" s="2630"/>
      <c r="L15" s="2631"/>
    </row>
    <row r="16" spans="1:29" ht="12.4" customHeight="1" x14ac:dyDescent="0.2">
      <c r="A16" s="2655" t="str">
        <f>COVER!A25</f>
        <v>60120-6543</v>
      </c>
      <c r="B16" s="2656"/>
      <c r="C16" s="2656"/>
      <c r="D16" s="2656"/>
      <c r="E16" s="2656"/>
      <c r="F16" s="2657"/>
      <c r="G16" s="2667"/>
      <c r="H16" s="2668"/>
      <c r="I16" s="2668"/>
      <c r="J16" s="2668"/>
      <c r="K16" s="2668"/>
      <c r="L16" s="2669"/>
    </row>
    <row r="17" spans="1:13" ht="12.4" customHeight="1" x14ac:dyDescent="0.2">
      <c r="A17" s="2670"/>
      <c r="B17" s="2656"/>
      <c r="C17" s="2656"/>
      <c r="D17" s="2656"/>
      <c r="E17" s="2656"/>
      <c r="F17" s="2657"/>
      <c r="G17" s="974" t="s">
        <v>1173</v>
      </c>
      <c r="H17" s="972"/>
      <c r="I17" s="972"/>
      <c r="J17" s="972"/>
      <c r="K17" s="976" t="s">
        <v>1172</v>
      </c>
      <c r="L17" s="969"/>
      <c r="M17" s="962"/>
    </row>
    <row r="18" spans="1:13" ht="12.4" customHeight="1" x14ac:dyDescent="0.2">
      <c r="A18" s="2638"/>
      <c r="B18" s="2639"/>
      <c r="C18" s="2639"/>
      <c r="D18" s="2639"/>
      <c r="E18" s="2639"/>
      <c r="F18" s="2640"/>
      <c r="G18" s="2649" t="str">
        <f>COVER!T21</f>
        <v>312-634-4415</v>
      </c>
      <c r="H18" s="2650"/>
      <c r="I18" s="2650"/>
      <c r="J18" s="2650"/>
      <c r="K18" s="2649" t="str">
        <f>COVER!X21</f>
        <v>312-634-5523</v>
      </c>
      <c r="L18" s="2654"/>
    </row>
    <row r="19" spans="1:13" ht="12.4" customHeight="1" x14ac:dyDescent="0.2">
      <c r="A19" s="977"/>
      <c r="C19" s="977"/>
      <c r="D19" s="977"/>
      <c r="E19" s="977"/>
      <c r="F19" s="977"/>
      <c r="G19" s="977"/>
      <c r="H19" s="977"/>
      <c r="I19" s="977"/>
      <c r="J19" s="977"/>
      <c r="K19" s="977"/>
      <c r="L19" s="977"/>
    </row>
    <row r="20" spans="1:13" ht="12.4" customHeight="1" x14ac:dyDescent="0.2">
      <c r="A20" s="977"/>
      <c r="C20" s="977"/>
      <c r="D20" s="977"/>
      <c r="E20" s="977"/>
      <c r="F20" s="977"/>
      <c r="G20" s="977"/>
      <c r="H20" s="977"/>
      <c r="I20" s="977"/>
      <c r="J20" s="977" t="s">
        <v>1158</v>
      </c>
      <c r="K20" s="955" t="s">
        <v>1158</v>
      </c>
    </row>
    <row r="21" spans="1:13" ht="12.4" customHeight="1" x14ac:dyDescent="0.2">
      <c r="A21" s="978" t="s">
        <v>1675</v>
      </c>
    </row>
    <row r="22" spans="1:13" ht="12.4" customHeight="1" x14ac:dyDescent="0.2">
      <c r="A22" s="979"/>
    </row>
    <row r="23" spans="1:13" ht="12.4"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4" customHeight="1" x14ac:dyDescent="0.2">
      <c r="B26" s="980"/>
      <c r="C26" s="981" t="s">
        <v>1676</v>
      </c>
    </row>
    <row r="27" spans="1:13" s="977" customFormat="1" ht="9" customHeight="1" x14ac:dyDescent="0.2">
      <c r="B27" s="982"/>
      <c r="C27" s="981"/>
    </row>
    <row r="28" spans="1:13" s="977" customFormat="1" ht="12.4" customHeight="1" x14ac:dyDescent="0.2">
      <c r="A28" s="984"/>
      <c r="B28" s="980"/>
      <c r="C28" s="981" t="s">
        <v>1677</v>
      </c>
    </row>
    <row r="29" spans="1:13" s="977" customFormat="1" ht="9" customHeight="1" x14ac:dyDescent="0.2">
      <c r="A29" s="984"/>
      <c r="B29" s="982"/>
      <c r="C29" s="981"/>
    </row>
    <row r="30" spans="1:13" s="977" customFormat="1" ht="12.4" customHeight="1" x14ac:dyDescent="0.2">
      <c r="B30" s="980"/>
      <c r="C30" s="981" t="s">
        <v>1544</v>
      </c>
      <c r="D30" s="975"/>
      <c r="E30" s="975"/>
    </row>
    <row r="31" spans="1:13" s="977" customFormat="1" ht="9" customHeight="1" x14ac:dyDescent="0.2">
      <c r="B31" s="982"/>
      <c r="C31" s="981"/>
      <c r="D31" s="975"/>
      <c r="E31" s="975"/>
    </row>
    <row r="32" spans="1:13" s="977" customFormat="1" ht="12.4"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4"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3.1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4" customHeight="1" x14ac:dyDescent="0.2">
      <c r="B46" s="980"/>
      <c r="C46" s="988" t="s">
        <v>1550</v>
      </c>
      <c r="D46" s="975"/>
      <c r="E46" s="975"/>
      <c r="F46" s="975"/>
      <c r="G46" s="975"/>
      <c r="H46" s="975"/>
    </row>
    <row r="47" spans="1:8" ht="9" customHeight="1" x14ac:dyDescent="0.2"/>
    <row r="48" spans="1:8" ht="12.4" customHeight="1" x14ac:dyDescent="0.2">
      <c r="B48" s="1541"/>
      <c r="C48" s="989" t="s">
        <v>1551</v>
      </c>
    </row>
    <row r="49" spans="1:12" ht="9" customHeight="1" x14ac:dyDescent="0.2"/>
    <row r="50" spans="1:12" ht="6" customHeight="1" x14ac:dyDescent="0.2">
      <c r="C50" s="989"/>
    </row>
    <row r="51" spans="1:12" ht="12.4" customHeight="1" x14ac:dyDescent="0.2">
      <c r="A51" s="987"/>
    </row>
    <row r="52" spans="1:12" ht="12.4" customHeight="1" x14ac:dyDescent="0.2"/>
    <row r="53" spans="1:12" ht="12.4" customHeight="1" x14ac:dyDescent="0.2"/>
    <row r="54" spans="1:12" ht="12.4" customHeight="1" x14ac:dyDescent="0.2"/>
    <row r="55" spans="1:12" ht="12.4"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A1:K127"/>
  <sheetViews>
    <sheetView showGridLines="0" topLeftCell="A3" zoomScale="125" zoomScaleNormal="125" workbookViewId="0"/>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28515625" style="998" customWidth="1"/>
    <col min="6" max="16384" width="10.7109375" style="998"/>
  </cols>
  <sheetData>
    <row r="1" spans="1:11" s="991" customFormat="1" ht="12.75" x14ac:dyDescent="0.2">
      <c r="A1" s="2671" t="str">
        <f>'Single Audit Cover'!A7</f>
        <v xml:space="preserve">   SD U46 - Elgin</v>
      </c>
      <c r="B1" s="2672"/>
      <c r="C1" s="2672"/>
      <c r="D1" s="2672"/>
    </row>
    <row r="2" spans="1:11" s="991" customFormat="1" ht="12.75" x14ac:dyDescent="0.2">
      <c r="A2" s="2673">
        <f>'Single Audit Cover'!E7</f>
        <v>31045046022</v>
      </c>
      <c r="B2" s="2674"/>
      <c r="C2" s="2674"/>
      <c r="D2" s="2674"/>
    </row>
    <row r="3" spans="1:11" s="991" customFormat="1" ht="12.75" x14ac:dyDescent="0.2">
      <c r="A3" s="2671" t="s">
        <v>1495</v>
      </c>
      <c r="B3" s="2672"/>
      <c r="C3" s="2672"/>
      <c r="D3" s="2672"/>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71093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76" t="str">
        <f>'Single Audit Cover'!A7</f>
        <v xml:space="preserve">   SD U46 - Elgin</v>
      </c>
      <c r="B1" s="2676"/>
      <c r="C1" s="2676"/>
      <c r="D1" s="2676"/>
      <c r="E1" s="2676"/>
    </row>
    <row r="2" spans="1:5" x14ac:dyDescent="0.2">
      <c r="A2" s="2677">
        <f>'Single Audit Cover'!E7</f>
        <v>31045046022</v>
      </c>
      <c r="B2" s="2677"/>
      <c r="C2" s="2677"/>
      <c r="D2" s="2677"/>
      <c r="E2" s="2677"/>
    </row>
    <row r="3" spans="1:5" ht="4.5" customHeight="1" x14ac:dyDescent="0.2"/>
    <row r="4" spans="1:5" x14ac:dyDescent="0.2">
      <c r="A4" s="2676" t="s">
        <v>1233</v>
      </c>
      <c r="B4" s="2676"/>
      <c r="C4" s="2676"/>
      <c r="D4" s="2676"/>
      <c r="E4" s="2676"/>
    </row>
    <row r="5" spans="1:5" x14ac:dyDescent="0.2">
      <c r="A5" s="2679" t="str">
        <f>'Single Audit Cover'!A4</f>
        <v>Year Ending June 30, 2020</v>
      </c>
      <c r="B5" s="2679"/>
      <c r="C5" s="2679"/>
      <c r="D5" s="2679"/>
      <c r="E5" s="2679"/>
    </row>
    <row r="6" spans="1:5" x14ac:dyDescent="0.2">
      <c r="A6" s="2676" t="s">
        <v>1232</v>
      </c>
      <c r="B6" s="2676"/>
      <c r="C6" s="2676"/>
      <c r="D6" s="2676"/>
      <c r="E6" s="2676"/>
    </row>
    <row r="8" spans="1:5" x14ac:dyDescent="0.2">
      <c r="A8" s="1036" t="s">
        <v>1231</v>
      </c>
    </row>
    <row r="10" spans="1:5" x14ac:dyDescent="0.2">
      <c r="A10" s="1037" t="s">
        <v>1230</v>
      </c>
      <c r="B10" s="1038" t="s">
        <v>1229</v>
      </c>
      <c r="C10" s="1038"/>
      <c r="D10" s="1039">
        <f>SUM('Acct Summary 7-8'!C7:K7)</f>
        <v>48221866</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1675422</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-1031496</v>
      </c>
    </row>
    <row r="19" spans="1:4" ht="13.5" thickBot="1" x14ac:dyDescent="0.25">
      <c r="A19" s="1041" t="s">
        <v>1223</v>
      </c>
      <c r="D19" s="1042">
        <f>SUM(D10:D17)</f>
        <v>48865792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78" t="s">
        <v>2100</v>
      </c>
      <c r="B24" s="2678"/>
      <c r="D24" s="1044">
        <f>-D14</f>
        <v>-1675422</v>
      </c>
    </row>
    <row r="25" spans="1:4" x14ac:dyDescent="0.2">
      <c r="A25" s="2675" t="s">
        <v>2101</v>
      </c>
      <c r="B25" s="2675"/>
      <c r="D25" s="1044">
        <v>-2</v>
      </c>
    </row>
    <row r="26" spans="1:4" x14ac:dyDescent="0.2">
      <c r="A26" s="2675"/>
      <c r="B26" s="2675"/>
      <c r="D26" s="1044"/>
    </row>
    <row r="27" spans="1:4" x14ac:dyDescent="0.2">
      <c r="A27" s="2675"/>
      <c r="B27" s="2675"/>
      <c r="D27" s="1044"/>
    </row>
    <row r="28" spans="1:4" x14ac:dyDescent="0.2">
      <c r="A28" s="2675"/>
      <c r="B28" s="2675"/>
      <c r="D28" s="1044"/>
    </row>
    <row r="29" spans="1:4" x14ac:dyDescent="0.2">
      <c r="A29" s="2675"/>
      <c r="B29" s="2675"/>
      <c r="D29" s="1044"/>
    </row>
    <row r="30" spans="1:4" x14ac:dyDescent="0.2">
      <c r="A30" s="2675"/>
      <c r="B30" s="2675"/>
      <c r="D30" s="1044"/>
    </row>
    <row r="32" spans="1:4" x14ac:dyDescent="0.2">
      <c r="A32" s="1036" t="s">
        <v>1221</v>
      </c>
      <c r="D32" s="1039">
        <f>SUM(D19:D30)</f>
        <v>47190368</v>
      </c>
    </row>
    <row r="33" spans="1:4" x14ac:dyDescent="0.2">
      <c r="D33" s="1045"/>
    </row>
    <row r="34" spans="1:4" x14ac:dyDescent="0.2">
      <c r="A34" s="295" t="s">
        <v>1220</v>
      </c>
    </row>
    <row r="35" spans="1:4" x14ac:dyDescent="0.2">
      <c r="A35" s="295" t="s">
        <v>1219</v>
      </c>
      <c r="B35" s="1034" t="s">
        <v>1218</v>
      </c>
      <c r="D35" s="1046">
        <f>'SEFA - AFR'!F167</f>
        <v>47190368</v>
      </c>
    </row>
    <row r="37" spans="1:4" x14ac:dyDescent="0.2">
      <c r="A37" s="1036" t="s">
        <v>1217</v>
      </c>
    </row>
    <row r="39" spans="1:4" ht="13.35" customHeight="1" x14ac:dyDescent="0.2">
      <c r="A39" s="1043" t="s">
        <v>1216</v>
      </c>
    </row>
    <row r="40" spans="1:4" x14ac:dyDescent="0.2">
      <c r="A40" s="2675"/>
      <c r="B40" s="2675"/>
      <c r="D40" s="1044"/>
    </row>
    <row r="41" spans="1:4" x14ac:dyDescent="0.2">
      <c r="A41" s="2675"/>
      <c r="B41" s="2675"/>
      <c r="D41" s="1047"/>
    </row>
    <row r="42" spans="1:4" x14ac:dyDescent="0.2">
      <c r="A42" s="2675"/>
      <c r="B42" s="2675"/>
      <c r="D42" s="1047"/>
    </row>
    <row r="43" spans="1:4" x14ac:dyDescent="0.2">
      <c r="A43" s="2675"/>
      <c r="B43" s="2675"/>
      <c r="D43" s="1047"/>
    </row>
    <row r="44" spans="1:4" x14ac:dyDescent="0.2">
      <c r="A44" s="2675"/>
      <c r="B44" s="2675"/>
      <c r="D44" s="1047"/>
    </row>
    <row r="45" spans="1:4" x14ac:dyDescent="0.2">
      <c r="A45" s="2675"/>
      <c r="B45" s="2675"/>
      <c r="D45" s="1047"/>
    </row>
    <row r="47" spans="1:4" x14ac:dyDescent="0.2">
      <c r="B47" s="1048" t="s">
        <v>1215</v>
      </c>
      <c r="C47" s="1048"/>
      <c r="D47" s="1049">
        <f>SUM(D35:D45)</f>
        <v>47190368</v>
      </c>
    </row>
    <row r="49" spans="2:4" x14ac:dyDescent="0.2">
      <c r="B49" s="1048" t="s">
        <v>1214</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pageSetUpPr fitToPage="1"/>
  </sheetPr>
  <dimension ref="A1:O176"/>
  <sheetViews>
    <sheetView zoomScale="80" zoomScaleNormal="80" workbookViewId="0">
      <selection activeCell="E15" sqref="E15"/>
    </sheetView>
  </sheetViews>
  <sheetFormatPr defaultColWidth="9.28515625" defaultRowHeight="12.75" x14ac:dyDescent="0.2"/>
  <cols>
    <col min="1" max="1" width="64.140625" style="1990" bestFit="1" customWidth="1"/>
    <col min="2" max="2" width="3.42578125" style="1990" customWidth="1"/>
    <col min="3" max="3" width="13.7109375" style="1990" bestFit="1" customWidth="1"/>
    <col min="4" max="4" width="16.28515625" style="1990" bestFit="1" customWidth="1"/>
    <col min="5" max="5" width="14.5703125" style="1990" customWidth="1"/>
    <col min="6" max="6" width="15.42578125" style="1990" bestFit="1" customWidth="1"/>
    <col min="7" max="9" width="13.7109375" style="1990" customWidth="1"/>
    <col min="10" max="10" width="19.42578125" style="1990" customWidth="1"/>
    <col min="11" max="11" width="5.5703125" style="1990" customWidth="1"/>
    <col min="12" max="12" width="11.7109375" style="1990" customWidth="1"/>
    <col min="13" max="13" width="13.7109375" style="1990" customWidth="1"/>
    <col min="14" max="14" width="2.7109375" style="1990" customWidth="1"/>
    <col min="15" max="15" width="13.7109375" style="1990" customWidth="1"/>
    <col min="16" max="16384" width="9.28515625" style="1990"/>
  </cols>
  <sheetData>
    <row r="1" spans="1:15" x14ac:dyDescent="0.2">
      <c r="A1" s="1986"/>
      <c r="B1" s="1986"/>
      <c r="C1" s="1986"/>
      <c r="D1" s="1987"/>
      <c r="E1" s="1987"/>
      <c r="F1" s="1987"/>
      <c r="G1" s="1987"/>
      <c r="H1" s="1988"/>
      <c r="I1" s="1988"/>
      <c r="J1" s="1989" t="s">
        <v>2113</v>
      </c>
      <c r="K1" s="1989"/>
      <c r="L1" s="1989"/>
      <c r="M1" s="1989"/>
      <c r="N1" s="2128"/>
      <c r="O1" s="1989"/>
    </row>
    <row r="2" spans="1:15" x14ac:dyDescent="0.2">
      <c r="A2" s="1986"/>
      <c r="B2" s="1986"/>
      <c r="C2" s="1988"/>
      <c r="D2" s="1991"/>
      <c r="E2" s="1988"/>
      <c r="F2" s="1992"/>
      <c r="G2" s="1992"/>
      <c r="H2" s="1992"/>
      <c r="I2" s="1992"/>
      <c r="J2" s="1986" t="s">
        <v>2114</v>
      </c>
      <c r="K2" s="1986"/>
      <c r="L2" s="1986"/>
      <c r="M2" s="1986"/>
      <c r="N2" s="2129"/>
      <c r="O2" s="1986"/>
    </row>
    <row r="3" spans="1:15" x14ac:dyDescent="0.2">
      <c r="A3" s="1993" t="s">
        <v>401</v>
      </c>
      <c r="B3" s="1993"/>
      <c r="C3" s="1986"/>
      <c r="D3" s="1987"/>
      <c r="E3" s="1987"/>
      <c r="F3" s="1994"/>
      <c r="G3" s="1994"/>
      <c r="H3" s="1995"/>
      <c r="I3" s="1995"/>
      <c r="J3" s="1986" t="s">
        <v>999</v>
      </c>
      <c r="K3" s="1986"/>
      <c r="L3" s="1986"/>
      <c r="M3" s="1986"/>
      <c r="N3" s="2129"/>
      <c r="O3" s="1986"/>
    </row>
    <row r="4" spans="1:15" x14ac:dyDescent="0.2">
      <c r="A4" s="1996" t="s">
        <v>2115</v>
      </c>
      <c r="B4" s="1996"/>
      <c r="C4" s="1986"/>
      <c r="D4" s="1987"/>
      <c r="E4" s="1987"/>
      <c r="F4" s="1994"/>
      <c r="G4" s="1994"/>
      <c r="H4" s="1995"/>
      <c r="I4" s="1995"/>
      <c r="J4" s="1989" t="s">
        <v>2116</v>
      </c>
      <c r="K4" s="1989"/>
      <c r="L4" s="1989"/>
      <c r="M4" s="1989"/>
      <c r="N4" s="2128"/>
      <c r="O4" s="1989"/>
    </row>
    <row r="5" spans="1:15" x14ac:dyDescent="0.2">
      <c r="A5" s="1993" t="s">
        <v>2117</v>
      </c>
      <c r="B5" s="1993"/>
      <c r="C5" s="1986"/>
      <c r="D5" s="1987"/>
      <c r="E5" s="1994"/>
      <c r="F5" s="1994"/>
      <c r="G5" s="1994"/>
      <c r="H5" s="1997"/>
      <c r="I5" s="1997"/>
      <c r="J5" s="1986" t="s">
        <v>2118</v>
      </c>
      <c r="K5" s="1986"/>
      <c r="L5" s="1986"/>
      <c r="M5" s="1986"/>
      <c r="N5" s="2129"/>
      <c r="O5" s="1986"/>
    </row>
    <row r="6" spans="1:15" x14ac:dyDescent="0.2">
      <c r="A6" s="1993"/>
      <c r="B6" s="1993"/>
      <c r="C6" s="1986"/>
      <c r="D6" s="1987"/>
      <c r="E6" s="1987"/>
      <c r="F6" s="1998"/>
      <c r="G6" s="1998"/>
      <c r="H6" s="1997"/>
      <c r="I6" s="1997"/>
      <c r="J6" s="1999" t="s">
        <v>2119</v>
      </c>
      <c r="K6" s="1999"/>
      <c r="L6" s="1989"/>
      <c r="M6" s="1989"/>
      <c r="N6" s="2128"/>
      <c r="O6" s="1989"/>
    </row>
    <row r="7" spans="1:15" x14ac:dyDescent="0.2">
      <c r="A7" s="1993" t="s">
        <v>1207</v>
      </c>
      <c r="B7" s="1993"/>
      <c r="C7" s="2000"/>
      <c r="D7" s="2001"/>
      <c r="E7" s="2000"/>
      <c r="F7" s="2000"/>
      <c r="G7" s="2000"/>
      <c r="H7" s="1995"/>
      <c r="I7" s="1995"/>
      <c r="J7" s="1986"/>
      <c r="K7" s="1986"/>
      <c r="L7" s="1986"/>
      <c r="M7" s="1986"/>
      <c r="N7" s="2129"/>
      <c r="O7" s="1986"/>
    </row>
    <row r="8" spans="1:15" x14ac:dyDescent="0.2">
      <c r="A8" s="2002" t="s">
        <v>2120</v>
      </c>
      <c r="B8" s="2002"/>
      <c r="C8" s="1986"/>
      <c r="D8" s="1987"/>
      <c r="E8" s="1998"/>
      <c r="F8" s="2003"/>
      <c r="G8" s="2003"/>
      <c r="H8" s="1986"/>
      <c r="I8" s="1986"/>
      <c r="J8" s="1986"/>
      <c r="K8" s="1986"/>
      <c r="L8" s="1986"/>
      <c r="M8" s="1986"/>
      <c r="N8" s="2129"/>
      <c r="O8" s="1986"/>
    </row>
    <row r="9" spans="1:15" x14ac:dyDescent="0.2">
      <c r="A9" s="1989"/>
      <c r="B9" s="1989"/>
      <c r="C9" s="1989"/>
      <c r="D9" s="2004"/>
      <c r="E9" s="2005"/>
      <c r="F9" s="2006"/>
      <c r="G9" s="2006"/>
      <c r="H9" s="2005"/>
      <c r="I9" s="2005"/>
      <c r="J9" s="2007"/>
      <c r="K9" s="2005"/>
      <c r="L9" s="1989"/>
      <c r="M9" s="1989"/>
      <c r="N9" s="2128"/>
      <c r="O9" s="1989"/>
    </row>
    <row r="10" spans="1:15" x14ac:dyDescent="0.2">
      <c r="A10" s="1986"/>
      <c r="B10" s="1986"/>
      <c r="C10" s="1986"/>
      <c r="D10" s="1987"/>
      <c r="E10" s="1987"/>
      <c r="F10" s="1987"/>
      <c r="G10" s="1987"/>
      <c r="H10" s="2008"/>
      <c r="I10" s="2008"/>
      <c r="J10" s="1986"/>
      <c r="K10" s="2135"/>
      <c r="L10" s="1986"/>
      <c r="M10" s="1986"/>
      <c r="N10" s="2129"/>
      <c r="O10" s="1986"/>
    </row>
    <row r="11" spans="1:15" x14ac:dyDescent="0.2">
      <c r="A11" s="1993" t="s">
        <v>2121</v>
      </c>
      <c r="B11" s="1993"/>
      <c r="C11" s="1986"/>
      <c r="D11" s="1987"/>
      <c r="E11" s="2680" t="s">
        <v>15</v>
      </c>
      <c r="F11" s="2680"/>
      <c r="G11" s="2127"/>
      <c r="H11" s="2680" t="s">
        <v>16</v>
      </c>
      <c r="I11" s="2680"/>
      <c r="J11" s="2680"/>
      <c r="K11" s="2136"/>
      <c r="L11" s="1986"/>
      <c r="M11" s="1986"/>
      <c r="N11" s="2129"/>
      <c r="O11" s="1986"/>
    </row>
    <row r="12" spans="1:15" x14ac:dyDescent="0.2">
      <c r="A12" s="1993" t="s">
        <v>2122</v>
      </c>
      <c r="B12" s="1993"/>
      <c r="C12" s="1987" t="s">
        <v>1252</v>
      </c>
      <c r="D12" s="1987" t="s">
        <v>2123</v>
      </c>
      <c r="E12" s="2009" t="s">
        <v>2124</v>
      </c>
      <c r="F12" s="2009" t="s">
        <v>2125</v>
      </c>
      <c r="G12" s="2009" t="s">
        <v>2576</v>
      </c>
      <c r="H12" s="2009" t="s">
        <v>2124</v>
      </c>
      <c r="I12" s="2009" t="s">
        <v>2577</v>
      </c>
      <c r="J12" s="2009" t="s">
        <v>2125</v>
      </c>
      <c r="K12" s="2137"/>
      <c r="L12" s="1987" t="s">
        <v>1249</v>
      </c>
      <c r="M12" s="1987" t="s">
        <v>2126</v>
      </c>
      <c r="N12" s="2129"/>
      <c r="O12" s="1986"/>
    </row>
    <row r="13" spans="1:15" x14ac:dyDescent="0.2">
      <c r="A13" s="1993" t="s">
        <v>2127</v>
      </c>
      <c r="B13" s="1993"/>
      <c r="C13" s="1987" t="s">
        <v>2128</v>
      </c>
      <c r="D13" s="1987" t="s">
        <v>2129</v>
      </c>
      <c r="E13" s="2009" t="s">
        <v>2130</v>
      </c>
      <c r="F13" s="2009" t="s">
        <v>2131</v>
      </c>
      <c r="G13" s="2009" t="s">
        <v>2591</v>
      </c>
      <c r="H13" s="2009" t="s">
        <v>2130</v>
      </c>
      <c r="I13" s="2009" t="s">
        <v>2591</v>
      </c>
      <c r="J13" s="2009" t="s">
        <v>2131</v>
      </c>
      <c r="K13" s="2137"/>
      <c r="L13" s="1987" t="s">
        <v>2132</v>
      </c>
      <c r="M13" s="1987" t="s">
        <v>1245</v>
      </c>
      <c r="N13" s="2129"/>
      <c r="O13" s="1987" t="s">
        <v>30</v>
      </c>
    </row>
    <row r="14" spans="1:15" x14ac:dyDescent="0.2">
      <c r="A14" s="1989"/>
      <c r="B14" s="1989"/>
      <c r="C14" s="2004" t="s">
        <v>1243</v>
      </c>
      <c r="D14" s="2004" t="s">
        <v>1242</v>
      </c>
      <c r="E14" s="2004" t="s">
        <v>1241</v>
      </c>
      <c r="F14" s="2004" t="s">
        <v>1240</v>
      </c>
      <c r="G14" s="2004" t="s">
        <v>2578</v>
      </c>
      <c r="H14" s="2004" t="s">
        <v>1239</v>
      </c>
      <c r="I14" s="2004" t="s">
        <v>2578</v>
      </c>
      <c r="J14" s="2004" t="s">
        <v>1238</v>
      </c>
      <c r="K14" s="2005"/>
      <c r="L14" s="2004" t="s">
        <v>1237</v>
      </c>
      <c r="M14" s="2004" t="s">
        <v>1236</v>
      </c>
      <c r="N14" s="2128"/>
      <c r="O14" s="2004" t="s">
        <v>1235</v>
      </c>
    </row>
    <row r="15" spans="1:15" x14ac:dyDescent="0.2">
      <c r="A15" s="1986"/>
      <c r="B15" s="1986"/>
      <c r="C15" s="1986"/>
      <c r="D15" s="1987"/>
      <c r="E15" s="1987"/>
      <c r="F15" s="1986"/>
      <c r="G15" s="1986"/>
      <c r="H15" s="1986"/>
      <c r="I15" s="1986"/>
      <c r="J15" s="1986"/>
      <c r="K15" s="2135"/>
      <c r="L15" s="1986"/>
      <c r="M15" s="1986"/>
      <c r="N15" s="2129"/>
      <c r="O15" s="1986"/>
    </row>
    <row r="16" spans="1:15" x14ac:dyDescent="0.2">
      <c r="A16" s="2010" t="s">
        <v>2133</v>
      </c>
      <c r="B16" s="2010"/>
      <c r="C16" s="2010"/>
      <c r="D16" s="2011"/>
      <c r="E16" s="2011"/>
      <c r="F16" s="2010"/>
      <c r="G16" s="2010"/>
      <c r="H16" s="2010"/>
      <c r="I16" s="2010"/>
      <c r="J16" s="2010"/>
      <c r="K16" s="2138"/>
      <c r="L16" s="2010"/>
      <c r="M16" s="2010"/>
      <c r="N16" s="2130"/>
      <c r="O16" s="2010"/>
    </row>
    <row r="17" spans="1:15" x14ac:dyDescent="0.2">
      <c r="A17" s="2013" t="s">
        <v>2134</v>
      </c>
      <c r="B17" s="2013"/>
      <c r="C17" s="2014"/>
      <c r="D17" s="2015"/>
      <c r="E17" s="2014"/>
      <c r="F17" s="2014"/>
      <c r="G17" s="2014"/>
      <c r="H17" s="2014"/>
      <c r="I17" s="2014"/>
      <c r="J17" s="2014"/>
      <c r="K17" s="2139"/>
      <c r="L17" s="2014"/>
      <c r="M17" s="2014"/>
      <c r="N17" s="2131"/>
      <c r="O17" s="2014"/>
    </row>
    <row r="18" spans="1:15" x14ac:dyDescent="0.2">
      <c r="A18" s="2016"/>
      <c r="B18" s="2016"/>
      <c r="C18" s="2017"/>
      <c r="D18" s="2018"/>
      <c r="E18" s="2017"/>
      <c r="F18" s="2017"/>
      <c r="G18" s="2017"/>
      <c r="H18" s="2019"/>
      <c r="I18" s="2019"/>
      <c r="J18" s="2020"/>
      <c r="K18" s="2140"/>
      <c r="L18" s="2020"/>
      <c r="M18" s="2017"/>
      <c r="N18" s="2012"/>
      <c r="O18" s="2017"/>
    </row>
    <row r="19" spans="1:15" x14ac:dyDescent="0.2">
      <c r="A19" s="2021" t="s">
        <v>2135</v>
      </c>
      <c r="B19" s="2021"/>
      <c r="C19" s="2017"/>
      <c r="D19" s="2018"/>
      <c r="E19" s="2022"/>
      <c r="F19" s="2022"/>
      <c r="G19" s="2022"/>
      <c r="H19" s="2022"/>
      <c r="I19" s="2022"/>
      <c r="J19" s="2022"/>
      <c r="K19" s="2141"/>
      <c r="L19" s="2022"/>
      <c r="M19" s="2022"/>
      <c r="N19" s="2023"/>
      <c r="O19" s="2022"/>
    </row>
    <row r="20" spans="1:15" x14ac:dyDescent="0.2">
      <c r="A20" s="2016" t="s">
        <v>2136</v>
      </c>
      <c r="B20" s="2016"/>
      <c r="C20" s="2018" t="s">
        <v>2137</v>
      </c>
      <c r="D20" s="2018" t="s">
        <v>2138</v>
      </c>
      <c r="E20" s="2019">
        <v>0</v>
      </c>
      <c r="F20" s="2019">
        <f>9472226+42084</f>
        <v>9514310</v>
      </c>
      <c r="G20" s="2019">
        <v>0</v>
      </c>
      <c r="H20" s="2019">
        <v>0</v>
      </c>
      <c r="I20" s="2019">
        <v>0</v>
      </c>
      <c r="J20" s="2019">
        <v>9591343</v>
      </c>
      <c r="K20" s="2142"/>
      <c r="L20" s="2019">
        <v>0</v>
      </c>
      <c r="M20" s="2019">
        <f>H20+J20+L20</f>
        <v>9591343</v>
      </c>
      <c r="N20" s="2019"/>
      <c r="O20" s="2019">
        <v>11158217</v>
      </c>
    </row>
    <row r="21" spans="1:15" s="2143" customFormat="1" x14ac:dyDescent="0.2">
      <c r="A21" s="2025"/>
      <c r="B21" s="2025"/>
      <c r="C21" s="2018"/>
      <c r="D21" s="2018" t="s">
        <v>2139</v>
      </c>
      <c r="E21" s="2019">
        <v>9487249</v>
      </c>
      <c r="F21" s="2019">
        <v>417914</v>
      </c>
      <c r="G21" s="2019">
        <v>0</v>
      </c>
      <c r="H21" s="2019">
        <v>9746596</v>
      </c>
      <c r="I21" s="2019">
        <v>0</v>
      </c>
      <c r="J21" s="2019">
        <v>158567</v>
      </c>
      <c r="K21" s="2142"/>
      <c r="L21" s="2019">
        <v>0</v>
      </c>
      <c r="M21" s="2019">
        <f>H21+J21+L21</f>
        <v>9905163</v>
      </c>
      <c r="N21" s="2019"/>
      <c r="O21" s="2019">
        <v>11581640</v>
      </c>
    </row>
    <row r="22" spans="1:15" x14ac:dyDescent="0.2">
      <c r="A22" s="2025"/>
      <c r="B22" s="2025"/>
      <c r="C22" s="2018"/>
      <c r="D22" s="2018" t="s">
        <v>2579</v>
      </c>
      <c r="E22" s="2026">
        <v>282792</v>
      </c>
      <c r="F22" s="2026">
        <v>0</v>
      </c>
      <c r="G22" s="2026">
        <v>0</v>
      </c>
      <c r="H22" s="2026">
        <v>267333</v>
      </c>
      <c r="I22" s="2026">
        <v>0</v>
      </c>
      <c r="J22" s="2026">
        <v>0</v>
      </c>
      <c r="K22" s="2142"/>
      <c r="L22" s="2026">
        <v>0</v>
      </c>
      <c r="M22" s="2026">
        <v>10868018</v>
      </c>
      <c r="N22" s="2026"/>
      <c r="O22" s="2026">
        <v>12787592</v>
      </c>
    </row>
    <row r="23" spans="1:15" x14ac:dyDescent="0.2">
      <c r="A23" s="2017"/>
      <c r="B23" s="2017"/>
      <c r="C23" s="2018"/>
      <c r="D23" s="2027"/>
      <c r="E23" s="2019">
        <f>SUM(E20:E22)</f>
        <v>9770041</v>
      </c>
      <c r="F23" s="2019">
        <f>SUM(F20:F22)</f>
        <v>9932224</v>
      </c>
      <c r="G23" s="2019">
        <v>0</v>
      </c>
      <c r="H23" s="2019">
        <f>SUM(H20:H22)</f>
        <v>10013929</v>
      </c>
      <c r="I23" s="2019">
        <v>0</v>
      </c>
      <c r="J23" s="2019">
        <f>SUM(J20:J22)</f>
        <v>9749910</v>
      </c>
      <c r="K23" s="2142"/>
      <c r="L23" s="2019">
        <f>SUM(L20:L22)</f>
        <v>0</v>
      </c>
      <c r="M23" s="2019">
        <f>SUM(M20:M22)</f>
        <v>30364524</v>
      </c>
      <c r="N23" s="2019"/>
      <c r="O23" s="2019">
        <f>SUM(O20:O22)</f>
        <v>35527449</v>
      </c>
    </row>
    <row r="24" spans="1:15" x14ac:dyDescent="0.2">
      <c r="A24" s="2017"/>
      <c r="B24" s="2017"/>
      <c r="C24" s="2018"/>
      <c r="D24" s="2027"/>
      <c r="E24" s="2028"/>
      <c r="F24" s="2028"/>
      <c r="G24" s="2028"/>
      <c r="H24" s="2028"/>
      <c r="I24" s="2028"/>
      <c r="J24" s="2028"/>
      <c r="K24" s="2142"/>
      <c r="L24" s="2019"/>
      <c r="M24" s="2019"/>
      <c r="N24" s="2019"/>
      <c r="O24" s="2019"/>
    </row>
    <row r="25" spans="1:15" x14ac:dyDescent="0.2">
      <c r="A25" s="2029" t="s">
        <v>2140</v>
      </c>
      <c r="B25" s="2017"/>
      <c r="C25" s="2018" t="s">
        <v>2137</v>
      </c>
      <c r="D25" s="2027" t="s">
        <v>2141</v>
      </c>
      <c r="E25" s="2019">
        <v>0</v>
      </c>
      <c r="F25" s="2019">
        <v>153653</v>
      </c>
      <c r="G25" s="2019">
        <v>0</v>
      </c>
      <c r="H25" s="2019">
        <v>0</v>
      </c>
      <c r="I25" s="2019">
        <v>0</v>
      </c>
      <c r="J25" s="2019">
        <v>156501</v>
      </c>
      <c r="K25" s="2142"/>
      <c r="L25" s="2019">
        <v>0</v>
      </c>
      <c r="M25" s="2019">
        <f t="shared" ref="M25" si="0">H25+J25+L25</f>
        <v>156501</v>
      </c>
      <c r="N25" s="2019"/>
      <c r="O25" s="2019">
        <v>430653</v>
      </c>
    </row>
    <row r="26" spans="1:15" x14ac:dyDescent="0.2">
      <c r="A26" s="2016"/>
      <c r="B26" s="2017"/>
      <c r="C26" s="2018"/>
      <c r="D26" s="2027" t="s">
        <v>2142</v>
      </c>
      <c r="E26" s="2026">
        <v>50223</v>
      </c>
      <c r="F26" s="2026">
        <v>197760</v>
      </c>
      <c r="G26" s="2026">
        <v>0</v>
      </c>
      <c r="H26" s="2026">
        <v>92381</v>
      </c>
      <c r="I26" s="2026">
        <v>0</v>
      </c>
      <c r="J26" s="2026">
        <v>155602</v>
      </c>
      <c r="K26" s="2142"/>
      <c r="L26" s="2026">
        <v>0</v>
      </c>
      <c r="M26" s="2026">
        <v>247983</v>
      </c>
      <c r="N26" s="2026"/>
      <c r="O26" s="2026">
        <v>909882</v>
      </c>
    </row>
    <row r="27" spans="1:15" x14ac:dyDescent="0.2">
      <c r="A27" s="2016"/>
      <c r="B27" s="2017"/>
      <c r="C27" s="2018"/>
      <c r="D27" s="2027"/>
      <c r="E27" s="2019">
        <f>SUM(E25:E26)</f>
        <v>50223</v>
      </c>
      <c r="F27" s="2019">
        <f t="shared" ref="F27:O27" si="1">SUM(F25:F26)</f>
        <v>351413</v>
      </c>
      <c r="G27" s="2019">
        <v>0</v>
      </c>
      <c r="H27" s="2019">
        <f t="shared" si="1"/>
        <v>92381</v>
      </c>
      <c r="I27" s="2043">
        <v>0</v>
      </c>
      <c r="J27" s="2043">
        <f t="shared" si="1"/>
        <v>312103</v>
      </c>
      <c r="K27" s="2142"/>
      <c r="L27" s="2019">
        <f t="shared" si="1"/>
        <v>0</v>
      </c>
      <c r="M27" s="2019">
        <f t="shared" si="1"/>
        <v>404484</v>
      </c>
      <c r="N27" s="2019"/>
      <c r="O27" s="2019">
        <f t="shared" si="1"/>
        <v>1340535</v>
      </c>
    </row>
    <row r="28" spans="1:15" x14ac:dyDescent="0.2">
      <c r="A28" s="2016"/>
      <c r="B28" s="2017"/>
      <c r="C28" s="2018"/>
      <c r="D28" s="2027"/>
      <c r="E28" s="2019"/>
      <c r="F28" s="2019"/>
      <c r="G28" s="2019"/>
      <c r="H28" s="2019"/>
      <c r="I28" s="2019"/>
      <c r="J28" s="2019"/>
      <c r="K28" s="2142"/>
      <c r="L28" s="2019"/>
      <c r="M28" s="2019"/>
      <c r="N28" s="2019"/>
      <c r="O28" s="2019"/>
    </row>
    <row r="29" spans="1:15" x14ac:dyDescent="0.2">
      <c r="A29" s="2021" t="s">
        <v>2580</v>
      </c>
      <c r="B29" s="2017"/>
      <c r="C29" s="2018" t="s">
        <v>2137</v>
      </c>
      <c r="D29" s="2027" t="s">
        <v>2581</v>
      </c>
      <c r="E29" s="2026">
        <v>33436</v>
      </c>
      <c r="F29" s="2026">
        <v>0</v>
      </c>
      <c r="G29" s="2026">
        <v>0</v>
      </c>
      <c r="H29" s="2026">
        <v>33436</v>
      </c>
      <c r="I29" s="2026">
        <v>0</v>
      </c>
      <c r="J29" s="2026">
        <v>0</v>
      </c>
      <c r="K29" s="2142"/>
      <c r="L29" s="2026">
        <v>0</v>
      </c>
      <c r="M29" s="2026">
        <v>37783</v>
      </c>
      <c r="N29" s="2026"/>
      <c r="O29" s="2026">
        <v>75000</v>
      </c>
    </row>
    <row r="30" spans="1:15" x14ac:dyDescent="0.2">
      <c r="A30" s="2025" t="s">
        <v>2592</v>
      </c>
      <c r="B30" s="2017"/>
      <c r="C30" s="2018"/>
      <c r="D30" s="2027"/>
      <c r="E30" s="2019">
        <f>E23+E27+E29</f>
        <v>9853700</v>
      </c>
      <c r="F30" s="2019">
        <f>F23+F27+F29</f>
        <v>10283637</v>
      </c>
      <c r="G30" s="2019">
        <v>0</v>
      </c>
      <c r="H30" s="2019">
        <f>H23+H27+H29</f>
        <v>10139746</v>
      </c>
      <c r="I30" s="2019">
        <v>0</v>
      </c>
      <c r="J30" s="2019">
        <f>J23+J27+J29</f>
        <v>10062013</v>
      </c>
      <c r="K30" s="2142"/>
      <c r="L30" s="2019">
        <f>L23+L27+L29</f>
        <v>0</v>
      </c>
      <c r="M30" s="2019">
        <f>M23+M27+M29</f>
        <v>30806791</v>
      </c>
      <c r="N30" s="2019"/>
      <c r="O30" s="2019">
        <f>O23+O27+O29</f>
        <v>36942984</v>
      </c>
    </row>
    <row r="31" spans="1:15" x14ac:dyDescent="0.2">
      <c r="A31" s="2016"/>
      <c r="B31" s="2017"/>
      <c r="C31" s="2018"/>
      <c r="D31" s="2027"/>
      <c r="E31" s="2028"/>
      <c r="F31" s="2028"/>
      <c r="G31" s="2028"/>
      <c r="H31" s="2028"/>
      <c r="I31" s="2028"/>
      <c r="J31" s="2028"/>
      <c r="K31" s="2142"/>
      <c r="L31" s="2019"/>
      <c r="M31" s="2019"/>
      <c r="N31" s="2019"/>
      <c r="O31" s="2019"/>
    </row>
    <row r="32" spans="1:15" x14ac:dyDescent="0.2">
      <c r="A32" s="2030"/>
      <c r="B32" s="2030"/>
      <c r="C32" s="2015"/>
      <c r="D32" s="2015"/>
      <c r="E32" s="2031"/>
      <c r="F32" s="2031"/>
      <c r="G32" s="2031"/>
      <c r="H32" s="2031"/>
      <c r="I32" s="2031"/>
      <c r="J32" s="2031"/>
      <c r="K32" s="2144"/>
      <c r="L32" s="2026"/>
      <c r="M32" s="2026"/>
      <c r="N32" s="2132"/>
      <c r="O32" s="2026"/>
    </row>
    <row r="33" spans="1:15" x14ac:dyDescent="0.2">
      <c r="A33" s="2017"/>
      <c r="B33" s="2017"/>
      <c r="C33" s="2018"/>
      <c r="D33" s="2027"/>
      <c r="E33" s="2019"/>
      <c r="F33" s="2019"/>
      <c r="G33" s="2019"/>
      <c r="H33" s="2019"/>
      <c r="I33" s="2019"/>
      <c r="J33" s="2019"/>
      <c r="K33" s="2142"/>
      <c r="L33" s="2019"/>
      <c r="M33" s="2019"/>
      <c r="N33" s="2032"/>
      <c r="O33" s="2019"/>
    </row>
    <row r="34" spans="1:15" x14ac:dyDescent="0.2">
      <c r="A34" s="2033" t="s">
        <v>2143</v>
      </c>
      <c r="B34" s="2033"/>
      <c r="C34" s="2018"/>
      <c r="D34" s="2027"/>
      <c r="E34" s="2019"/>
      <c r="F34" s="2019"/>
      <c r="G34" s="2019"/>
      <c r="H34" s="2019"/>
      <c r="I34" s="2019"/>
      <c r="J34" s="2019"/>
      <c r="K34" s="2142"/>
      <c r="L34" s="2019"/>
      <c r="M34" s="2019"/>
      <c r="N34" s="2032"/>
      <c r="O34" s="2019"/>
    </row>
    <row r="35" spans="1:15" x14ac:dyDescent="0.2">
      <c r="A35" s="2034" t="s">
        <v>2144</v>
      </c>
      <c r="B35" s="2034"/>
      <c r="C35" s="2018" t="s">
        <v>2145</v>
      </c>
      <c r="D35" s="2027" t="s">
        <v>2146</v>
      </c>
      <c r="E35" s="2019">
        <v>0</v>
      </c>
      <c r="F35" s="2019">
        <v>255451</v>
      </c>
      <c r="G35" s="2019">
        <v>0</v>
      </c>
      <c r="H35" s="2019">
        <v>0</v>
      </c>
      <c r="I35" s="2019">
        <v>0</v>
      </c>
      <c r="J35" s="2019">
        <v>280029</v>
      </c>
      <c r="K35" s="2142"/>
      <c r="L35" s="2019">
        <v>0</v>
      </c>
      <c r="M35" s="2035">
        <f>SUM(H35:L35)</f>
        <v>280029</v>
      </c>
      <c r="N35" s="2032"/>
      <c r="O35" s="2019">
        <v>540000</v>
      </c>
    </row>
    <row r="36" spans="1:15" x14ac:dyDescent="0.2">
      <c r="A36" s="2036"/>
      <c r="B36" s="2036"/>
      <c r="C36" s="2010"/>
      <c r="D36" s="2027" t="s">
        <v>2147</v>
      </c>
      <c r="E36" s="2019">
        <v>405655</v>
      </c>
      <c r="F36" s="2019">
        <v>88931</v>
      </c>
      <c r="G36" s="2019">
        <v>0</v>
      </c>
      <c r="H36" s="2019">
        <v>412390</v>
      </c>
      <c r="I36" s="2019">
        <v>0</v>
      </c>
      <c r="J36" s="2019">
        <v>82196</v>
      </c>
      <c r="K36" s="2142"/>
      <c r="L36" s="2019">
        <v>0</v>
      </c>
      <c r="M36" s="2019">
        <f>SUM(H36:L36)</f>
        <v>494586</v>
      </c>
      <c r="N36" s="2032"/>
      <c r="O36" s="2019">
        <v>540000</v>
      </c>
    </row>
    <row r="37" spans="1:15" x14ac:dyDescent="0.2">
      <c r="A37" s="2036"/>
      <c r="B37" s="2036"/>
      <c r="C37" s="2010"/>
      <c r="D37" s="2027" t="s">
        <v>2593</v>
      </c>
      <c r="E37" s="2026">
        <v>53824</v>
      </c>
      <c r="F37" s="2026">
        <v>0</v>
      </c>
      <c r="G37" s="2026">
        <v>0</v>
      </c>
      <c r="H37" s="2026">
        <v>57363</v>
      </c>
      <c r="I37" s="2026">
        <v>0</v>
      </c>
      <c r="J37" s="2026">
        <v>0</v>
      </c>
      <c r="K37" s="2142"/>
      <c r="L37" s="2026">
        <v>0</v>
      </c>
      <c r="M37" s="2026">
        <v>533499</v>
      </c>
      <c r="N37" s="2132"/>
      <c r="O37" s="2026">
        <v>540000</v>
      </c>
    </row>
    <row r="38" spans="1:15" x14ac:dyDescent="0.2">
      <c r="A38" s="2017"/>
      <c r="B38" s="2017"/>
      <c r="C38" s="2018"/>
      <c r="D38" s="2027"/>
      <c r="E38" s="2019">
        <f>SUM(E35:E37)</f>
        <v>459479</v>
      </c>
      <c r="F38" s="2019">
        <f>SUM(F35:F37)</f>
        <v>344382</v>
      </c>
      <c r="G38" s="2019">
        <v>0</v>
      </c>
      <c r="H38" s="2019">
        <f>SUM(H35:H37)</f>
        <v>469753</v>
      </c>
      <c r="I38" s="2019">
        <v>0</v>
      </c>
      <c r="J38" s="2019">
        <f>SUM(J35:J37)</f>
        <v>362225</v>
      </c>
      <c r="K38" s="2142"/>
      <c r="L38" s="2019">
        <f>SUM(L35:L37)</f>
        <v>0</v>
      </c>
      <c r="M38" s="2019">
        <f>SUM(M35:M37)</f>
        <v>1308114</v>
      </c>
      <c r="N38" s="2019"/>
      <c r="O38" s="2019">
        <f>SUM(O35:O37)</f>
        <v>1620000</v>
      </c>
    </row>
    <row r="39" spans="1:15" x14ac:dyDescent="0.2">
      <c r="A39" s="2014"/>
      <c r="B39" s="2014"/>
      <c r="C39" s="2015"/>
      <c r="D39" s="2037"/>
      <c r="E39" s="2031"/>
      <c r="F39" s="2031"/>
      <c r="G39" s="2031"/>
      <c r="H39" s="2031"/>
      <c r="I39" s="2031"/>
      <c r="J39" s="2031"/>
      <c r="K39" s="2144"/>
      <c r="L39" s="2026"/>
      <c r="M39" s="2026"/>
      <c r="N39" s="2132"/>
      <c r="O39" s="2026"/>
    </row>
    <row r="40" spans="1:15" x14ac:dyDescent="0.2">
      <c r="A40" s="2017"/>
      <c r="B40" s="2017"/>
      <c r="C40" s="2018"/>
      <c r="D40" s="2027"/>
      <c r="E40" s="2019"/>
      <c r="F40" s="2019"/>
      <c r="G40" s="2019"/>
      <c r="H40" s="2019"/>
      <c r="I40" s="2019"/>
      <c r="J40" s="2019"/>
      <c r="K40" s="2142"/>
      <c r="L40" s="2019"/>
      <c r="M40" s="2019"/>
      <c r="N40" s="2032"/>
      <c r="O40" s="2019"/>
    </row>
    <row r="41" spans="1:15" s="2143" customFormat="1" x14ac:dyDescent="0.2">
      <c r="A41" s="2029" t="s">
        <v>2148</v>
      </c>
      <c r="B41" s="2029"/>
      <c r="C41" s="2018"/>
      <c r="D41" s="2027"/>
      <c r="E41" s="2019"/>
      <c r="F41" s="2019"/>
      <c r="G41" s="2019"/>
      <c r="H41" s="2019"/>
      <c r="I41" s="2019"/>
      <c r="J41" s="2019"/>
      <c r="K41" s="2142"/>
      <c r="L41" s="2019"/>
      <c r="M41" s="2019"/>
      <c r="N41" s="2032"/>
      <c r="O41" s="2019"/>
    </row>
    <row r="42" spans="1:15" x14ac:dyDescent="0.2">
      <c r="A42" s="2017"/>
      <c r="B42" s="2017"/>
      <c r="C42" s="2018"/>
      <c r="D42" s="2027"/>
      <c r="E42" s="2019"/>
      <c r="F42" s="2019"/>
      <c r="G42" s="2019"/>
      <c r="H42" s="2019"/>
      <c r="I42" s="2019"/>
      <c r="J42" s="2019"/>
      <c r="K42" s="2142"/>
      <c r="L42" s="2019"/>
      <c r="M42" s="2019"/>
      <c r="N42" s="2032"/>
      <c r="O42" s="2019"/>
    </row>
    <row r="43" spans="1:15" x14ac:dyDescent="0.2">
      <c r="A43" s="2033" t="s">
        <v>2149</v>
      </c>
      <c r="B43" s="2033"/>
      <c r="C43" s="2010"/>
      <c r="D43" s="2027"/>
      <c r="E43" s="2019"/>
      <c r="F43" s="2019"/>
      <c r="G43" s="2019"/>
      <c r="H43" s="2019"/>
      <c r="I43" s="2019"/>
      <c r="J43" s="2019"/>
      <c r="K43" s="2142"/>
      <c r="L43" s="2019"/>
      <c r="M43" s="2019"/>
      <c r="N43" s="2032"/>
      <c r="O43" s="2019"/>
    </row>
    <row r="44" spans="1:15" x14ac:dyDescent="0.2">
      <c r="A44" s="2063" t="s">
        <v>2594</v>
      </c>
      <c r="B44" s="2025"/>
      <c r="C44" s="2018" t="s">
        <v>2150</v>
      </c>
      <c r="D44" s="2011" t="s">
        <v>2151</v>
      </c>
      <c r="E44" s="2035">
        <v>0</v>
      </c>
      <c r="F44" s="2035">
        <v>163391</v>
      </c>
      <c r="G44" s="2035">
        <v>0</v>
      </c>
      <c r="H44" s="2035">
        <v>0</v>
      </c>
      <c r="I44" s="2019">
        <v>0</v>
      </c>
      <c r="J44" s="2019">
        <v>163391</v>
      </c>
      <c r="K44" s="2142"/>
      <c r="L44" s="2019">
        <v>0</v>
      </c>
      <c r="M44" s="2019">
        <f>SUM(H44:L44)</f>
        <v>163391</v>
      </c>
      <c r="N44" s="2039"/>
      <c r="O44" s="2019">
        <v>270673</v>
      </c>
    </row>
    <row r="45" spans="1:15" x14ac:dyDescent="0.2">
      <c r="A45" s="2025"/>
      <c r="B45" s="2025"/>
      <c r="C45" s="2018"/>
      <c r="D45" s="2018" t="s">
        <v>2152</v>
      </c>
      <c r="E45" s="2026">
        <v>141029</v>
      </c>
      <c r="F45" s="2026">
        <v>0</v>
      </c>
      <c r="G45" s="2026">
        <v>0</v>
      </c>
      <c r="H45" s="2026">
        <v>141029</v>
      </c>
      <c r="I45" s="2026">
        <v>0</v>
      </c>
      <c r="J45" s="2026">
        <v>0</v>
      </c>
      <c r="K45" s="2142"/>
      <c r="L45" s="2026">
        <v>0</v>
      </c>
      <c r="M45" s="2026">
        <f>SUM(H45:L45)</f>
        <v>141029</v>
      </c>
      <c r="N45" s="2133"/>
      <c r="O45" s="2026">
        <v>216446</v>
      </c>
    </row>
    <row r="46" spans="1:15" x14ac:dyDescent="0.2">
      <c r="A46" s="2021"/>
      <c r="B46" s="2021"/>
      <c r="C46" s="2018"/>
      <c r="D46" s="2027"/>
      <c r="E46" s="2019">
        <f>SUM(E44:E45)</f>
        <v>141029</v>
      </c>
      <c r="F46" s="2019">
        <f t="shared" ref="F46:M46" si="2">SUM(F44:F45)</f>
        <v>163391</v>
      </c>
      <c r="G46" s="2019">
        <v>0</v>
      </c>
      <c r="H46" s="2019">
        <f t="shared" si="2"/>
        <v>141029</v>
      </c>
      <c r="I46" s="2019">
        <v>0</v>
      </c>
      <c r="J46" s="2019">
        <f t="shared" si="2"/>
        <v>163391</v>
      </c>
      <c r="K46" s="2142"/>
      <c r="L46" s="2019">
        <f t="shared" si="2"/>
        <v>0</v>
      </c>
      <c r="M46" s="2019">
        <f t="shared" si="2"/>
        <v>304420</v>
      </c>
      <c r="N46" s="2019"/>
      <c r="O46" s="2019">
        <f>SUM(O44:O45)</f>
        <v>487119</v>
      </c>
    </row>
    <row r="47" spans="1:15" x14ac:dyDescent="0.2">
      <c r="A47" s="2017"/>
      <c r="B47" s="2017"/>
      <c r="C47" s="2018"/>
      <c r="D47" s="2027"/>
      <c r="E47" s="2028"/>
      <c r="F47" s="2028"/>
      <c r="G47" s="2028"/>
      <c r="H47" s="2028"/>
      <c r="I47" s="2028"/>
      <c r="J47" s="2028"/>
      <c r="K47" s="2142"/>
      <c r="L47" s="2019"/>
      <c r="M47" s="2019"/>
      <c r="N47" s="2032"/>
      <c r="O47" s="2019"/>
    </row>
    <row r="48" spans="1:15" x14ac:dyDescent="0.2">
      <c r="A48" s="2033" t="s">
        <v>2153</v>
      </c>
      <c r="B48" s="2033"/>
      <c r="C48" s="2010"/>
      <c r="D48" s="2018"/>
      <c r="E48" s="2019"/>
      <c r="F48" s="2019"/>
      <c r="G48" s="2019"/>
      <c r="H48" s="2019"/>
      <c r="I48" s="2019"/>
      <c r="J48" s="2019"/>
      <c r="K48" s="2142"/>
      <c r="L48" s="2019"/>
      <c r="M48" s="2019"/>
      <c r="N48" s="2032"/>
      <c r="O48" s="2019"/>
    </row>
    <row r="49" spans="1:15" x14ac:dyDescent="0.2">
      <c r="A49" s="2025" t="s">
        <v>2595</v>
      </c>
      <c r="B49" s="2025"/>
      <c r="C49" s="2018" t="s">
        <v>2154</v>
      </c>
      <c r="D49" s="2011" t="s">
        <v>2155</v>
      </c>
      <c r="E49" s="2035">
        <v>0</v>
      </c>
      <c r="F49" s="2035">
        <f>7935128-F52</f>
        <v>7600836</v>
      </c>
      <c r="G49" s="2035">
        <v>0</v>
      </c>
      <c r="H49" s="2035">
        <v>0</v>
      </c>
      <c r="I49" s="2035">
        <v>0</v>
      </c>
      <c r="J49" s="2035">
        <f>7596362</f>
        <v>7596362</v>
      </c>
      <c r="K49" s="2142"/>
      <c r="L49" s="2035">
        <v>0</v>
      </c>
      <c r="M49" s="2019">
        <f>SUM(H49:L49)</f>
        <v>7596362</v>
      </c>
      <c r="N49" s="2039"/>
      <c r="O49" s="2035">
        <v>8867021</v>
      </c>
    </row>
    <row r="50" spans="1:15" x14ac:dyDescent="0.2">
      <c r="A50" s="2036"/>
      <c r="B50" s="2036"/>
      <c r="C50" s="2036"/>
      <c r="D50" s="2018" t="s">
        <v>2156</v>
      </c>
      <c r="E50" s="2019">
        <v>7412889</v>
      </c>
      <c r="F50" s="2019">
        <v>69120</v>
      </c>
      <c r="G50" s="2019">
        <v>0</v>
      </c>
      <c r="H50" s="2019">
        <v>7482009</v>
      </c>
      <c r="I50" s="2019">
        <v>0</v>
      </c>
      <c r="J50" s="2019">
        <v>0</v>
      </c>
      <c r="K50" s="2142"/>
      <c r="L50" s="2019">
        <v>0</v>
      </c>
      <c r="M50" s="2019">
        <f>SUM(H50:L50)</f>
        <v>7482009</v>
      </c>
      <c r="N50" s="2039"/>
      <c r="O50" s="2019">
        <v>9533871</v>
      </c>
    </row>
    <row r="51" spans="1:15" x14ac:dyDescent="0.2">
      <c r="A51" s="2036"/>
      <c r="B51" s="2036"/>
      <c r="C51" s="2036"/>
      <c r="D51" s="2018" t="s">
        <v>2582</v>
      </c>
      <c r="E51" s="2019">
        <v>351</v>
      </c>
      <c r="F51" s="2019">
        <v>0</v>
      </c>
      <c r="G51" s="2019">
        <v>0</v>
      </c>
      <c r="H51" s="2019">
        <v>207</v>
      </c>
      <c r="I51" s="2019">
        <v>0</v>
      </c>
      <c r="J51" s="2019">
        <v>0</v>
      </c>
      <c r="K51" s="2142"/>
      <c r="L51" s="2019">
        <v>0</v>
      </c>
      <c r="M51" s="2019">
        <v>7769384</v>
      </c>
      <c r="N51" s="2039"/>
      <c r="O51" s="2019">
        <v>9294572</v>
      </c>
    </row>
    <row r="52" spans="1:15" x14ac:dyDescent="0.2">
      <c r="A52" s="2036"/>
      <c r="B52" s="2036"/>
      <c r="C52" s="2036"/>
      <c r="D52" s="2018" t="s">
        <v>2157</v>
      </c>
      <c r="E52" s="2026">
        <v>0</v>
      </c>
      <c r="F52" s="2026">
        <v>334292</v>
      </c>
      <c r="G52" s="2026">
        <v>0</v>
      </c>
      <c r="H52" s="2026">
        <v>0</v>
      </c>
      <c r="I52" s="2026">
        <v>0</v>
      </c>
      <c r="J52" s="2026">
        <v>334292</v>
      </c>
      <c r="K52" s="2142"/>
      <c r="L52" s="2026">
        <v>0</v>
      </c>
      <c r="M52" s="2026">
        <f>SUM(H52:L52)</f>
        <v>334292</v>
      </c>
      <c r="N52" s="2133"/>
      <c r="O52" s="2026">
        <v>334292</v>
      </c>
    </row>
    <row r="53" spans="1:15" x14ac:dyDescent="0.2">
      <c r="A53" s="2021"/>
      <c r="B53" s="2021"/>
      <c r="C53" s="2018"/>
      <c r="D53" s="2027"/>
      <c r="E53" s="2019">
        <f>SUM(E49:E52)</f>
        <v>7413240</v>
      </c>
      <c r="F53" s="2019">
        <f t="shared" ref="F53:J53" si="3">SUM(F49:F52)</f>
        <v>8004248</v>
      </c>
      <c r="G53" s="2019">
        <v>0</v>
      </c>
      <c r="H53" s="2019">
        <f t="shared" si="3"/>
        <v>7482216</v>
      </c>
      <c r="I53" s="2019">
        <v>0</v>
      </c>
      <c r="J53" s="2019">
        <f t="shared" si="3"/>
        <v>7930654</v>
      </c>
      <c r="K53" s="2142"/>
      <c r="L53" s="2019">
        <f>SUM(L49:L52)</f>
        <v>0</v>
      </c>
      <c r="M53" s="2019">
        <f>SUM(M49:M52)</f>
        <v>23182047</v>
      </c>
      <c r="N53" s="2019"/>
      <c r="O53" s="2019">
        <f>SUM(O49:O52)</f>
        <v>28029756</v>
      </c>
    </row>
    <row r="54" spans="1:15" x14ac:dyDescent="0.2">
      <c r="A54" s="2017"/>
      <c r="B54" s="2017"/>
      <c r="C54" s="2018"/>
      <c r="D54" s="2027"/>
      <c r="E54" s="2028"/>
      <c r="F54" s="2028"/>
      <c r="G54" s="2028"/>
      <c r="H54" s="2028"/>
      <c r="I54" s="2028"/>
      <c r="J54" s="2028"/>
      <c r="K54" s="2142"/>
      <c r="L54" s="2019"/>
      <c r="M54" s="2019"/>
      <c r="N54" s="2032"/>
      <c r="O54" s="2019"/>
    </row>
    <row r="55" spans="1:15" x14ac:dyDescent="0.2">
      <c r="A55" s="2033" t="s">
        <v>2153</v>
      </c>
      <c r="B55" s="2033"/>
      <c r="C55" s="2018"/>
      <c r="D55" s="2027"/>
      <c r="E55" s="2019"/>
      <c r="F55" s="2019"/>
      <c r="G55" s="2019"/>
      <c r="H55" s="2019"/>
      <c r="I55" s="2019"/>
      <c r="J55" s="2019"/>
      <c r="K55" s="2142"/>
      <c r="L55" s="2019"/>
      <c r="M55" s="2019"/>
      <c r="N55" s="2032"/>
      <c r="O55" s="2019"/>
    </row>
    <row r="56" spans="1:15" x14ac:dyDescent="0.2">
      <c r="A56" s="2025" t="s">
        <v>2596</v>
      </c>
      <c r="B56" s="2025"/>
      <c r="C56" s="2018" t="s">
        <v>2154</v>
      </c>
      <c r="D56" s="2018" t="s">
        <v>2158</v>
      </c>
      <c r="E56" s="2019">
        <v>0</v>
      </c>
      <c r="F56" s="2019">
        <v>279366</v>
      </c>
      <c r="G56" s="2019">
        <v>0</v>
      </c>
      <c r="H56" s="2019">
        <v>0</v>
      </c>
      <c r="I56" s="2019">
        <v>0</v>
      </c>
      <c r="J56" s="2019">
        <v>279366</v>
      </c>
      <c r="K56" s="2142"/>
      <c r="L56" s="2019">
        <v>0</v>
      </c>
      <c r="M56" s="2019">
        <f>SUM(H56:L56)</f>
        <v>279366</v>
      </c>
      <c r="N56" s="2032"/>
      <c r="O56" s="2040" t="s">
        <v>2111</v>
      </c>
    </row>
    <row r="57" spans="1:15" x14ac:dyDescent="0.2">
      <c r="A57" s="2036"/>
      <c r="B57" s="2036"/>
      <c r="C57" s="2036"/>
      <c r="D57" s="2018" t="s">
        <v>2159</v>
      </c>
      <c r="E57" s="2019">
        <v>173241</v>
      </c>
      <c r="F57" s="2019">
        <v>73496</v>
      </c>
      <c r="G57" s="2019">
        <v>0</v>
      </c>
      <c r="H57" s="2019">
        <v>173241</v>
      </c>
      <c r="I57" s="2019">
        <v>0</v>
      </c>
      <c r="J57" s="2019">
        <v>73496</v>
      </c>
      <c r="K57" s="2142"/>
      <c r="L57" s="2019">
        <v>0</v>
      </c>
      <c r="M57" s="2019">
        <f>SUM(H57:L57)</f>
        <v>246737</v>
      </c>
      <c r="N57" s="2032"/>
      <c r="O57" s="2040" t="s">
        <v>2111</v>
      </c>
    </row>
    <row r="58" spans="1:15" x14ac:dyDescent="0.2">
      <c r="A58" s="2036"/>
      <c r="B58" s="2036"/>
      <c r="C58" s="2036"/>
      <c r="D58" s="2018" t="s">
        <v>2583</v>
      </c>
      <c r="E58" s="2019">
        <v>17371</v>
      </c>
      <c r="F58" s="2019">
        <v>0</v>
      </c>
      <c r="G58" s="2019">
        <v>0</v>
      </c>
      <c r="H58" s="2019">
        <v>17371</v>
      </c>
      <c r="I58" s="2019">
        <v>0</v>
      </c>
      <c r="J58" s="2019">
        <v>0</v>
      </c>
      <c r="K58" s="2142"/>
      <c r="L58" s="2019"/>
      <c r="M58" s="2019">
        <v>173711</v>
      </c>
      <c r="N58" s="2032"/>
      <c r="O58" s="2040" t="s">
        <v>2111</v>
      </c>
    </row>
    <row r="59" spans="1:15" x14ac:dyDescent="0.2">
      <c r="A59" s="2036"/>
      <c r="B59" s="2036"/>
      <c r="C59" s="2036"/>
      <c r="D59" s="2018" t="s">
        <v>2160</v>
      </c>
      <c r="E59" s="2019">
        <v>0</v>
      </c>
      <c r="F59" s="2019">
        <v>49263</v>
      </c>
      <c r="G59" s="2019">
        <v>0</v>
      </c>
      <c r="H59" s="2019">
        <v>0</v>
      </c>
      <c r="I59" s="2019">
        <v>0</v>
      </c>
      <c r="J59" s="2019">
        <f>F59</f>
        <v>49263</v>
      </c>
      <c r="K59" s="2142"/>
      <c r="L59" s="2019"/>
      <c r="M59" s="2019">
        <f>SUM(H59:L59)</f>
        <v>49263</v>
      </c>
      <c r="N59" s="2032"/>
      <c r="O59" s="2040" t="s">
        <v>2111</v>
      </c>
    </row>
    <row r="60" spans="1:15" x14ac:dyDescent="0.2">
      <c r="A60" s="2036"/>
      <c r="B60" s="2036"/>
      <c r="C60" s="2036"/>
      <c r="D60" s="2018" t="s">
        <v>2584</v>
      </c>
      <c r="E60" s="2026">
        <v>41970</v>
      </c>
      <c r="F60" s="2026">
        <v>0</v>
      </c>
      <c r="G60" s="2026">
        <v>0</v>
      </c>
      <c r="H60" s="2026">
        <v>41970</v>
      </c>
      <c r="I60" s="2026">
        <v>0</v>
      </c>
      <c r="J60" s="2026">
        <v>0</v>
      </c>
      <c r="K60" s="2142"/>
      <c r="L60" s="2026"/>
      <c r="M60" s="2026">
        <f>SUM(H60:L60)</f>
        <v>41970</v>
      </c>
      <c r="N60" s="2132"/>
      <c r="O60" s="2041" t="s">
        <v>2111</v>
      </c>
    </row>
    <row r="61" spans="1:15" x14ac:dyDescent="0.2">
      <c r="A61" s="2017"/>
      <c r="B61" s="2017"/>
      <c r="C61" s="2018"/>
      <c r="D61" s="2018"/>
      <c r="E61" s="2019">
        <f>SUM(E56:E60)</f>
        <v>232582</v>
      </c>
      <c r="F61" s="2019">
        <f>SUM(F56:F60)</f>
        <v>402125</v>
      </c>
      <c r="G61" s="2019">
        <v>0</v>
      </c>
      <c r="H61" s="2019">
        <f>SUM(H56:H60)</f>
        <v>232582</v>
      </c>
      <c r="I61" s="2019">
        <v>0</v>
      </c>
      <c r="J61" s="2019">
        <f>SUM(J56:J60)</f>
        <v>402125</v>
      </c>
      <c r="K61" s="2142"/>
      <c r="L61" s="2019">
        <f>SUM(L56:L60)</f>
        <v>0</v>
      </c>
      <c r="M61" s="2019">
        <f>SUM(M56:M60)</f>
        <v>791047</v>
      </c>
      <c r="N61" s="2019"/>
      <c r="O61" s="2040" t="s">
        <v>2111</v>
      </c>
    </row>
    <row r="62" spans="1:15" x14ac:dyDescent="0.2">
      <c r="A62" s="2017"/>
      <c r="B62" s="2017"/>
      <c r="C62" s="2018"/>
      <c r="D62" s="2018"/>
      <c r="E62" s="2028"/>
      <c r="F62" s="2028"/>
      <c r="G62" s="2028"/>
      <c r="H62" s="2028"/>
      <c r="I62" s="2028"/>
      <c r="J62" s="2028"/>
      <c r="K62" s="2142"/>
      <c r="L62" s="2019"/>
      <c r="M62" s="2019"/>
      <c r="N62" s="2032"/>
      <c r="O62" s="2040"/>
    </row>
    <row r="63" spans="1:15" x14ac:dyDescent="0.2">
      <c r="A63" s="2042" t="s">
        <v>2161</v>
      </c>
      <c r="B63" s="2042"/>
      <c r="C63" s="2018"/>
      <c r="D63" s="2018"/>
      <c r="E63" s="2019">
        <f>E61+E53+E46</f>
        <v>7786851</v>
      </c>
      <c r="F63" s="2019">
        <f>F61+F53+F46</f>
        <v>8569764</v>
      </c>
      <c r="G63" s="2019">
        <v>0</v>
      </c>
      <c r="H63" s="2019">
        <f>H61+H53+H46</f>
        <v>7855827</v>
      </c>
      <c r="I63" s="2019">
        <v>0</v>
      </c>
      <c r="J63" s="2019">
        <f>J61+J53+J46</f>
        <v>8496170</v>
      </c>
      <c r="K63" s="2142"/>
      <c r="L63" s="2019">
        <f>L61+L53+L46</f>
        <v>0</v>
      </c>
      <c r="M63" s="2019">
        <f>M61+M53+M46</f>
        <v>24277514</v>
      </c>
      <c r="N63" s="2019"/>
      <c r="O63" s="2019">
        <f>O46+O53</f>
        <v>28516875</v>
      </c>
    </row>
    <row r="64" spans="1:15" ht="8.25" customHeight="1" x14ac:dyDescent="0.2">
      <c r="A64" s="2014"/>
      <c r="B64" s="2014"/>
      <c r="C64" s="2015"/>
      <c r="D64" s="2015"/>
      <c r="E64" s="2026"/>
      <c r="F64" s="2026"/>
      <c r="G64" s="2026"/>
      <c r="H64" s="2026"/>
      <c r="I64" s="2026"/>
      <c r="J64" s="2026"/>
      <c r="K64" s="2144"/>
      <c r="L64" s="2026"/>
      <c r="M64" s="2026"/>
      <c r="N64" s="2132"/>
      <c r="O64" s="2041"/>
    </row>
    <row r="65" spans="1:15" x14ac:dyDescent="0.2">
      <c r="A65" s="2017"/>
      <c r="B65" s="2017"/>
      <c r="C65" s="2018"/>
      <c r="D65" s="2018"/>
      <c r="E65" s="2019"/>
      <c r="F65" s="2019"/>
      <c r="G65" s="2019"/>
      <c r="H65" s="2019"/>
      <c r="I65" s="2019"/>
      <c r="J65" s="2019"/>
      <c r="K65" s="2142"/>
      <c r="L65" s="2019"/>
      <c r="M65" s="2019"/>
      <c r="N65" s="2032"/>
      <c r="O65" s="2040"/>
    </row>
    <row r="66" spans="1:15" x14ac:dyDescent="0.2">
      <c r="A66" s="2029" t="s">
        <v>2162</v>
      </c>
      <c r="B66" s="2029"/>
      <c r="C66" s="2018"/>
      <c r="D66" s="2027"/>
      <c r="E66" s="2019"/>
      <c r="F66" s="2019"/>
      <c r="G66" s="2019"/>
      <c r="H66" s="2019"/>
      <c r="I66" s="2019"/>
      <c r="J66" s="2019"/>
      <c r="K66" s="2142"/>
      <c r="L66" s="2019"/>
      <c r="M66" s="2019"/>
      <c r="N66" s="2032"/>
      <c r="O66" s="2019"/>
    </row>
    <row r="67" spans="1:15" x14ac:dyDescent="0.2">
      <c r="A67" s="2029"/>
      <c r="B67" s="2029"/>
      <c r="C67" s="2018"/>
      <c r="D67" s="2027"/>
      <c r="E67" s="2019"/>
      <c r="F67" s="2019"/>
      <c r="G67" s="2019"/>
      <c r="H67" s="2019"/>
      <c r="I67" s="2019"/>
      <c r="J67" s="2019"/>
      <c r="K67" s="2142"/>
      <c r="L67" s="2019"/>
      <c r="M67" s="2019"/>
      <c r="N67" s="2032"/>
      <c r="O67" s="2019"/>
    </row>
    <row r="68" spans="1:15" x14ac:dyDescent="0.2">
      <c r="A68" s="2025" t="s">
        <v>2163</v>
      </c>
      <c r="B68" s="2025"/>
      <c r="C68" s="2018" t="s">
        <v>2164</v>
      </c>
      <c r="D68" s="2027" t="s">
        <v>2165</v>
      </c>
      <c r="E68" s="2019">
        <v>0</v>
      </c>
      <c r="F68" s="2019">
        <v>987986</v>
      </c>
      <c r="G68" s="2019">
        <v>0</v>
      </c>
      <c r="H68" s="2019">
        <v>0</v>
      </c>
      <c r="I68" s="2019">
        <v>0</v>
      </c>
      <c r="J68" s="2019">
        <v>1103271</v>
      </c>
      <c r="K68" s="2142"/>
      <c r="L68" s="2019">
        <v>0</v>
      </c>
      <c r="M68" s="2019">
        <f>SUM(H68:L68)</f>
        <v>1103271</v>
      </c>
      <c r="N68" s="2032"/>
      <c r="O68" s="2019">
        <v>2148607</v>
      </c>
    </row>
    <row r="69" spans="1:15" x14ac:dyDescent="0.2">
      <c r="A69" s="2036"/>
      <c r="B69" s="2036"/>
      <c r="C69" s="2036"/>
      <c r="D69" s="2027" t="s">
        <v>2166</v>
      </c>
      <c r="E69" s="2019">
        <v>870964</v>
      </c>
      <c r="F69" s="2019">
        <v>208061</v>
      </c>
      <c r="G69" s="2019">
        <v>0</v>
      </c>
      <c r="H69" s="2019">
        <v>906171</v>
      </c>
      <c r="I69" s="2019">
        <v>0</v>
      </c>
      <c r="J69" s="2019">
        <v>172854</v>
      </c>
      <c r="K69" s="2142"/>
      <c r="L69" s="2019">
        <v>0</v>
      </c>
      <c r="M69" s="2019">
        <f>SUM(H69:L69)</f>
        <v>1079025</v>
      </c>
      <c r="N69" s="2032"/>
      <c r="O69" s="2019">
        <v>1937932</v>
      </c>
    </row>
    <row r="70" spans="1:15" x14ac:dyDescent="0.2">
      <c r="A70" s="2036"/>
      <c r="B70" s="2036"/>
      <c r="C70" s="2036"/>
      <c r="D70" s="2027" t="s">
        <v>2585</v>
      </c>
      <c r="E70" s="2026">
        <v>235247</v>
      </c>
      <c r="F70" s="2026">
        <v>0</v>
      </c>
      <c r="G70" s="2026">
        <v>0</v>
      </c>
      <c r="H70" s="2026">
        <v>231744</v>
      </c>
      <c r="I70" s="2026">
        <v>0</v>
      </c>
      <c r="J70" s="2026">
        <v>0</v>
      </c>
      <c r="K70" s="2142"/>
      <c r="L70" s="2026">
        <v>0</v>
      </c>
      <c r="M70" s="2026">
        <v>1198811</v>
      </c>
      <c r="N70" s="2132"/>
      <c r="O70" s="2026">
        <v>1882943</v>
      </c>
    </row>
    <row r="71" spans="1:15" x14ac:dyDescent="0.2">
      <c r="A71" s="2029"/>
      <c r="B71" s="2029"/>
      <c r="C71" s="2018"/>
      <c r="D71" s="2027"/>
      <c r="E71" s="2019">
        <f>SUM(E68:E70)</f>
        <v>1106211</v>
      </c>
      <c r="F71" s="2019">
        <f t="shared" ref="F71:O71" si="4">SUM(F68:F70)</f>
        <v>1196047</v>
      </c>
      <c r="G71" s="2019">
        <v>0</v>
      </c>
      <c r="H71" s="2019">
        <f t="shared" si="4"/>
        <v>1137915</v>
      </c>
      <c r="I71" s="2019">
        <v>0</v>
      </c>
      <c r="J71" s="2019">
        <f t="shared" si="4"/>
        <v>1276125</v>
      </c>
      <c r="K71" s="2142"/>
      <c r="L71" s="2019">
        <f t="shared" si="4"/>
        <v>0</v>
      </c>
      <c r="M71" s="2019">
        <f t="shared" si="4"/>
        <v>3381107</v>
      </c>
      <c r="N71" s="2019"/>
      <c r="O71" s="2019">
        <f t="shared" si="4"/>
        <v>5969482</v>
      </c>
    </row>
    <row r="72" spans="1:15" x14ac:dyDescent="0.2">
      <c r="A72" s="2029"/>
      <c r="B72" s="2029"/>
      <c r="C72" s="2018"/>
      <c r="D72" s="2027"/>
      <c r="E72" s="2028"/>
      <c r="F72" s="2028"/>
      <c r="G72" s="2028"/>
      <c r="H72" s="2028"/>
      <c r="I72" s="2028"/>
      <c r="J72" s="2028"/>
      <c r="K72" s="2142"/>
      <c r="L72" s="2019"/>
      <c r="M72" s="2019"/>
      <c r="N72" s="2019"/>
      <c r="O72" s="2019"/>
    </row>
    <row r="73" spans="1:15" ht="7.5" customHeight="1" x14ac:dyDescent="0.2">
      <c r="A73" s="2038"/>
      <c r="B73" s="2038"/>
      <c r="C73" s="2015"/>
      <c r="D73" s="2037"/>
      <c r="E73" s="2026"/>
      <c r="F73" s="2026"/>
      <c r="G73" s="2026"/>
      <c r="H73" s="2026"/>
      <c r="I73" s="2026"/>
      <c r="J73" s="2026"/>
      <c r="K73" s="2144"/>
      <c r="L73" s="2026"/>
      <c r="M73" s="2026"/>
      <c r="N73" s="2132"/>
      <c r="O73" s="2026"/>
    </row>
    <row r="74" spans="1:15" ht="8.25" customHeight="1" x14ac:dyDescent="0.2">
      <c r="A74" s="2017"/>
      <c r="B74" s="2017"/>
      <c r="C74" s="2018"/>
      <c r="D74" s="2027"/>
      <c r="E74" s="2019"/>
      <c r="F74" s="2019"/>
      <c r="G74" s="2019"/>
      <c r="H74" s="2019"/>
      <c r="I74" s="2019"/>
      <c r="J74" s="2019"/>
      <c r="K74" s="2142"/>
      <c r="L74" s="2019"/>
      <c r="M74" s="2019"/>
      <c r="N74" s="2032"/>
      <c r="O74" s="2019"/>
    </row>
    <row r="75" spans="1:15" x14ac:dyDescent="0.2">
      <c r="A75" s="2029" t="s">
        <v>2597</v>
      </c>
      <c r="B75" s="2029"/>
      <c r="C75" s="2018"/>
      <c r="D75" s="2027"/>
      <c r="E75" s="2019"/>
      <c r="F75" s="2019"/>
      <c r="G75" s="2019"/>
      <c r="H75" s="2019"/>
      <c r="I75" s="2019"/>
      <c r="J75" s="2019"/>
      <c r="K75" s="2142"/>
      <c r="L75" s="2019"/>
      <c r="M75" s="2019"/>
      <c r="N75" s="2032"/>
      <c r="O75" s="2019"/>
    </row>
    <row r="76" spans="1:15" x14ac:dyDescent="0.2">
      <c r="A76" s="2025" t="s">
        <v>2167</v>
      </c>
      <c r="B76" s="2025"/>
      <c r="C76" s="2018" t="s">
        <v>2168</v>
      </c>
      <c r="D76" s="2027" t="s">
        <v>2169</v>
      </c>
      <c r="E76" s="2019">
        <v>0</v>
      </c>
      <c r="F76" s="2019">
        <v>1481681</v>
      </c>
      <c r="G76" s="2019">
        <v>0</v>
      </c>
      <c r="H76" s="2019">
        <v>0</v>
      </c>
      <c r="I76" s="2019">
        <v>0</v>
      </c>
      <c r="J76" s="2019">
        <v>1500679</v>
      </c>
      <c r="K76" s="2142"/>
      <c r="L76" s="2019">
        <v>0</v>
      </c>
      <c r="M76" s="2019">
        <f>SUM(H76:L76)</f>
        <v>1500679</v>
      </c>
      <c r="N76" s="2032"/>
      <c r="O76" s="2019">
        <v>2009027</v>
      </c>
    </row>
    <row r="77" spans="1:15" x14ac:dyDescent="0.2">
      <c r="A77" s="2036"/>
      <c r="B77" s="2036"/>
      <c r="C77" s="2036"/>
      <c r="D77" s="2027" t="s">
        <v>2170</v>
      </c>
      <c r="E77" s="2019">
        <v>1435733</v>
      </c>
      <c r="F77" s="2019">
        <v>725631</v>
      </c>
      <c r="G77" s="2019">
        <v>0</v>
      </c>
      <c r="H77" s="2019">
        <v>2063629</v>
      </c>
      <c r="I77" s="2019">
        <v>0</v>
      </c>
      <c r="J77" s="2019">
        <v>97735</v>
      </c>
      <c r="K77" s="2142"/>
      <c r="L77" s="2019">
        <v>0</v>
      </c>
      <c r="M77" s="2019">
        <v>2161364</v>
      </c>
      <c r="N77" s="2032"/>
      <c r="O77" s="2019">
        <v>2358196</v>
      </c>
    </row>
    <row r="78" spans="1:15" x14ac:dyDescent="0.2">
      <c r="A78" s="2036"/>
      <c r="B78" s="2036"/>
      <c r="C78" s="2036"/>
      <c r="D78" s="2027" t="s">
        <v>2586</v>
      </c>
      <c r="E78" s="2026">
        <v>171873</v>
      </c>
      <c r="F78" s="2026">
        <v>0</v>
      </c>
      <c r="G78" s="2026">
        <v>0</v>
      </c>
      <c r="H78" s="2026">
        <v>167093</v>
      </c>
      <c r="I78" s="2026">
        <v>0</v>
      </c>
      <c r="J78" s="2026">
        <v>0</v>
      </c>
      <c r="K78" s="2142"/>
      <c r="L78" s="2026">
        <v>0</v>
      </c>
      <c r="M78" s="2026">
        <v>1563275</v>
      </c>
      <c r="N78" s="2132"/>
      <c r="O78" s="2026">
        <v>2030493</v>
      </c>
    </row>
    <row r="79" spans="1:15" x14ac:dyDescent="0.2">
      <c r="A79" s="2017"/>
      <c r="B79" s="2017"/>
      <c r="C79" s="2018"/>
      <c r="D79" s="2027"/>
      <c r="E79" s="2019">
        <f>SUM(E76:E78)</f>
        <v>1607606</v>
      </c>
      <c r="F79" s="2019">
        <f>SUM(F76:F78)</f>
        <v>2207312</v>
      </c>
      <c r="G79" s="2019">
        <v>0</v>
      </c>
      <c r="H79" s="2019">
        <f>SUM(H76:H78)</f>
        <v>2230722</v>
      </c>
      <c r="I79" s="2019">
        <v>0</v>
      </c>
      <c r="J79" s="2019">
        <f>SUM(J76:J78)</f>
        <v>1598414</v>
      </c>
      <c r="K79" s="2142"/>
      <c r="L79" s="2019">
        <f>SUM(L76:L78)</f>
        <v>0</v>
      </c>
      <c r="M79" s="2019">
        <f>SUM(M76:M78)</f>
        <v>5225318</v>
      </c>
      <c r="N79" s="2019"/>
      <c r="O79" s="2019">
        <f>SUM(O76:O78)</f>
        <v>6397716</v>
      </c>
    </row>
    <row r="80" spans="1:15" x14ac:dyDescent="0.2">
      <c r="A80" s="2014"/>
      <c r="B80" s="2014"/>
      <c r="C80" s="2015"/>
      <c r="D80" s="2037"/>
      <c r="E80" s="2031"/>
      <c r="F80" s="2031"/>
      <c r="G80" s="2031"/>
      <c r="H80" s="2031"/>
      <c r="I80" s="2031"/>
      <c r="J80" s="2031"/>
      <c r="K80" s="2144"/>
      <c r="L80" s="2026"/>
      <c r="M80" s="2026"/>
      <c r="N80" s="2026"/>
      <c r="O80" s="2026"/>
    </row>
    <row r="81" spans="1:15" x14ac:dyDescent="0.2">
      <c r="A81" s="2017"/>
      <c r="B81" s="2017"/>
      <c r="C81" s="2018"/>
      <c r="D81" s="2027"/>
      <c r="E81" s="2019"/>
      <c r="F81" s="2019"/>
      <c r="G81" s="2019"/>
      <c r="H81" s="2019"/>
      <c r="I81" s="2019"/>
      <c r="J81" s="2019"/>
      <c r="K81" s="2142"/>
      <c r="L81" s="2019"/>
      <c r="M81" s="2019"/>
      <c r="N81" s="2019"/>
      <c r="O81" s="2019"/>
    </row>
    <row r="82" spans="1:15" x14ac:dyDescent="0.2">
      <c r="A82" s="2029" t="s">
        <v>2171</v>
      </c>
      <c r="B82" s="2029"/>
      <c r="C82" s="2018"/>
      <c r="D82" s="2027"/>
      <c r="E82" s="2019"/>
      <c r="F82" s="2019"/>
      <c r="G82" s="2019"/>
      <c r="H82" s="2019"/>
      <c r="I82" s="2019"/>
      <c r="J82" s="2019"/>
      <c r="K82" s="2142"/>
      <c r="L82" s="2019"/>
      <c r="M82" s="2019"/>
      <c r="N82" s="2032"/>
      <c r="O82" s="2019"/>
    </row>
    <row r="83" spans="1:15" x14ac:dyDescent="0.2">
      <c r="A83" s="2025" t="s">
        <v>2172</v>
      </c>
      <c r="B83" s="2025"/>
      <c r="C83" s="2018" t="s">
        <v>2173</v>
      </c>
      <c r="D83" s="2027" t="s">
        <v>2174</v>
      </c>
      <c r="E83" s="2019">
        <v>0</v>
      </c>
      <c r="F83" s="2019">
        <v>0</v>
      </c>
      <c r="G83" s="2019">
        <v>0</v>
      </c>
      <c r="H83" s="2019">
        <v>0</v>
      </c>
      <c r="I83" s="2019">
        <v>0</v>
      </c>
      <c r="J83" s="2019">
        <v>0</v>
      </c>
      <c r="K83" s="2142"/>
      <c r="L83" s="2019">
        <v>0</v>
      </c>
      <c r="M83" s="2019">
        <f>SUM(H83:L83)</f>
        <v>0</v>
      </c>
      <c r="N83" s="2032"/>
      <c r="O83" s="2019">
        <v>0</v>
      </c>
    </row>
    <row r="84" spans="1:15" x14ac:dyDescent="0.2">
      <c r="A84" s="2025" t="s">
        <v>2172</v>
      </c>
      <c r="B84" s="2025"/>
      <c r="C84" s="2018" t="s">
        <v>2173</v>
      </c>
      <c r="D84" s="2027" t="s">
        <v>2175</v>
      </c>
      <c r="E84" s="2019">
        <v>1512063</v>
      </c>
      <c r="F84" s="2019">
        <v>127722</v>
      </c>
      <c r="G84" s="2019">
        <v>0</v>
      </c>
      <c r="H84" s="2019">
        <v>2234487</v>
      </c>
      <c r="I84" s="2019">
        <v>0</v>
      </c>
      <c r="J84" s="2019">
        <v>108260</v>
      </c>
      <c r="K84" s="2142"/>
      <c r="L84" s="2019">
        <v>0</v>
      </c>
      <c r="M84" s="2019">
        <v>2342747</v>
      </c>
      <c r="N84" s="2032"/>
      <c r="O84" s="2019">
        <v>2395800</v>
      </c>
    </row>
    <row r="85" spans="1:15" x14ac:dyDescent="0.2">
      <c r="A85" s="2025"/>
      <c r="B85" s="2025"/>
      <c r="C85" s="2018"/>
      <c r="D85" s="2027" t="s">
        <v>2587</v>
      </c>
      <c r="E85" s="2019">
        <v>8206</v>
      </c>
      <c r="F85" s="2019">
        <v>0</v>
      </c>
      <c r="G85" s="2019">
        <v>0</v>
      </c>
      <c r="H85" s="2019">
        <v>3772</v>
      </c>
      <c r="I85" s="2019">
        <v>0</v>
      </c>
      <c r="J85" s="2019">
        <v>0</v>
      </c>
      <c r="K85" s="2142"/>
      <c r="L85" s="2019">
        <v>0</v>
      </c>
      <c r="M85" s="2019">
        <v>285342</v>
      </c>
      <c r="N85" s="2032"/>
      <c r="O85" s="2019">
        <v>2395800</v>
      </c>
    </row>
    <row r="86" spans="1:15" x14ac:dyDescent="0.2">
      <c r="A86" s="2025"/>
      <c r="B86" s="2025"/>
      <c r="C86" s="2018"/>
      <c r="D86" s="2027"/>
      <c r="E86" s="2043">
        <f>SUM(E83:E85)</f>
        <v>1520269</v>
      </c>
      <c r="F86" s="2043">
        <f t="shared" ref="F86:O86" si="5">SUM(F83:F85)</f>
        <v>127722</v>
      </c>
      <c r="G86" s="2043">
        <v>0</v>
      </c>
      <c r="H86" s="2043">
        <f t="shared" si="5"/>
        <v>2238259</v>
      </c>
      <c r="I86" s="2043">
        <v>0</v>
      </c>
      <c r="J86" s="2043">
        <f t="shared" si="5"/>
        <v>108260</v>
      </c>
      <c r="K86" s="2142"/>
      <c r="L86" s="2043">
        <f t="shared" si="5"/>
        <v>0</v>
      </c>
      <c r="M86" s="2043">
        <f t="shared" si="5"/>
        <v>2628089</v>
      </c>
      <c r="N86" s="2043"/>
      <c r="O86" s="2043">
        <f t="shared" si="5"/>
        <v>4791600</v>
      </c>
    </row>
    <row r="87" spans="1:15" x14ac:dyDescent="0.2">
      <c r="A87" s="2030"/>
      <c r="B87" s="2030"/>
      <c r="C87" s="2015"/>
      <c r="D87" s="2037"/>
      <c r="E87" s="2031"/>
      <c r="F87" s="2031"/>
      <c r="G87" s="2031"/>
      <c r="H87" s="2031"/>
      <c r="I87" s="2031"/>
      <c r="J87" s="2031"/>
      <c r="K87" s="2144"/>
      <c r="L87" s="2026"/>
      <c r="M87" s="2026"/>
      <c r="N87" s="2026"/>
      <c r="O87" s="2026"/>
    </row>
    <row r="88" spans="1:15" x14ac:dyDescent="0.2">
      <c r="A88" s="2025"/>
      <c r="B88" s="2025"/>
      <c r="C88" s="2018"/>
      <c r="D88" s="2027"/>
      <c r="E88" s="2019"/>
      <c r="F88" s="2019"/>
      <c r="G88" s="2019"/>
      <c r="H88" s="2019"/>
      <c r="I88" s="2019"/>
      <c r="J88" s="2019"/>
      <c r="K88" s="2142"/>
      <c r="L88" s="2019"/>
      <c r="M88" s="2019"/>
      <c r="N88" s="2019"/>
      <c r="O88" s="2019"/>
    </row>
    <row r="89" spans="1:15" x14ac:dyDescent="0.2">
      <c r="A89" s="2145" t="s">
        <v>2598</v>
      </c>
      <c r="B89" s="2025"/>
      <c r="C89" s="2018"/>
      <c r="D89" s="2027"/>
      <c r="E89" s="2019"/>
      <c r="F89" s="2019"/>
      <c r="G89" s="2019"/>
      <c r="H89" s="2019"/>
      <c r="I89" s="2019"/>
      <c r="J89" s="2019"/>
      <c r="K89" s="2142"/>
      <c r="L89" s="2019"/>
      <c r="M89" s="2019"/>
      <c r="N89" s="2019"/>
      <c r="O89" s="2019"/>
    </row>
    <row r="90" spans="1:15" x14ac:dyDescent="0.2">
      <c r="A90" s="2145" t="s">
        <v>2599</v>
      </c>
      <c r="B90" s="2025"/>
      <c r="C90" s="2018"/>
      <c r="D90" s="2027"/>
      <c r="E90" s="2019"/>
      <c r="F90" s="2019"/>
      <c r="G90" s="2019"/>
      <c r="H90" s="2019"/>
      <c r="I90" s="2019"/>
      <c r="J90" s="2019"/>
      <c r="K90" s="2142"/>
      <c r="L90" s="2019"/>
      <c r="M90" s="2019"/>
      <c r="N90" s="2019"/>
      <c r="O90" s="2019"/>
    </row>
    <row r="91" spans="1:15" x14ac:dyDescent="0.2">
      <c r="A91" s="2145" t="s">
        <v>2600</v>
      </c>
      <c r="B91" s="2025"/>
      <c r="C91" s="2018" t="s">
        <v>2109</v>
      </c>
      <c r="D91" s="2027" t="s">
        <v>2176</v>
      </c>
      <c r="E91" s="2019">
        <v>0</v>
      </c>
      <c r="F91" s="2019">
        <v>4824735</v>
      </c>
      <c r="G91" s="2019">
        <v>0</v>
      </c>
      <c r="H91" s="2019">
        <v>0</v>
      </c>
      <c r="I91" s="2019">
        <v>0</v>
      </c>
      <c r="J91" s="2019">
        <v>4970548</v>
      </c>
      <c r="K91" s="2142"/>
      <c r="L91" s="2019">
        <v>0</v>
      </c>
      <c r="M91" s="2019">
        <f>SUM(H91:L91)</f>
        <v>4970548</v>
      </c>
      <c r="N91" s="2019"/>
      <c r="O91" s="2019">
        <v>7798224</v>
      </c>
    </row>
    <row r="92" spans="1:15" x14ac:dyDescent="0.2">
      <c r="A92" s="2014"/>
      <c r="B92" s="2014"/>
      <c r="C92" s="2015"/>
      <c r="D92" s="2037"/>
      <c r="E92" s="2044"/>
      <c r="F92" s="2026"/>
      <c r="G92" s="2026"/>
      <c r="H92" s="2044"/>
      <c r="I92" s="2044"/>
      <c r="J92" s="2026"/>
      <c r="K92" s="2144"/>
      <c r="L92" s="2026"/>
      <c r="M92" s="2026"/>
      <c r="N92" s="2132"/>
      <c r="O92" s="2026"/>
    </row>
    <row r="93" spans="1:15" x14ac:dyDescent="0.2">
      <c r="A93" s="2017"/>
      <c r="B93" s="2017"/>
      <c r="C93" s="2018"/>
      <c r="D93" s="2027"/>
      <c r="E93" s="2045"/>
      <c r="F93" s="2019"/>
      <c r="G93" s="2019"/>
      <c r="H93" s="2045"/>
      <c r="I93" s="2045"/>
      <c r="J93" s="2019"/>
      <c r="K93" s="2142"/>
      <c r="L93" s="2019"/>
      <c r="M93" s="2019"/>
      <c r="N93" s="2032"/>
      <c r="O93" s="2019"/>
    </row>
    <row r="94" spans="1:15" x14ac:dyDescent="0.2">
      <c r="A94" s="2046" t="s">
        <v>2177</v>
      </c>
      <c r="B94" s="2046"/>
      <c r="C94" s="2018"/>
      <c r="D94" s="2027"/>
      <c r="E94" s="2045"/>
      <c r="F94" s="2019"/>
      <c r="G94" s="2019"/>
      <c r="H94" s="2045"/>
      <c r="I94" s="2045"/>
      <c r="J94" s="2019"/>
      <c r="K94" s="2142"/>
      <c r="L94" s="2019"/>
      <c r="M94" s="2019"/>
      <c r="N94" s="2032"/>
      <c r="O94" s="2019"/>
    </row>
    <row r="95" spans="1:15" s="2047" customFormat="1" x14ac:dyDescent="0.2">
      <c r="A95" s="2033" t="s">
        <v>2178</v>
      </c>
      <c r="B95" s="2033"/>
      <c r="C95" s="2018"/>
      <c r="D95" s="2027"/>
      <c r="E95" s="2045"/>
      <c r="F95" s="2019"/>
      <c r="G95" s="2019"/>
      <c r="H95" s="2045"/>
      <c r="I95" s="2045"/>
      <c r="J95" s="2019"/>
      <c r="K95" s="2142"/>
      <c r="L95" s="2019"/>
      <c r="M95" s="2019"/>
      <c r="N95" s="2032"/>
      <c r="O95" s="2019"/>
    </row>
    <row r="96" spans="1:15" s="2047" customFormat="1" x14ac:dyDescent="0.2">
      <c r="A96" s="2029" t="s">
        <v>2179</v>
      </c>
      <c r="B96" s="2029"/>
      <c r="C96" s="2018">
        <v>84.126000000000005</v>
      </c>
      <c r="D96" s="2018" t="s">
        <v>2180</v>
      </c>
      <c r="E96" s="2019">
        <v>0</v>
      </c>
      <c r="F96" s="2019">
        <v>124450</v>
      </c>
      <c r="G96" s="2019">
        <v>0</v>
      </c>
      <c r="H96" s="2019">
        <v>0</v>
      </c>
      <c r="I96" s="2019">
        <v>0</v>
      </c>
      <c r="J96" s="2019">
        <v>124450</v>
      </c>
      <c r="K96" s="2142"/>
      <c r="L96" s="2019">
        <v>0</v>
      </c>
      <c r="M96" s="2019">
        <f>SUM(H96:L96)</f>
        <v>124450</v>
      </c>
      <c r="N96" s="2048"/>
      <c r="O96" s="2040" t="s">
        <v>2111</v>
      </c>
    </row>
    <row r="97" spans="1:15" s="2047" customFormat="1" x14ac:dyDescent="0.2">
      <c r="A97" s="2017"/>
      <c r="B97" s="2017"/>
      <c r="C97" s="2018"/>
      <c r="D97" s="2018" t="s">
        <v>2180</v>
      </c>
      <c r="E97" s="2026">
        <v>102898</v>
      </c>
      <c r="F97" s="2026">
        <v>0</v>
      </c>
      <c r="G97" s="2026">
        <v>0</v>
      </c>
      <c r="H97" s="2026">
        <v>102898</v>
      </c>
      <c r="I97" s="2026">
        <v>0</v>
      </c>
      <c r="J97" s="2026">
        <v>0</v>
      </c>
      <c r="K97" s="2142"/>
      <c r="L97" s="2026">
        <v>0</v>
      </c>
      <c r="M97" s="2026">
        <f>SUM(H97:L97)</f>
        <v>102898</v>
      </c>
      <c r="N97" s="2134"/>
      <c r="O97" s="2041" t="s">
        <v>2111</v>
      </c>
    </row>
    <row r="98" spans="1:15" s="2047" customFormat="1" x14ac:dyDescent="0.2">
      <c r="A98" s="2017"/>
      <c r="B98" s="2017"/>
      <c r="C98" s="2018"/>
      <c r="D98" s="2018"/>
      <c r="E98" s="2019">
        <f t="shared" ref="E98:M98" si="6">SUM(E96:E97)</f>
        <v>102898</v>
      </c>
      <c r="F98" s="2019">
        <f t="shared" si="6"/>
        <v>124450</v>
      </c>
      <c r="G98" s="2019">
        <v>0</v>
      </c>
      <c r="H98" s="2019">
        <f t="shared" si="6"/>
        <v>102898</v>
      </c>
      <c r="I98" s="2019">
        <v>0</v>
      </c>
      <c r="J98" s="2019">
        <f t="shared" si="6"/>
        <v>124450</v>
      </c>
      <c r="K98" s="2142"/>
      <c r="L98" s="2019">
        <f t="shared" si="6"/>
        <v>0</v>
      </c>
      <c r="M98" s="2019">
        <f t="shared" si="6"/>
        <v>227348</v>
      </c>
      <c r="N98" s="2019"/>
      <c r="O98" s="2040">
        <v>0</v>
      </c>
    </row>
    <row r="99" spans="1:15" s="2047" customFormat="1" ht="6.75" customHeight="1" x14ac:dyDescent="0.2">
      <c r="A99" s="2014"/>
      <c r="B99" s="2014"/>
      <c r="C99" s="2015"/>
      <c r="D99" s="2015"/>
      <c r="E99" s="2026"/>
      <c r="F99" s="2026"/>
      <c r="G99" s="2026"/>
      <c r="H99" s="2044"/>
      <c r="I99" s="2044"/>
      <c r="J99" s="2026"/>
      <c r="K99" s="2144"/>
      <c r="L99" s="2026"/>
      <c r="M99" s="2026"/>
      <c r="N99" s="2132"/>
      <c r="O99" s="2041"/>
    </row>
    <row r="100" spans="1:15" s="2047" customFormat="1" x14ac:dyDescent="0.2">
      <c r="A100" s="2017"/>
      <c r="B100" s="2017"/>
      <c r="C100" s="2018"/>
      <c r="D100" s="2027"/>
      <c r="E100" s="2045"/>
      <c r="F100" s="2019"/>
      <c r="G100" s="2019"/>
      <c r="H100" s="2045"/>
      <c r="I100" s="2045"/>
      <c r="J100" s="2019"/>
      <c r="K100" s="2142"/>
      <c r="L100" s="2019"/>
      <c r="M100" s="2019"/>
      <c r="N100" s="2032"/>
      <c r="O100" s="2019"/>
    </row>
    <row r="101" spans="1:15" s="2047" customFormat="1" x14ac:dyDescent="0.2">
      <c r="A101" s="2046" t="s">
        <v>2181</v>
      </c>
      <c r="B101" s="2046"/>
      <c r="C101" s="2018"/>
      <c r="D101" s="2027"/>
      <c r="E101" s="2045"/>
      <c r="F101" s="2019"/>
      <c r="G101" s="2019"/>
      <c r="H101" s="2045"/>
      <c r="I101" s="2045"/>
      <c r="J101" s="2019"/>
      <c r="K101" s="2142"/>
      <c r="L101" s="2019"/>
      <c r="M101" s="2019"/>
      <c r="N101" s="2032"/>
      <c r="O101" s="2019"/>
    </row>
    <row r="102" spans="1:15" s="2047" customFormat="1" x14ac:dyDescent="0.2">
      <c r="A102" s="2033" t="s">
        <v>2182</v>
      </c>
      <c r="B102" s="2033"/>
      <c r="C102" s="2018"/>
      <c r="D102" s="2027"/>
      <c r="E102" s="2045"/>
      <c r="F102" s="2019"/>
      <c r="G102" s="2019"/>
      <c r="H102" s="2045"/>
      <c r="I102" s="2045"/>
      <c r="J102" s="2019"/>
      <c r="K102" s="2142"/>
      <c r="L102" s="2019"/>
      <c r="M102" s="2019"/>
      <c r="N102" s="2032"/>
      <c r="O102" s="2019"/>
    </row>
    <row r="103" spans="1:15" s="2047" customFormat="1" ht="4.5" customHeight="1" x14ac:dyDescent="0.2">
      <c r="A103" s="2033"/>
      <c r="B103" s="2033"/>
      <c r="C103" s="2018"/>
      <c r="D103" s="2027"/>
      <c r="E103" s="2045"/>
      <c r="F103" s="2019"/>
      <c r="G103" s="2019"/>
      <c r="H103" s="2045"/>
      <c r="I103" s="2045"/>
      <c r="J103" s="2019"/>
      <c r="K103" s="2142"/>
      <c r="L103" s="2019"/>
      <c r="M103" s="2019"/>
      <c r="N103" s="2032"/>
      <c r="O103" s="2019"/>
    </row>
    <row r="104" spans="1:15" s="2047" customFormat="1" x14ac:dyDescent="0.2">
      <c r="A104" s="2033" t="s">
        <v>2183</v>
      </c>
      <c r="B104" s="2033"/>
      <c r="C104" s="2018"/>
      <c r="D104" s="2027"/>
      <c r="E104" s="2045"/>
      <c r="F104" s="2019"/>
      <c r="G104" s="2019"/>
      <c r="H104" s="2045"/>
      <c r="I104" s="2045"/>
      <c r="J104" s="2019"/>
      <c r="K104" s="2142"/>
      <c r="L104" s="2019"/>
      <c r="M104" s="2019"/>
      <c r="N104" s="2032"/>
      <c r="O104" s="2019"/>
    </row>
    <row r="105" spans="1:15" s="2047" customFormat="1" x14ac:dyDescent="0.2">
      <c r="A105" s="2025" t="s">
        <v>2184</v>
      </c>
      <c r="B105" s="2025"/>
      <c r="C105" s="2018" t="s">
        <v>2185</v>
      </c>
      <c r="D105" s="2027" t="s">
        <v>2186</v>
      </c>
      <c r="E105" s="2019">
        <v>0</v>
      </c>
      <c r="F105" s="2019">
        <v>300424</v>
      </c>
      <c r="G105" s="2019">
        <v>0</v>
      </c>
      <c r="H105" s="2019">
        <v>0</v>
      </c>
      <c r="I105" s="2019">
        <v>0</v>
      </c>
      <c r="J105" s="2019">
        <f>300423+1314+10738</f>
        <v>312475</v>
      </c>
      <c r="K105" s="2142"/>
      <c r="L105" s="2019">
        <v>0</v>
      </c>
      <c r="M105" s="2019">
        <f>SUM(H105:L105)</f>
        <v>312475</v>
      </c>
      <c r="N105" s="2032"/>
      <c r="O105" s="2040">
        <v>339591</v>
      </c>
    </row>
    <row r="106" spans="1:15" s="2047" customFormat="1" x14ac:dyDescent="0.2">
      <c r="A106" s="2025"/>
      <c r="B106" s="2025"/>
      <c r="C106" s="2018"/>
      <c r="D106" s="2027" t="s">
        <v>2187</v>
      </c>
      <c r="E106" s="2019">
        <v>144204</v>
      </c>
      <c r="F106" s="2019">
        <v>174060</v>
      </c>
      <c r="G106" s="2019">
        <v>0</v>
      </c>
      <c r="H106" s="2019">
        <v>144204</v>
      </c>
      <c r="I106" s="2019">
        <v>0</v>
      </c>
      <c r="J106" s="2019">
        <v>174060</v>
      </c>
      <c r="K106" s="2142"/>
      <c r="L106" s="2019">
        <v>0</v>
      </c>
      <c r="M106" s="2019">
        <f>SUM(H106:L106)</f>
        <v>318264</v>
      </c>
      <c r="N106" s="2032"/>
      <c r="O106" s="2040">
        <v>339074</v>
      </c>
    </row>
    <row r="107" spans="1:15" s="2047" customFormat="1" x14ac:dyDescent="0.2">
      <c r="A107" s="2025"/>
      <c r="B107" s="2025"/>
      <c r="C107" s="2018"/>
      <c r="D107" s="2027" t="s">
        <v>2588</v>
      </c>
      <c r="E107" s="2026">
        <v>19296</v>
      </c>
      <c r="F107" s="2026">
        <v>0</v>
      </c>
      <c r="G107" s="2026">
        <v>0</v>
      </c>
      <c r="H107" s="2026">
        <v>1188</v>
      </c>
      <c r="I107" s="2026">
        <v>0</v>
      </c>
      <c r="J107" s="2026">
        <v>0</v>
      </c>
      <c r="K107" s="2144"/>
      <c r="L107" s="2026"/>
      <c r="M107" s="2026"/>
      <c r="N107" s="2132"/>
      <c r="O107" s="2041"/>
    </row>
    <row r="108" spans="1:15" s="2047" customFormat="1" x14ac:dyDescent="0.2">
      <c r="A108" s="2017"/>
      <c r="B108" s="2017"/>
      <c r="C108" s="2018"/>
      <c r="D108" s="2018"/>
      <c r="E108" s="2019">
        <f>SUM(E105:E107)</f>
        <v>163500</v>
      </c>
      <c r="F108" s="2019">
        <f t="shared" ref="F108:O108" si="7">SUM(F105:F107)</f>
        <v>474484</v>
      </c>
      <c r="G108" s="2019">
        <v>0</v>
      </c>
      <c r="H108" s="2019">
        <f t="shared" si="7"/>
        <v>145392</v>
      </c>
      <c r="I108" s="2019">
        <v>0</v>
      </c>
      <c r="J108" s="2019">
        <f t="shared" si="7"/>
        <v>486535</v>
      </c>
      <c r="K108" s="2142"/>
      <c r="L108" s="2019">
        <f t="shared" si="7"/>
        <v>0</v>
      </c>
      <c r="M108" s="2019">
        <f t="shared" si="7"/>
        <v>630739</v>
      </c>
      <c r="N108" s="2019"/>
      <c r="O108" s="2019">
        <f t="shared" si="7"/>
        <v>678665</v>
      </c>
    </row>
    <row r="109" spans="1:15" s="2047" customFormat="1" x14ac:dyDescent="0.2">
      <c r="A109" s="2017"/>
      <c r="B109" s="2017"/>
      <c r="C109" s="2018"/>
      <c r="D109" s="2018"/>
      <c r="E109" s="2019"/>
      <c r="F109" s="2019"/>
      <c r="G109" s="2019"/>
      <c r="H109" s="2019"/>
      <c r="I109" s="2019"/>
      <c r="J109" s="2019"/>
      <c r="K109" s="2142"/>
      <c r="L109" s="2019"/>
      <c r="M109" s="2019"/>
      <c r="N109" s="2019"/>
      <c r="O109" s="2019"/>
    </row>
    <row r="110" spans="1:15" s="2047" customFormat="1" ht="5.25" customHeight="1" x14ac:dyDescent="0.2">
      <c r="A110" s="2014"/>
      <c r="B110" s="2014"/>
      <c r="C110" s="2015"/>
      <c r="D110" s="2015"/>
      <c r="E110" s="2044"/>
      <c r="F110" s="2026"/>
      <c r="G110" s="2026"/>
      <c r="H110" s="2044"/>
      <c r="I110" s="2044"/>
      <c r="J110" s="2026"/>
      <c r="K110" s="2144"/>
      <c r="L110" s="2026"/>
      <c r="M110" s="2026"/>
      <c r="N110" s="2132"/>
      <c r="O110" s="2041"/>
    </row>
    <row r="111" spans="1:15" s="2047" customFormat="1" ht="7.5" customHeight="1" x14ac:dyDescent="0.2">
      <c r="A111" s="2049"/>
      <c r="B111" s="2049"/>
      <c r="C111" s="2018"/>
      <c r="D111" s="2027"/>
      <c r="E111" s="2045"/>
      <c r="F111" s="2019"/>
      <c r="G111" s="2019"/>
      <c r="H111" s="2045"/>
      <c r="I111" s="2045"/>
      <c r="J111" s="2019"/>
      <c r="K111" s="2142"/>
      <c r="L111" s="2019"/>
      <c r="M111" s="2019"/>
      <c r="N111" s="2032"/>
      <c r="O111" s="2019"/>
    </row>
    <row r="112" spans="1:15" s="2054" customFormat="1" x14ac:dyDescent="0.2">
      <c r="A112" s="2050" t="s">
        <v>2188</v>
      </c>
      <c r="B112" s="2050"/>
      <c r="C112" s="2051" t="s">
        <v>1158</v>
      </c>
      <c r="D112" s="2052"/>
      <c r="E112" s="2053">
        <f>E30+E38+E63+E91+E79+E98+E108+E86+E71</f>
        <v>22600514</v>
      </c>
      <c r="F112" s="2053">
        <f>F30+F38+F63+F91+F79+F98+F108+F86+F71</f>
        <v>28152533</v>
      </c>
      <c r="G112" s="2053">
        <v>0</v>
      </c>
      <c r="H112" s="2053">
        <f>H30+H38+H63+H91+H79+H98+H108+H86+H71</f>
        <v>24320512</v>
      </c>
      <c r="I112" s="2053">
        <v>0</v>
      </c>
      <c r="J112" s="2053">
        <f>J30+J38+J63+J91+J79+J98+J108+J86+J71</f>
        <v>27484740</v>
      </c>
      <c r="K112" s="2142"/>
      <c r="L112" s="2053">
        <f>L30+L38+L63+L91+L79+L98+L108+L86+L71</f>
        <v>0</v>
      </c>
      <c r="M112" s="2053">
        <f>M30+M38+M63+M91+M79+M98+M108+M86+M71</f>
        <v>73455568</v>
      </c>
      <c r="N112" s="2053"/>
      <c r="O112" s="2053">
        <f>O30+O38+O63+O91+O79+O98+O108+O86+O71</f>
        <v>92715546</v>
      </c>
    </row>
    <row r="113" spans="1:15" s="2054" customFormat="1" x14ac:dyDescent="0.2">
      <c r="A113" s="2055"/>
      <c r="B113" s="2055"/>
      <c r="C113" s="2056"/>
      <c r="D113" s="2057"/>
      <c r="E113" s="2058"/>
      <c r="F113" s="2058"/>
      <c r="G113" s="2058"/>
      <c r="H113" s="2058"/>
      <c r="I113" s="2058"/>
      <c r="J113" s="2058"/>
      <c r="K113" s="2144"/>
      <c r="L113" s="2058"/>
      <c r="M113" s="2058"/>
      <c r="N113" s="2058"/>
      <c r="O113" s="2058"/>
    </row>
    <row r="114" spans="1:15" s="2054" customFormat="1" x14ac:dyDescent="0.2">
      <c r="A114" s="2059"/>
      <c r="B114" s="2059"/>
      <c r="C114" s="2060"/>
      <c r="D114" s="2061"/>
      <c r="E114" s="2053"/>
      <c r="F114" s="2053"/>
      <c r="G114" s="2053"/>
      <c r="H114" s="2053"/>
      <c r="I114" s="2053"/>
      <c r="J114" s="2053"/>
      <c r="K114" s="2142"/>
      <c r="L114" s="2053"/>
      <c r="M114" s="2053"/>
      <c r="N114" s="2053"/>
      <c r="O114" s="2062"/>
    </row>
    <row r="115" spans="1:15" s="2054" customFormat="1" x14ac:dyDescent="0.2">
      <c r="A115" s="2010" t="s">
        <v>2189</v>
      </c>
      <c r="B115" s="2010"/>
      <c r="C115" s="2010"/>
      <c r="D115" s="2011"/>
      <c r="E115" s="2019"/>
      <c r="F115" s="2019"/>
      <c r="G115" s="2019"/>
      <c r="H115" s="2019"/>
      <c r="I115" s="2019"/>
      <c r="J115" s="2019"/>
      <c r="K115" s="2142"/>
      <c r="L115" s="2019"/>
      <c r="M115" s="2019"/>
      <c r="N115" s="2039"/>
      <c r="O115" s="2019"/>
    </row>
    <row r="116" spans="1:15" s="2054" customFormat="1" x14ac:dyDescent="0.2">
      <c r="A116" s="2010"/>
      <c r="B116" s="2010"/>
      <c r="C116" s="2010"/>
      <c r="D116" s="2011"/>
      <c r="E116" s="2035"/>
      <c r="F116" s="2035"/>
      <c r="G116" s="2035"/>
      <c r="H116" s="2035"/>
      <c r="I116" s="2035"/>
      <c r="J116" s="2035"/>
      <c r="K116" s="2146"/>
      <c r="L116" s="2035"/>
      <c r="M116" s="2035"/>
      <c r="N116" s="2039"/>
      <c r="O116" s="2035"/>
    </row>
    <row r="117" spans="1:15" s="2054" customFormat="1" x14ac:dyDescent="0.2">
      <c r="A117" s="2016" t="s">
        <v>2134</v>
      </c>
      <c r="B117" s="2016"/>
      <c r="C117" s="2017"/>
      <c r="D117" s="2018"/>
      <c r="E117" s="2019"/>
      <c r="F117" s="2019"/>
      <c r="G117" s="2019"/>
      <c r="H117" s="2019"/>
      <c r="I117" s="2019"/>
      <c r="J117" s="2019"/>
      <c r="K117" s="2142"/>
      <c r="L117" s="2019"/>
      <c r="M117" s="2019"/>
      <c r="N117" s="2039"/>
      <c r="O117" s="2019"/>
    </row>
    <row r="118" spans="1:15" s="2054" customFormat="1" x14ac:dyDescent="0.2">
      <c r="A118" s="2016"/>
      <c r="B118" s="2016"/>
      <c r="C118" s="2017"/>
      <c r="D118" s="2018"/>
      <c r="E118" s="2019"/>
      <c r="F118" s="2019"/>
      <c r="G118" s="2019"/>
      <c r="H118" s="2019"/>
      <c r="I118" s="2019"/>
      <c r="J118" s="2019"/>
      <c r="K118" s="2142"/>
      <c r="L118" s="2019"/>
      <c r="M118" s="2019"/>
      <c r="N118" s="2039"/>
      <c r="O118" s="2019"/>
    </row>
    <row r="119" spans="1:15" s="2054" customFormat="1" x14ac:dyDescent="0.2">
      <c r="A119" s="2016" t="s">
        <v>2601</v>
      </c>
      <c r="B119" s="2016"/>
      <c r="C119" s="2017"/>
      <c r="D119" s="2018"/>
      <c r="E119" s="2019"/>
      <c r="F119" s="2019"/>
      <c r="G119" s="2019"/>
      <c r="H119" s="2019"/>
      <c r="I119" s="2019"/>
      <c r="J119" s="2019"/>
      <c r="K119" s="2142"/>
      <c r="L119" s="2019"/>
      <c r="M119" s="2019"/>
      <c r="N119" s="2039"/>
      <c r="O119" s="2019"/>
    </row>
    <row r="120" spans="1:15" s="2054" customFormat="1" x14ac:dyDescent="0.2">
      <c r="A120" s="2016"/>
      <c r="B120" s="2016"/>
      <c r="C120" s="2017"/>
      <c r="D120" s="2018"/>
      <c r="E120" s="2019"/>
      <c r="F120" s="2019"/>
      <c r="G120" s="2019"/>
      <c r="H120" s="2019"/>
      <c r="I120" s="2019"/>
      <c r="J120" s="2019"/>
      <c r="K120" s="2142"/>
      <c r="L120" s="2019"/>
      <c r="M120" s="2019"/>
      <c r="N120" s="2039"/>
      <c r="O120" s="2019"/>
    </row>
    <row r="121" spans="1:15" s="2054" customFormat="1" x14ac:dyDescent="0.2">
      <c r="A121" s="2025" t="s">
        <v>2602</v>
      </c>
      <c r="B121" s="2025"/>
      <c r="C121" s="2018">
        <v>10.555</v>
      </c>
      <c r="D121" s="2018" t="s">
        <v>2190</v>
      </c>
      <c r="E121" s="2026">
        <v>722073</v>
      </c>
      <c r="F121" s="2026">
        <v>814401</v>
      </c>
      <c r="G121" s="2026">
        <v>0</v>
      </c>
      <c r="H121" s="2026">
        <v>722073</v>
      </c>
      <c r="I121" s="2026">
        <v>0</v>
      </c>
      <c r="J121" s="2026">
        <v>814401</v>
      </c>
      <c r="K121" s="2142"/>
      <c r="L121" s="2026">
        <v>0</v>
      </c>
      <c r="M121" s="2026">
        <f>SUM(H121:J121)</f>
        <v>1536474</v>
      </c>
      <c r="N121" s="2134"/>
      <c r="O121" s="2041" t="s">
        <v>2111</v>
      </c>
    </row>
    <row r="122" spans="1:15" s="2054" customFormat="1" x14ac:dyDescent="0.2">
      <c r="A122" s="2016"/>
      <c r="B122" s="2016"/>
      <c r="C122" s="2017"/>
      <c r="D122" s="2018"/>
      <c r="E122" s="2019"/>
      <c r="F122" s="2019"/>
      <c r="G122" s="2019"/>
      <c r="H122" s="2019"/>
      <c r="I122" s="2019"/>
      <c r="J122" s="2019"/>
      <c r="K122" s="2142"/>
      <c r="L122" s="2019"/>
      <c r="M122" s="2019"/>
      <c r="N122" s="2019"/>
      <c r="O122" s="2040"/>
    </row>
    <row r="123" spans="1:15" s="2054" customFormat="1" x14ac:dyDescent="0.2">
      <c r="A123" s="2025" t="s">
        <v>2603</v>
      </c>
      <c r="B123" s="2025"/>
      <c r="C123" s="2018">
        <v>10.555</v>
      </c>
      <c r="D123" s="2018" t="s">
        <v>2190</v>
      </c>
      <c r="E123" s="2026">
        <v>551760</v>
      </c>
      <c r="F123" s="2026">
        <v>861021</v>
      </c>
      <c r="G123" s="2026">
        <v>0</v>
      </c>
      <c r="H123" s="2026">
        <v>551760</v>
      </c>
      <c r="I123" s="2026">
        <v>0</v>
      </c>
      <c r="J123" s="2026">
        <v>861021</v>
      </c>
      <c r="K123" s="2142"/>
      <c r="L123" s="2026">
        <v>0</v>
      </c>
      <c r="M123" s="2026">
        <f>SUM(H123:J123)</f>
        <v>1412781</v>
      </c>
      <c r="N123" s="2134"/>
      <c r="O123" s="2041" t="s">
        <v>2111</v>
      </c>
    </row>
    <row r="124" spans="1:15" s="2054" customFormat="1" x14ac:dyDescent="0.2">
      <c r="A124" s="2025"/>
      <c r="B124" s="2025"/>
      <c r="C124" s="2018"/>
      <c r="D124" s="2018"/>
      <c r="E124" s="2019"/>
      <c r="F124" s="2019"/>
      <c r="G124" s="2019"/>
      <c r="H124" s="2019"/>
      <c r="I124" s="2019"/>
      <c r="J124" s="2019"/>
      <c r="K124" s="2142"/>
      <c r="L124" s="2019"/>
      <c r="M124" s="2019"/>
      <c r="N124" s="2048"/>
      <c r="O124" s="2040"/>
    </row>
    <row r="125" spans="1:15" s="2054" customFormat="1" x14ac:dyDescent="0.2">
      <c r="A125" s="2025" t="s">
        <v>1048</v>
      </c>
      <c r="B125" s="2025"/>
      <c r="C125" s="2018" t="s">
        <v>2191</v>
      </c>
      <c r="D125" s="2018" t="s">
        <v>2192</v>
      </c>
      <c r="E125" s="2019">
        <v>0</v>
      </c>
      <c r="F125" s="2019">
        <v>6020151</v>
      </c>
      <c r="G125" s="2019">
        <v>0</v>
      </c>
      <c r="H125" s="2019">
        <v>0</v>
      </c>
      <c r="I125" s="2019">
        <v>0</v>
      </c>
      <c r="J125" s="2019">
        <v>6020151</v>
      </c>
      <c r="K125" s="2142"/>
      <c r="L125" s="2019">
        <v>0</v>
      </c>
      <c r="M125" s="2019">
        <f>SUM(H125:L125)</f>
        <v>6020151</v>
      </c>
      <c r="N125" s="2032"/>
      <c r="O125" s="2040" t="s">
        <v>2111</v>
      </c>
    </row>
    <row r="126" spans="1:15" s="2054" customFormat="1" x14ac:dyDescent="0.2">
      <c r="A126" s="2036"/>
      <c r="B126" s="2036"/>
      <c r="C126" s="2036"/>
      <c r="D126" s="2018" t="s">
        <v>2193</v>
      </c>
      <c r="E126" s="2019">
        <v>7958440</v>
      </c>
      <c r="F126" s="2019">
        <v>1876105</v>
      </c>
      <c r="G126" s="2019">
        <v>0</v>
      </c>
      <c r="H126" s="2019">
        <v>7958440</v>
      </c>
      <c r="I126" s="2019">
        <v>0</v>
      </c>
      <c r="J126" s="2019">
        <v>1876105</v>
      </c>
      <c r="K126" s="2142"/>
      <c r="L126" s="2019">
        <v>0</v>
      </c>
      <c r="M126" s="2019">
        <f>SUM(H126:L126)</f>
        <v>9834545</v>
      </c>
      <c r="N126" s="2032"/>
      <c r="O126" s="2040" t="s">
        <v>2111</v>
      </c>
    </row>
    <row r="127" spans="1:15" s="2054" customFormat="1" x14ac:dyDescent="0.2">
      <c r="A127" s="2036"/>
      <c r="B127" s="2036"/>
      <c r="C127" s="2036"/>
      <c r="D127" s="2018" t="s">
        <v>2589</v>
      </c>
      <c r="E127" s="2026">
        <v>1732680</v>
      </c>
      <c r="F127" s="2026">
        <v>0</v>
      </c>
      <c r="G127" s="2026">
        <v>0</v>
      </c>
      <c r="H127" s="2026">
        <v>1732680</v>
      </c>
      <c r="I127" s="2026">
        <v>0</v>
      </c>
      <c r="J127" s="2026">
        <v>0</v>
      </c>
      <c r="K127" s="2142"/>
      <c r="L127" s="2026"/>
      <c r="M127" s="2026"/>
      <c r="N127" s="2132"/>
      <c r="O127" s="2041"/>
    </row>
    <row r="128" spans="1:15" s="2054" customFormat="1" x14ac:dyDescent="0.2">
      <c r="A128" s="2017"/>
      <c r="B128" s="2017"/>
      <c r="C128" s="2017"/>
      <c r="D128" s="2027"/>
      <c r="E128" s="2019">
        <f>SUM(E125:E127)</f>
        <v>9691120</v>
      </c>
      <c r="F128" s="2019">
        <f>SUM(F125:F127)</f>
        <v>7896256</v>
      </c>
      <c r="G128" s="2019">
        <v>0</v>
      </c>
      <c r="H128" s="2019">
        <f>SUM(H125:H127)</f>
        <v>9691120</v>
      </c>
      <c r="I128" s="2019">
        <v>0</v>
      </c>
      <c r="J128" s="2019">
        <f>SUM(J125:J126)</f>
        <v>7896256</v>
      </c>
      <c r="K128" s="2142"/>
      <c r="L128" s="2019">
        <f t="shared" ref="L128:M128" si="8">SUM(L125:L126)</f>
        <v>0</v>
      </c>
      <c r="M128" s="2019">
        <f t="shared" si="8"/>
        <v>15854696</v>
      </c>
      <c r="N128" s="2019"/>
      <c r="O128" s="2040" t="s">
        <v>2111</v>
      </c>
    </row>
    <row r="129" spans="1:15" s="2054" customFormat="1" x14ac:dyDescent="0.2">
      <c r="A129" s="2017"/>
      <c r="B129" s="2017"/>
      <c r="C129" s="2017"/>
      <c r="D129" s="2027"/>
      <c r="E129" s="2028"/>
      <c r="F129" s="2028"/>
      <c r="G129" s="2028"/>
      <c r="H129" s="2028"/>
      <c r="I129" s="2028"/>
      <c r="J129" s="2028"/>
      <c r="K129" s="2142"/>
      <c r="L129" s="2019"/>
      <c r="M129" s="2019"/>
      <c r="N129" s="2019"/>
      <c r="O129" s="2040"/>
    </row>
    <row r="130" spans="1:15" s="2054" customFormat="1" x14ac:dyDescent="0.2">
      <c r="A130" s="2025" t="s">
        <v>2604</v>
      </c>
      <c r="B130" s="2017"/>
      <c r="C130" s="2018">
        <v>10.555999999999999</v>
      </c>
      <c r="D130" s="2027" t="s">
        <v>2194</v>
      </c>
      <c r="E130" s="2019">
        <v>0</v>
      </c>
      <c r="F130" s="2019">
        <v>2324</v>
      </c>
      <c r="G130" s="2019">
        <v>0</v>
      </c>
      <c r="H130" s="2019">
        <v>0</v>
      </c>
      <c r="I130" s="2019">
        <v>0</v>
      </c>
      <c r="J130" s="2019">
        <v>2324.15</v>
      </c>
      <c r="K130" s="2142"/>
      <c r="L130" s="2019">
        <v>0</v>
      </c>
      <c r="M130" s="2019">
        <f>SUM(H130:L130)</f>
        <v>2324.15</v>
      </c>
      <c r="N130" s="2019"/>
      <c r="O130" s="2040" t="s">
        <v>2111</v>
      </c>
    </row>
    <row r="131" spans="1:15" s="2054" customFormat="1" x14ac:dyDescent="0.2">
      <c r="A131" s="2017"/>
      <c r="B131" s="2017"/>
      <c r="C131" s="2017"/>
      <c r="D131" s="2027"/>
      <c r="E131" s="2019"/>
      <c r="F131" s="2019"/>
      <c r="G131" s="2019"/>
      <c r="H131" s="2019"/>
      <c r="I131" s="2019"/>
      <c r="J131" s="2019"/>
      <c r="K131" s="2142"/>
      <c r="L131" s="2019"/>
      <c r="M131" s="2019"/>
      <c r="N131" s="2019"/>
      <c r="O131" s="2040"/>
    </row>
    <row r="132" spans="1:15" x14ac:dyDescent="0.2">
      <c r="A132" s="2025" t="s">
        <v>1049</v>
      </c>
      <c r="B132" s="2025"/>
      <c r="C132" s="2027" t="s">
        <v>2195</v>
      </c>
      <c r="D132" s="2018" t="s">
        <v>2196</v>
      </c>
      <c r="E132" s="2019">
        <v>0</v>
      </c>
      <c r="F132" s="2019">
        <v>2268677</v>
      </c>
      <c r="G132" s="2019">
        <v>0</v>
      </c>
      <c r="H132" s="2019">
        <v>0</v>
      </c>
      <c r="I132" s="2019">
        <v>0</v>
      </c>
      <c r="J132" s="2019">
        <v>2268677</v>
      </c>
      <c r="K132" s="2142"/>
      <c r="L132" s="2019">
        <v>0</v>
      </c>
      <c r="M132" s="2019">
        <f>SUM(H132:L132)</f>
        <v>2268677</v>
      </c>
      <c r="N132" s="2039"/>
      <c r="O132" s="2040" t="s">
        <v>2111</v>
      </c>
    </row>
    <row r="133" spans="1:15" x14ac:dyDescent="0.2">
      <c r="A133" s="2036"/>
      <c r="B133" s="2036"/>
      <c r="C133" s="2036"/>
      <c r="D133" s="2018" t="s">
        <v>2197</v>
      </c>
      <c r="E133" s="2019">
        <v>1933824</v>
      </c>
      <c r="F133" s="2019">
        <v>589608</v>
      </c>
      <c r="G133" s="2019">
        <v>0</v>
      </c>
      <c r="H133" s="2019">
        <v>1933824</v>
      </c>
      <c r="I133" s="2019">
        <v>0</v>
      </c>
      <c r="J133" s="2019">
        <v>589608</v>
      </c>
      <c r="K133" s="2142"/>
      <c r="L133" s="2019">
        <v>0</v>
      </c>
      <c r="M133" s="2019">
        <f>SUM(H133:L133)</f>
        <v>2523432</v>
      </c>
      <c r="N133" s="2039"/>
      <c r="O133" s="2040" t="s">
        <v>2111</v>
      </c>
    </row>
    <row r="134" spans="1:15" x14ac:dyDescent="0.2">
      <c r="A134" s="2036"/>
      <c r="B134" s="2036"/>
      <c r="C134" s="2036"/>
      <c r="D134" s="2018" t="s">
        <v>2590</v>
      </c>
      <c r="E134" s="2026">
        <v>334797</v>
      </c>
      <c r="F134" s="2026">
        <v>0</v>
      </c>
      <c r="G134" s="2026">
        <v>0</v>
      </c>
      <c r="H134" s="2026">
        <v>334797</v>
      </c>
      <c r="I134" s="2026">
        <v>0</v>
      </c>
      <c r="J134" s="2026">
        <v>0</v>
      </c>
      <c r="K134" s="2142"/>
      <c r="L134" s="2026"/>
      <c r="M134" s="2026"/>
      <c r="N134" s="2133"/>
      <c r="O134" s="2041"/>
    </row>
    <row r="135" spans="1:15" x14ac:dyDescent="0.2">
      <c r="A135" s="2016"/>
      <c r="B135" s="2016"/>
      <c r="C135" s="2017"/>
      <c r="D135" s="2018"/>
      <c r="E135" s="2019">
        <f>SUM(E132:E134)</f>
        <v>2268621</v>
      </c>
      <c r="F135" s="2019">
        <f>SUM(F132:F134)</f>
        <v>2858285</v>
      </c>
      <c r="G135" s="2019">
        <v>0</v>
      </c>
      <c r="H135" s="2019">
        <f>SUM(H132:H134)</f>
        <v>2268621</v>
      </c>
      <c r="I135" s="2019">
        <v>0</v>
      </c>
      <c r="J135" s="2019">
        <f>SUM(J132:J134)</f>
        <v>2858285</v>
      </c>
      <c r="K135" s="2142"/>
      <c r="L135" s="2019">
        <f>SUM(L132:L134)</f>
        <v>0</v>
      </c>
      <c r="M135" s="2019">
        <f>SUM(M132:M134)</f>
        <v>4792109</v>
      </c>
      <c r="N135" s="2032"/>
      <c r="O135" s="2040" t="s">
        <v>2111</v>
      </c>
    </row>
    <row r="136" spans="1:15" x14ac:dyDescent="0.2">
      <c r="A136" s="2016"/>
      <c r="B136" s="2016"/>
      <c r="C136" s="2017"/>
      <c r="D136" s="2018"/>
      <c r="E136" s="2028"/>
      <c r="F136" s="2028"/>
      <c r="G136" s="2028"/>
      <c r="H136" s="2028"/>
      <c r="I136" s="2028"/>
      <c r="J136" s="2028"/>
      <c r="K136" s="2142"/>
      <c r="L136" s="2019"/>
      <c r="M136" s="2019"/>
      <c r="N136" s="2032"/>
      <c r="O136" s="2040"/>
    </row>
    <row r="137" spans="1:15" x14ac:dyDescent="0.2">
      <c r="A137" s="2025" t="s">
        <v>2605</v>
      </c>
      <c r="B137" s="2016"/>
      <c r="C137" s="2018">
        <v>10.558999999999999</v>
      </c>
      <c r="D137" s="2018" t="s">
        <v>2198</v>
      </c>
      <c r="E137" s="2026">
        <v>0</v>
      </c>
      <c r="F137" s="2026">
        <v>3266692</v>
      </c>
      <c r="G137" s="2026">
        <v>0</v>
      </c>
      <c r="H137" s="2026">
        <v>0</v>
      </c>
      <c r="I137" s="2026">
        <v>0</v>
      </c>
      <c r="J137" s="2026">
        <v>3266692</v>
      </c>
      <c r="K137" s="2142"/>
      <c r="L137" s="2026">
        <v>0</v>
      </c>
      <c r="M137" s="2026">
        <f>SUM(H137:L137)</f>
        <v>3266692</v>
      </c>
      <c r="N137" s="2134"/>
      <c r="O137" s="2041" t="s">
        <v>2111</v>
      </c>
    </row>
    <row r="138" spans="1:15" x14ac:dyDescent="0.2">
      <c r="A138" s="2025"/>
      <c r="B138" s="2016"/>
      <c r="C138" s="2018"/>
      <c r="D138" s="2018"/>
      <c r="E138" s="2019"/>
      <c r="F138" s="2019"/>
      <c r="G138" s="2019"/>
      <c r="H138" s="2019"/>
      <c r="I138" s="2019"/>
      <c r="J138" s="2019"/>
      <c r="K138" s="2142"/>
      <c r="L138" s="2019"/>
      <c r="M138" s="2019"/>
      <c r="N138" s="2032"/>
      <c r="O138" s="2040"/>
    </row>
    <row r="139" spans="1:15" x14ac:dyDescent="0.2">
      <c r="A139" s="2016"/>
      <c r="B139" s="2016"/>
      <c r="C139" s="2017"/>
      <c r="D139" s="2018"/>
      <c r="E139" s="2028"/>
      <c r="F139" s="2028"/>
      <c r="G139" s="2028"/>
      <c r="H139" s="2028"/>
      <c r="I139" s="2028"/>
      <c r="J139" s="2028"/>
      <c r="K139" s="2142"/>
      <c r="L139" s="2019"/>
      <c r="M139" s="2019"/>
      <c r="N139" s="2032"/>
      <c r="O139" s="2040"/>
    </row>
    <row r="140" spans="1:15" x14ac:dyDescent="0.2">
      <c r="A140" s="2016" t="s">
        <v>2202</v>
      </c>
      <c r="B140" s="2016"/>
      <c r="C140" s="2017"/>
      <c r="D140" s="2018"/>
      <c r="E140" s="2019">
        <f>E121+E128+E135+E123+E130+E137</f>
        <v>13233574</v>
      </c>
      <c r="F140" s="2019">
        <f>F121+F128+F135+F123+F130+F137</f>
        <v>15698979</v>
      </c>
      <c r="G140" s="2019">
        <v>0</v>
      </c>
      <c r="H140" s="2019">
        <f>H121+H128+H135+H123+H130+H137</f>
        <v>13233574</v>
      </c>
      <c r="I140" s="2019">
        <v>0</v>
      </c>
      <c r="J140" s="2019">
        <f>J121+J128+J135+J123+J130+J137</f>
        <v>15698979.15</v>
      </c>
      <c r="K140" s="2142"/>
      <c r="L140" s="2019">
        <f>L121+L128+L135+L123+L130+L137+L145</f>
        <v>0</v>
      </c>
      <c r="M140" s="2019">
        <f>M121+M128+M135+M123+M130+M137</f>
        <v>26865076.149999999</v>
      </c>
      <c r="N140" s="2019"/>
      <c r="O140" s="2040" t="s">
        <v>2111</v>
      </c>
    </row>
    <row r="141" spans="1:15" x14ac:dyDescent="0.2">
      <c r="A141" s="2013"/>
      <c r="B141" s="2013"/>
      <c r="C141" s="2014"/>
      <c r="D141" s="2015"/>
      <c r="E141" s="2026"/>
      <c r="F141" s="2026"/>
      <c r="G141" s="2026"/>
      <c r="H141" s="2026"/>
      <c r="I141" s="2026"/>
      <c r="J141" s="2026"/>
      <c r="K141" s="2144"/>
      <c r="L141" s="2026"/>
      <c r="M141" s="2026"/>
      <c r="N141" s="2026"/>
      <c r="O141" s="2041"/>
    </row>
    <row r="142" spans="1:15" x14ac:dyDescent="0.2">
      <c r="A142" s="2016"/>
      <c r="B142" s="2016"/>
      <c r="C142" s="2017"/>
      <c r="D142" s="2018"/>
      <c r="E142" s="2019"/>
      <c r="F142" s="2019"/>
      <c r="G142" s="2019"/>
      <c r="H142" s="2019"/>
      <c r="I142" s="2019"/>
      <c r="J142" s="2019"/>
      <c r="K142" s="2142"/>
      <c r="L142" s="2019"/>
      <c r="M142" s="2019"/>
      <c r="N142" s="2032"/>
      <c r="O142" s="2040"/>
    </row>
    <row r="143" spans="1:15" x14ac:dyDescent="0.2">
      <c r="A143" s="2025" t="s">
        <v>2199</v>
      </c>
      <c r="B143" s="2016"/>
      <c r="C143" s="2018">
        <v>10.558</v>
      </c>
      <c r="D143" s="2018" t="s">
        <v>2200</v>
      </c>
      <c r="E143" s="2019">
        <v>0</v>
      </c>
      <c r="F143" s="2019">
        <v>2037209</v>
      </c>
      <c r="G143" s="2019">
        <v>0</v>
      </c>
      <c r="H143" s="2019">
        <v>0</v>
      </c>
      <c r="I143" s="2019">
        <v>0</v>
      </c>
      <c r="J143" s="2019">
        <v>2037209</v>
      </c>
      <c r="K143" s="2142"/>
      <c r="L143" s="2019">
        <v>0</v>
      </c>
      <c r="M143" s="2019">
        <f t="shared" ref="M143:M144" si="9">SUM(H143:L143)</f>
        <v>2037209</v>
      </c>
      <c r="N143" s="2032"/>
      <c r="O143" s="2040" t="s">
        <v>2111</v>
      </c>
    </row>
    <row r="144" spans="1:15" x14ac:dyDescent="0.2">
      <c r="A144" s="2025"/>
      <c r="B144" s="2016"/>
      <c r="C144" s="2018"/>
      <c r="D144" s="2018" t="s">
        <v>2201</v>
      </c>
      <c r="E144" s="2026">
        <v>0</v>
      </c>
      <c r="F144" s="2026">
        <v>100076</v>
      </c>
      <c r="G144" s="2026">
        <v>0</v>
      </c>
      <c r="H144" s="2026">
        <v>0</v>
      </c>
      <c r="I144" s="2026">
        <v>0</v>
      </c>
      <c r="J144" s="2026">
        <v>100076</v>
      </c>
      <c r="K144" s="2142"/>
      <c r="L144" s="2026">
        <v>0</v>
      </c>
      <c r="M144" s="2026">
        <f t="shared" si="9"/>
        <v>100076</v>
      </c>
      <c r="N144" s="2132"/>
      <c r="O144" s="2041" t="s">
        <v>2111</v>
      </c>
    </row>
    <row r="145" spans="1:15" x14ac:dyDescent="0.2">
      <c r="A145" s="2025"/>
      <c r="B145" s="2016"/>
      <c r="C145" s="2018"/>
      <c r="D145" s="2018"/>
      <c r="E145" s="2019">
        <f>SUM(E143:E144)</f>
        <v>0</v>
      </c>
      <c r="F145" s="2019">
        <f>SUM(F143:F144)</f>
        <v>2137285</v>
      </c>
      <c r="G145" s="2019">
        <v>0</v>
      </c>
      <c r="H145" s="2019">
        <f>SUM(H143:H144)</f>
        <v>0</v>
      </c>
      <c r="I145" s="2019">
        <v>0</v>
      </c>
      <c r="J145" s="2019">
        <f>SUM(J143:J144)</f>
        <v>2137285</v>
      </c>
      <c r="K145" s="2142"/>
      <c r="L145" s="2019">
        <f>SUM(L143:L144)</f>
        <v>0</v>
      </c>
      <c r="M145" s="2019">
        <f>SUM(M143:M144)</f>
        <v>2137285</v>
      </c>
      <c r="N145" s="2019"/>
      <c r="O145" s="2040"/>
    </row>
    <row r="146" spans="1:15" x14ac:dyDescent="0.2">
      <c r="A146" s="2030"/>
      <c r="B146" s="2013"/>
      <c r="C146" s="2015"/>
      <c r="D146" s="2015"/>
      <c r="E146" s="2026"/>
      <c r="F146" s="2026"/>
      <c r="G146" s="2026"/>
      <c r="H146" s="2026"/>
      <c r="I146" s="2026"/>
      <c r="J146" s="2026"/>
      <c r="K146" s="2144"/>
      <c r="L146" s="2026"/>
      <c r="M146" s="2026"/>
      <c r="N146" s="2026"/>
      <c r="O146" s="2041"/>
    </row>
    <row r="147" spans="1:15" x14ac:dyDescent="0.2">
      <c r="A147" s="2025"/>
      <c r="B147" s="2016"/>
      <c r="C147" s="2018"/>
      <c r="D147" s="2018"/>
      <c r="E147" s="2019"/>
      <c r="F147" s="2019"/>
      <c r="G147" s="2019"/>
      <c r="H147" s="2019"/>
      <c r="I147" s="2019"/>
      <c r="J147" s="2019"/>
      <c r="K147" s="2142"/>
      <c r="L147" s="2019"/>
      <c r="M147" s="2019"/>
      <c r="N147" s="2019"/>
      <c r="O147" s="2040"/>
    </row>
    <row r="148" spans="1:15" x14ac:dyDescent="0.2">
      <c r="A148" s="2025" t="s">
        <v>2203</v>
      </c>
      <c r="B148" s="2025"/>
      <c r="C148" s="2036"/>
      <c r="D148" s="2036"/>
      <c r="E148" s="2036"/>
      <c r="F148" s="2036"/>
      <c r="G148" s="2036"/>
      <c r="H148" s="2036"/>
      <c r="I148" s="2036"/>
      <c r="J148" s="2036"/>
      <c r="K148" s="2147"/>
      <c r="L148" s="2036"/>
      <c r="M148" s="2036"/>
      <c r="N148" s="2036"/>
      <c r="O148" s="2036"/>
    </row>
    <row r="149" spans="1:15" x14ac:dyDescent="0.2">
      <c r="A149" s="2063" t="s">
        <v>2204</v>
      </c>
      <c r="B149" s="2063"/>
      <c r="C149" s="2027">
        <v>10.579000000000001</v>
      </c>
      <c r="D149" s="2018" t="s">
        <v>2205</v>
      </c>
      <c r="E149" s="2019">
        <v>41500</v>
      </c>
      <c r="F149" s="2019">
        <v>0</v>
      </c>
      <c r="G149" s="2019">
        <v>0</v>
      </c>
      <c r="H149" s="2019">
        <v>41500</v>
      </c>
      <c r="I149" s="2019">
        <v>0</v>
      </c>
      <c r="J149" s="2019">
        <v>0</v>
      </c>
      <c r="K149" s="2142"/>
      <c r="L149" s="2019">
        <v>0</v>
      </c>
      <c r="M149" s="2019">
        <f>SUM(H149:L149)</f>
        <v>41500</v>
      </c>
      <c r="N149" s="2039"/>
      <c r="O149" s="2040" t="s">
        <v>2111</v>
      </c>
    </row>
    <row r="150" spans="1:15" x14ac:dyDescent="0.2">
      <c r="A150" s="2013"/>
      <c r="B150" s="2013"/>
      <c r="C150" s="2014"/>
      <c r="D150" s="2015"/>
      <c r="E150" s="2026"/>
      <c r="F150" s="2026"/>
      <c r="G150" s="2026"/>
      <c r="H150" s="2026"/>
      <c r="I150" s="2026"/>
      <c r="J150" s="2026"/>
      <c r="K150" s="2144"/>
      <c r="L150" s="2026"/>
      <c r="M150" s="2026"/>
      <c r="N150" s="2132"/>
      <c r="O150" s="2041"/>
    </row>
    <row r="151" spans="1:15" s="2054" customFormat="1" ht="8.25" customHeight="1" x14ac:dyDescent="0.2">
      <c r="A151" s="2017"/>
      <c r="B151" s="2017"/>
      <c r="C151" s="2017"/>
      <c r="D151" s="2018"/>
      <c r="E151" s="2019"/>
      <c r="F151" s="2019"/>
      <c r="G151" s="2019"/>
      <c r="H151" s="2019"/>
      <c r="I151" s="2019"/>
      <c r="J151" s="2019"/>
      <c r="K151" s="2142"/>
      <c r="L151" s="2019"/>
      <c r="M151" s="2019"/>
      <c r="N151" s="2039"/>
      <c r="O151" s="2040"/>
    </row>
    <row r="152" spans="1:15" s="2054" customFormat="1" x14ac:dyDescent="0.2">
      <c r="A152" s="2050" t="s">
        <v>2206</v>
      </c>
      <c r="B152" s="2050"/>
      <c r="C152" s="2064"/>
      <c r="D152" s="2052"/>
      <c r="E152" s="2053">
        <f>E140+E149+E145</f>
        <v>13275074</v>
      </c>
      <c r="F152" s="2053">
        <f>F140+F149+F145</f>
        <v>17836264</v>
      </c>
      <c r="G152" s="2053">
        <v>0</v>
      </c>
      <c r="H152" s="2053">
        <f>H140+H149+H145</f>
        <v>13275074</v>
      </c>
      <c r="I152" s="2053">
        <v>0</v>
      </c>
      <c r="J152" s="2053">
        <f>J140+J149+J145</f>
        <v>17836264.149999999</v>
      </c>
      <c r="K152" s="2142"/>
      <c r="L152" s="2053">
        <f t="shared" ref="L152" si="10">L140+L149</f>
        <v>0</v>
      </c>
      <c r="M152" s="2053">
        <f>M140+M149+M145</f>
        <v>29043861.149999999</v>
      </c>
      <c r="N152" s="2032"/>
      <c r="O152" s="2062" t="s">
        <v>2111</v>
      </c>
    </row>
    <row r="153" spans="1:15" s="2054" customFormat="1" x14ac:dyDescent="0.2">
      <c r="A153" s="2038"/>
      <c r="B153" s="2038"/>
      <c r="C153" s="2014"/>
      <c r="D153" s="2015"/>
      <c r="E153" s="2026"/>
      <c r="F153" s="2026"/>
      <c r="G153" s="2026"/>
      <c r="H153" s="2026"/>
      <c r="I153" s="2026"/>
      <c r="J153" s="2026"/>
      <c r="K153" s="2144"/>
      <c r="L153" s="2026"/>
      <c r="M153" s="2026"/>
      <c r="N153" s="2133"/>
      <c r="O153" s="2041"/>
    </row>
    <row r="154" spans="1:15" s="2054" customFormat="1" x14ac:dyDescent="0.2">
      <c r="A154" s="2017"/>
      <c r="B154" s="2017"/>
      <c r="C154" s="2065"/>
      <c r="D154" s="2065"/>
      <c r="E154" s="2019"/>
      <c r="F154" s="2019"/>
      <c r="G154" s="2019"/>
      <c r="H154" s="2019"/>
      <c r="I154" s="2019"/>
      <c r="J154" s="2019"/>
      <c r="K154" s="2142"/>
      <c r="L154" s="2019"/>
      <c r="M154" s="2019"/>
      <c r="N154" s="2039"/>
      <c r="O154" s="2040"/>
    </row>
    <row r="155" spans="1:15" s="2054" customFormat="1" x14ac:dyDescent="0.2">
      <c r="A155" s="2017" t="s">
        <v>2207</v>
      </c>
      <c r="B155" s="2017"/>
      <c r="C155" s="2018"/>
      <c r="D155" s="2065"/>
      <c r="E155" s="2019"/>
      <c r="F155" s="2019"/>
      <c r="G155" s="2019"/>
      <c r="H155" s="2019"/>
      <c r="I155" s="2019"/>
      <c r="J155" s="2019"/>
      <c r="K155" s="2142"/>
      <c r="L155" s="2019"/>
      <c r="M155" s="2019"/>
      <c r="N155" s="2039"/>
      <c r="O155" s="2040"/>
    </row>
    <row r="156" spans="1:15" s="2054" customFormat="1" ht="4.5" customHeight="1" x14ac:dyDescent="0.2">
      <c r="A156" s="2017"/>
      <c r="B156" s="2017"/>
      <c r="C156" s="2018"/>
      <c r="D156" s="2065"/>
      <c r="E156" s="2019"/>
      <c r="F156" s="2019"/>
      <c r="G156" s="2019"/>
      <c r="H156" s="2019"/>
      <c r="I156" s="2019"/>
      <c r="J156" s="2019"/>
      <c r="K156" s="2142"/>
      <c r="L156" s="2019"/>
      <c r="M156" s="2019"/>
      <c r="N156" s="2039"/>
      <c r="O156" s="2040"/>
    </row>
    <row r="157" spans="1:15" s="2054" customFormat="1" x14ac:dyDescent="0.2">
      <c r="A157" s="2016" t="s">
        <v>2208</v>
      </c>
      <c r="B157" s="2016"/>
      <c r="C157" s="2018"/>
      <c r="D157" s="2018"/>
      <c r="E157" s="2019"/>
      <c r="F157" s="2019"/>
      <c r="G157" s="2019"/>
      <c r="H157" s="2019"/>
      <c r="I157" s="2019"/>
      <c r="J157" s="2019"/>
      <c r="K157" s="2142"/>
      <c r="L157" s="2019"/>
      <c r="M157" s="2019"/>
      <c r="N157" s="2039"/>
      <c r="O157" s="2040"/>
    </row>
    <row r="158" spans="1:15" s="2054" customFormat="1" x14ac:dyDescent="0.2">
      <c r="A158" s="2029" t="s">
        <v>2209</v>
      </c>
      <c r="B158" s="2029"/>
      <c r="C158" s="2018"/>
      <c r="D158" s="2018"/>
      <c r="E158" s="2019"/>
      <c r="F158" s="2019"/>
      <c r="G158" s="2019"/>
      <c r="H158" s="2019"/>
      <c r="I158" s="2019"/>
      <c r="J158" s="2019"/>
      <c r="K158" s="2142"/>
      <c r="L158" s="2019"/>
      <c r="M158" s="2019"/>
      <c r="N158" s="2039"/>
      <c r="O158" s="2040"/>
    </row>
    <row r="159" spans="1:15" s="2054" customFormat="1" ht="4.5" customHeight="1" x14ac:dyDescent="0.2">
      <c r="A159" s="2029"/>
      <c r="B159" s="2029"/>
      <c r="C159" s="2018"/>
      <c r="D159" s="2018"/>
      <c r="E159" s="2019"/>
      <c r="F159" s="2019"/>
      <c r="G159" s="2019"/>
      <c r="H159" s="2019"/>
      <c r="I159" s="2019"/>
      <c r="J159" s="2019"/>
      <c r="K159" s="2142"/>
      <c r="L159" s="2019"/>
      <c r="M159" s="2019"/>
      <c r="N159" s="2039"/>
      <c r="O159" s="2040"/>
    </row>
    <row r="160" spans="1:15" s="2054" customFormat="1" x14ac:dyDescent="0.2">
      <c r="A160" s="2033"/>
      <c r="B160" s="2033"/>
      <c r="C160" s="2011"/>
      <c r="D160" s="2018"/>
      <c r="E160" s="2019"/>
      <c r="F160" s="2019"/>
      <c r="G160" s="2019"/>
      <c r="H160" s="2019"/>
      <c r="I160" s="2019"/>
      <c r="J160" s="2019"/>
      <c r="K160" s="2142"/>
      <c r="L160" s="2019"/>
      <c r="M160" s="2019"/>
      <c r="N160" s="2039"/>
      <c r="O160" s="2040"/>
    </row>
    <row r="161" spans="1:15" s="2054" customFormat="1" x14ac:dyDescent="0.2">
      <c r="A161" s="2025" t="s">
        <v>2606</v>
      </c>
      <c r="B161" s="2025"/>
      <c r="C161" s="2065">
        <v>93.778000000000006</v>
      </c>
      <c r="D161" s="2015">
        <v>499800</v>
      </c>
      <c r="E161" s="2026">
        <v>1411554</v>
      </c>
      <c r="F161" s="2026">
        <v>1201571</v>
      </c>
      <c r="G161" s="2026">
        <v>0</v>
      </c>
      <c r="H161" s="2026">
        <v>1193541</v>
      </c>
      <c r="I161" s="2026">
        <v>0</v>
      </c>
      <c r="J161" s="2026">
        <v>1201571</v>
      </c>
      <c r="K161" s="2144"/>
      <c r="L161" s="2026">
        <v>0</v>
      </c>
      <c r="M161" s="2041" t="s">
        <v>2111</v>
      </c>
      <c r="N161" s="2133"/>
      <c r="O161" s="2041" t="s">
        <v>2111</v>
      </c>
    </row>
    <row r="162" spans="1:15" s="2054" customFormat="1" x14ac:dyDescent="0.2">
      <c r="A162" s="2017"/>
      <c r="B162" s="2017"/>
      <c r="C162" s="2018"/>
      <c r="D162" s="2027"/>
      <c r="E162" s="2019"/>
      <c r="F162" s="2019"/>
      <c r="G162" s="2019"/>
      <c r="H162" s="2019"/>
      <c r="I162" s="2019"/>
      <c r="J162" s="2019"/>
      <c r="K162" s="2142"/>
      <c r="L162" s="2019"/>
      <c r="M162" s="2019"/>
      <c r="N162" s="2019"/>
      <c r="O162" s="2040"/>
    </row>
    <row r="163" spans="1:15" ht="6.75" customHeight="1" x14ac:dyDescent="0.2">
      <c r="A163" s="2066"/>
      <c r="B163" s="2066"/>
      <c r="C163" s="2067"/>
      <c r="D163" s="2068"/>
      <c r="E163" s="2043"/>
      <c r="F163" s="2043"/>
      <c r="G163" s="2043"/>
      <c r="H163" s="2043"/>
      <c r="I163" s="2043"/>
      <c r="J163" s="2043"/>
      <c r="K163" s="2148"/>
      <c r="L163" s="2043"/>
      <c r="M163" s="2043"/>
      <c r="N163" s="2043"/>
      <c r="O163" s="2069"/>
    </row>
    <row r="164" spans="1:15" x14ac:dyDescent="0.2">
      <c r="A164" s="2050" t="s">
        <v>2210</v>
      </c>
      <c r="B164" s="2050"/>
      <c r="C164" s="2018"/>
      <c r="D164" s="2027"/>
      <c r="E164" s="2053">
        <f>E161</f>
        <v>1411554</v>
      </c>
      <c r="F164" s="2053">
        <f>F161</f>
        <v>1201571</v>
      </c>
      <c r="G164" s="2053">
        <v>0</v>
      </c>
      <c r="H164" s="2053">
        <f>H161</f>
        <v>1193541</v>
      </c>
      <c r="I164" s="2053">
        <v>0</v>
      </c>
      <c r="J164" s="2053">
        <f>J161</f>
        <v>1201571</v>
      </c>
      <c r="K164" s="2142"/>
      <c r="L164" s="2053">
        <f>L161</f>
        <v>0</v>
      </c>
      <c r="M164" s="2053">
        <v>0</v>
      </c>
      <c r="N164" s="2053"/>
      <c r="O164" s="2053">
        <v>0</v>
      </c>
    </row>
    <row r="165" spans="1:15" x14ac:dyDescent="0.2">
      <c r="A165" s="2014"/>
      <c r="B165" s="2014"/>
      <c r="C165" s="2015"/>
      <c r="D165" s="2037"/>
      <c r="E165" s="2026"/>
      <c r="F165" s="2026"/>
      <c r="G165" s="2026"/>
      <c r="H165" s="2026"/>
      <c r="I165" s="2026"/>
      <c r="J165" s="2026"/>
      <c r="K165" s="2144"/>
      <c r="L165" s="2026"/>
      <c r="M165" s="2026"/>
      <c r="N165" s="2131"/>
      <c r="O165" s="2041"/>
    </row>
    <row r="166" spans="1:15" x14ac:dyDescent="0.2">
      <c r="A166" s="2017"/>
      <c r="B166" s="2017"/>
      <c r="C166" s="2065"/>
      <c r="D166" s="2065"/>
      <c r="E166" s="2019"/>
      <c r="F166" s="2019"/>
      <c r="G166" s="2019"/>
      <c r="H166" s="2019"/>
      <c r="I166" s="2019"/>
      <c r="J166" s="2019"/>
      <c r="K166" s="2142"/>
      <c r="L166" s="2019"/>
      <c r="M166" s="2019"/>
      <c r="N166" s="2039"/>
      <c r="O166" s="2040"/>
    </row>
    <row r="167" spans="1:15" ht="13.5" thickBot="1" x14ac:dyDescent="0.25">
      <c r="A167" s="2070" t="s">
        <v>2211</v>
      </c>
      <c r="B167" s="2070"/>
      <c r="C167" s="2010"/>
      <c r="D167" s="2011"/>
      <c r="E167" s="2149">
        <f>E164+E152+E112</f>
        <v>37287142</v>
      </c>
      <c r="F167" s="2149">
        <f>F164+F152+F112</f>
        <v>47190368</v>
      </c>
      <c r="G167" s="2149">
        <v>0</v>
      </c>
      <c r="H167" s="2149">
        <f>H164+H152+H112</f>
        <v>38789127</v>
      </c>
      <c r="I167" s="2149">
        <v>0</v>
      </c>
      <c r="J167" s="2149">
        <f>J164+J152+J112</f>
        <v>46522575.149999999</v>
      </c>
      <c r="K167" s="2150"/>
      <c r="L167" s="2149">
        <f>L164+L152+L112</f>
        <v>0</v>
      </c>
      <c r="M167" s="2149">
        <f>M164+M152+M112</f>
        <v>102499429.15000001</v>
      </c>
      <c r="N167" s="2149"/>
      <c r="O167" s="2149">
        <f>O164+O112</f>
        <v>92715546</v>
      </c>
    </row>
    <row r="168" spans="1:15" ht="13.5" thickTop="1" x14ac:dyDescent="0.2">
      <c r="A168" s="2010"/>
      <c r="B168" s="2010"/>
      <c r="C168" s="2010"/>
      <c r="D168" s="2011"/>
      <c r="E168" s="2011"/>
      <c r="F168" s="2011"/>
      <c r="G168" s="2011"/>
      <c r="H168" s="2010"/>
      <c r="I168" s="2010"/>
      <c r="J168" s="2010"/>
      <c r="K168" s="2010"/>
      <c r="L168" s="2010"/>
      <c r="M168" s="2010"/>
      <c r="N168" s="2039"/>
      <c r="O168" s="2010"/>
    </row>
    <row r="169" spans="1:15" x14ac:dyDescent="0.2">
      <c r="A169" s="2010" t="s">
        <v>2212</v>
      </c>
      <c r="B169" s="2010"/>
      <c r="C169" s="2010"/>
      <c r="D169" s="2011"/>
      <c r="E169" s="2011"/>
      <c r="F169" s="2071"/>
      <c r="G169" s="2071"/>
      <c r="H169" s="2022"/>
      <c r="I169" s="2022"/>
      <c r="J169" s="2072"/>
      <c r="K169" s="2072"/>
      <c r="L169" s="2073"/>
      <c r="M169" s="2073"/>
      <c r="N169" s="2039"/>
      <c r="O169" s="2074"/>
    </row>
    <row r="170" spans="1:15" x14ac:dyDescent="0.2">
      <c r="A170" s="2010" t="s">
        <v>2213</v>
      </c>
      <c r="B170" s="2010"/>
      <c r="C170" s="2075"/>
      <c r="D170" s="2011"/>
      <c r="E170" s="2076"/>
      <c r="F170" s="2076"/>
      <c r="G170" s="2076"/>
      <c r="H170" s="2077"/>
      <c r="I170" s="2077"/>
      <c r="J170" s="2076"/>
      <c r="K170" s="2076"/>
      <c r="L170" s="2076"/>
      <c r="M170" s="2076"/>
      <c r="N170" s="2039"/>
      <c r="O170" s="2010"/>
    </row>
    <row r="171" spans="1:15" x14ac:dyDescent="0.2">
      <c r="E171" s="2079"/>
      <c r="F171" s="2079"/>
      <c r="G171" s="2079"/>
      <c r="H171" s="2079"/>
      <c r="I171" s="2079"/>
      <c r="J171" s="2079"/>
      <c r="K171" s="2079"/>
      <c r="L171" s="2079"/>
      <c r="M171" s="2079"/>
      <c r="N171" s="2079"/>
      <c r="O171" s="2079"/>
    </row>
    <row r="172" spans="1:15" x14ac:dyDescent="0.2">
      <c r="F172" s="2078"/>
      <c r="G172" s="2078"/>
      <c r="J172" s="2024"/>
      <c r="K172" s="2024"/>
    </row>
    <row r="173" spans="1:15" x14ac:dyDescent="0.2">
      <c r="F173" s="2078"/>
      <c r="G173" s="2078"/>
    </row>
    <row r="174" spans="1:15" x14ac:dyDescent="0.2">
      <c r="F174" s="2078"/>
      <c r="G174" s="2078"/>
    </row>
    <row r="175" spans="1:15" x14ac:dyDescent="0.2">
      <c r="F175" s="2078"/>
      <c r="G175" s="2078"/>
    </row>
    <row r="176" spans="1:15" x14ac:dyDescent="0.2">
      <c r="F176" s="2078"/>
      <c r="G176" s="2078"/>
    </row>
  </sheetData>
  <autoFilter ref="A13:O167" xr:uid="{00000000-0009-0000-0000-00001B000000}"/>
  <mergeCells count="2">
    <mergeCell ref="E11:F11"/>
    <mergeCell ref="H11:J11"/>
  </mergeCells>
  <printOptions horizontalCentered="1"/>
  <pageMargins left="0.7" right="0.7" top="0.75" bottom="0.75" header="0.3" footer="0.3"/>
  <pageSetup scale="38" firstPageNumber="6" fitToHeight="2" orientation="landscape" useFirstPageNumber="1" r:id="rId1"/>
  <headerFooter>
    <oddFooter>&amp;C&amp;P</oddFooter>
  </headerFooter>
  <rowBreaks count="2" manualBreakCount="2">
    <brk id="64" max="16383" man="1"/>
    <brk id="9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heetViews>
  <sheetFormatPr defaultColWidth="33.5703125" defaultRowHeight="12.75" x14ac:dyDescent="0.2"/>
  <cols>
    <col min="1" max="1" width="0.28515625" style="295" customWidth="1"/>
    <col min="2" max="2" width="32.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58" t="str">
        <f>'Single Audit Cover'!A7</f>
        <v xml:space="preserve">   SD U46 - Elgin</v>
      </c>
      <c r="C1" s="2681"/>
      <c r="D1" s="2681"/>
      <c r="E1" s="2681"/>
      <c r="F1" s="2681"/>
      <c r="G1" s="2681"/>
      <c r="H1" s="2681"/>
      <c r="I1" s="2681"/>
      <c r="J1" s="2681"/>
      <c r="K1" s="2681"/>
      <c r="L1" s="2681"/>
      <c r="M1" s="2681"/>
    </row>
    <row r="2" spans="2:14" ht="15" x14ac:dyDescent="0.2">
      <c r="B2" s="2682">
        <f>'Single Audit Cover'!E7</f>
        <v>31045046022</v>
      </c>
      <c r="C2" s="2682"/>
      <c r="D2" s="2682"/>
      <c r="E2" s="2682"/>
      <c r="F2" s="2682"/>
      <c r="G2" s="2682"/>
      <c r="H2" s="2682"/>
      <c r="I2" s="2682"/>
      <c r="J2" s="2682"/>
      <c r="K2" s="2682"/>
      <c r="L2" s="2682"/>
      <c r="M2" s="2682"/>
      <c r="N2" s="1078"/>
    </row>
    <row r="3" spans="2:14" ht="15" x14ac:dyDescent="0.2">
      <c r="B3" s="2683" t="s">
        <v>1207</v>
      </c>
      <c r="C3" s="2683"/>
      <c r="D3" s="2683"/>
      <c r="E3" s="2683"/>
      <c r="F3" s="2683"/>
      <c r="G3" s="2683"/>
      <c r="H3" s="2683"/>
      <c r="I3" s="2683"/>
      <c r="J3" s="2683"/>
      <c r="K3" s="2683"/>
      <c r="L3" s="2683"/>
      <c r="M3" s="2683"/>
      <c r="N3" s="1078"/>
    </row>
    <row r="4" spans="2:14" ht="15" x14ac:dyDescent="0.2">
      <c r="B4" s="2684" t="str">
        <f>'Single Audit Cover'!A4</f>
        <v>Year Ending June 30, 2020</v>
      </c>
      <c r="C4" s="2684"/>
      <c r="D4" s="2684"/>
      <c r="E4" s="2684"/>
      <c r="F4" s="2684"/>
      <c r="G4" s="2684"/>
      <c r="H4" s="2684"/>
      <c r="I4" s="2684"/>
      <c r="J4" s="2684"/>
      <c r="K4" s="2684"/>
      <c r="L4" s="2684"/>
      <c r="M4" s="2684"/>
      <c r="N4" s="1078"/>
    </row>
    <row r="5" spans="2:14" x14ac:dyDescent="0.2">
      <c r="H5" s="1866"/>
      <c r="J5" s="1866"/>
    </row>
    <row r="6" spans="2:14" x14ac:dyDescent="0.2">
      <c r="B6" s="1079"/>
      <c r="C6" s="1080"/>
      <c r="D6" s="1081" t="s">
        <v>1253</v>
      </c>
      <c r="E6" s="1082" t="s">
        <v>523</v>
      </c>
      <c r="F6" s="1083"/>
      <c r="G6" s="1084" t="s">
        <v>1707</v>
      </c>
      <c r="H6" s="1082"/>
      <c r="I6" s="1082"/>
      <c r="J6" s="1867"/>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865" t="str">
        <f>"7/1/"&amp;MID('AFR20'!$E$2,3,2)-2&amp;"-6/30/"&amp;MID('AFR20'!$E$2,3,2)-1</f>
        <v>7/1/18-6/30/19</v>
      </c>
      <c r="F9" s="1865" t="str">
        <f>"7/1/"&amp;MID('AFR20'!$E$2,3,2)-1&amp;"-6/30/"&amp;MID('AFR20'!$E$2,3,2)</f>
        <v>7/1/19-6/30/20</v>
      </c>
      <c r="G9" s="1865" t="str">
        <f>"7/1/"&amp;MID('AFR20'!$E$2,3,2)-2&amp;"-6/30/"&amp;MID('AFR20'!$E$2,3,2)-1</f>
        <v>7/1/18-6/30/19</v>
      </c>
      <c r="H9" s="1093" t="s">
        <v>1564</v>
      </c>
      <c r="I9" s="1865"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4.1500000000000004"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4.1500000000000004"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4.1500000000000004"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A1:G52"/>
  <sheetViews>
    <sheetView showGridLines="0" topLeftCell="A23" zoomScale="120" zoomScaleNormal="120" workbookViewId="0">
      <selection activeCell="K24" sqref="K2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94" t="str">
        <f>'Single Audit Cover'!A7</f>
        <v xml:space="preserve">   SD U46 - Elgin</v>
      </c>
      <c r="B1" s="2694"/>
      <c r="C1" s="2694"/>
      <c r="D1" s="2694"/>
      <c r="E1" s="2694"/>
      <c r="F1" s="2694"/>
    </row>
    <row r="2" spans="1:7" ht="13.5" customHeight="1" x14ac:dyDescent="0.2">
      <c r="A2" s="2682">
        <f>'Single Audit Cover'!E7</f>
        <v>31045046022</v>
      </c>
      <c r="B2" s="2682"/>
      <c r="C2" s="2682"/>
      <c r="D2" s="2682"/>
      <c r="E2" s="2682"/>
      <c r="F2" s="2682"/>
      <c r="G2" s="1051"/>
    </row>
    <row r="3" spans="1:7" ht="15.75" customHeight="1" x14ac:dyDescent="0.2">
      <c r="A3" s="2695" t="s">
        <v>1259</v>
      </c>
      <c r="B3" s="2695"/>
      <c r="C3" s="2695"/>
      <c r="D3" s="2695"/>
      <c r="E3" s="2695"/>
      <c r="F3" s="2695"/>
    </row>
    <row r="4" spans="1:7" ht="13.5" customHeight="1" x14ac:dyDescent="0.2">
      <c r="A4" s="2696" t="str">
        <f>'Single Audit Cover'!A4</f>
        <v>Year Ending June 30, 2020</v>
      </c>
      <c r="B4" s="2696"/>
      <c r="C4" s="2696"/>
      <c r="D4" s="2696"/>
      <c r="E4" s="2696"/>
      <c r="F4" s="2696"/>
    </row>
    <row r="5" spans="1:7" ht="8.25" customHeight="1" x14ac:dyDescent="0.2">
      <c r="C5" s="295"/>
      <c r="D5" s="295"/>
    </row>
    <row r="6" spans="1:7" ht="13.5" customHeight="1" x14ac:dyDescent="0.2">
      <c r="A6" s="1052" t="s">
        <v>1704</v>
      </c>
      <c r="C6" s="295"/>
      <c r="D6" s="295"/>
    </row>
    <row r="7" spans="1:7" ht="61.15" customHeight="1" x14ac:dyDescent="0.2">
      <c r="A7" s="2693" t="s">
        <v>2102</v>
      </c>
      <c r="B7" s="2693"/>
      <c r="C7" s="2693"/>
      <c r="D7" s="2693"/>
      <c r="E7" s="2693"/>
      <c r="F7" s="2693"/>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2047</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693" t="s">
        <v>2104</v>
      </c>
      <c r="B13" s="2693"/>
      <c r="C13" s="2693"/>
      <c r="D13" s="2693"/>
      <c r="E13" s="2693"/>
      <c r="F13" s="2693"/>
    </row>
    <row r="14" spans="1:7" ht="9.75" customHeight="1" x14ac:dyDescent="0.2">
      <c r="C14" s="1036"/>
      <c r="D14" s="1036"/>
    </row>
    <row r="15" spans="1:7" ht="13.5" customHeight="1" x14ac:dyDescent="0.2">
      <c r="C15" s="1476" t="s">
        <v>1258</v>
      </c>
      <c r="D15" s="2691" t="s">
        <v>1257</v>
      </c>
      <c r="E15" s="2691"/>
      <c r="F15" s="2691"/>
    </row>
    <row r="16" spans="1:7" ht="13.5" customHeight="1" x14ac:dyDescent="0.2">
      <c r="A16" s="1058"/>
      <c r="B16" s="1052" t="s">
        <v>1256</v>
      </c>
      <c r="C16" s="1476" t="s">
        <v>1255</v>
      </c>
      <c r="D16" s="2692" t="s">
        <v>1570</v>
      </c>
      <c r="E16" s="2692"/>
      <c r="F16" s="2692"/>
    </row>
    <row r="17" spans="1:6" ht="20.65" customHeight="1" x14ac:dyDescent="0.2">
      <c r="A17" s="1059"/>
      <c r="B17" s="1060" t="s">
        <v>2103</v>
      </c>
      <c r="C17" s="1061"/>
      <c r="D17" s="2686"/>
      <c r="E17" s="2686"/>
      <c r="F17" s="2686"/>
    </row>
    <row r="18" spans="1:6" ht="20.65" customHeight="1" x14ac:dyDescent="0.2">
      <c r="A18" s="1059"/>
      <c r="B18" s="1060"/>
      <c r="C18" s="1061"/>
      <c r="D18" s="2686"/>
      <c r="E18" s="2686"/>
      <c r="F18" s="2686"/>
    </row>
    <row r="19" spans="1:6" ht="20.65" customHeight="1" x14ac:dyDescent="0.2">
      <c r="A19" s="1059"/>
      <c r="B19" s="1060"/>
      <c r="C19" s="1061"/>
      <c r="D19" s="2686"/>
      <c r="E19" s="2686"/>
      <c r="F19" s="2686"/>
    </row>
    <row r="20" spans="1:6" ht="20.65" customHeight="1" x14ac:dyDescent="0.2">
      <c r="A20" s="1059"/>
      <c r="B20" s="1060"/>
      <c r="C20" s="1061"/>
      <c r="D20" s="2686"/>
      <c r="E20" s="2686"/>
      <c r="F20" s="2686"/>
    </row>
    <row r="21" spans="1:6" ht="20.65" customHeight="1" x14ac:dyDescent="0.2">
      <c r="A21" s="1059"/>
      <c r="B21" s="1060"/>
      <c r="C21" s="1061"/>
      <c r="D21" s="2686"/>
      <c r="E21" s="2686"/>
      <c r="F21" s="2686"/>
    </row>
    <row r="22" spans="1:6" ht="20.65" customHeight="1" x14ac:dyDescent="0.2">
      <c r="A22" s="1059"/>
      <c r="B22" s="1060"/>
      <c r="C22" s="1061"/>
      <c r="D22" s="2686"/>
      <c r="E22" s="2686"/>
      <c r="F22" s="2686"/>
    </row>
    <row r="23" spans="1:6" ht="20.65" customHeight="1" x14ac:dyDescent="0.2">
      <c r="A23" s="1059"/>
      <c r="B23" s="1060"/>
      <c r="C23" s="1061"/>
      <c r="D23" s="2686"/>
      <c r="E23" s="2686"/>
      <c r="F23" s="2686"/>
    </row>
    <row r="24" spans="1:6" ht="20.65" customHeight="1" x14ac:dyDescent="0.2">
      <c r="A24" s="1059"/>
      <c r="B24" s="1060"/>
      <c r="C24" s="1061"/>
      <c r="D24" s="2686"/>
      <c r="E24" s="2686"/>
      <c r="F24" s="2686"/>
    </row>
    <row r="25" spans="1:6" ht="20.65" customHeight="1" x14ac:dyDescent="0.2">
      <c r="A25" s="1059"/>
      <c r="B25" s="1060"/>
      <c r="C25" s="1061"/>
      <c r="D25" s="2686"/>
      <c r="E25" s="2686"/>
      <c r="F25" s="2686"/>
    </row>
    <row r="26" spans="1:6" ht="20.65" customHeight="1" x14ac:dyDescent="0.2">
      <c r="A26" s="1059"/>
      <c r="B26" s="1060"/>
      <c r="C26" s="1061"/>
      <c r="D26" s="2686"/>
      <c r="E26" s="2686"/>
      <c r="F26" s="2686"/>
    </row>
    <row r="27" spans="1:6" ht="20.65" customHeight="1" x14ac:dyDescent="0.2">
      <c r="A27" s="1059"/>
      <c r="B27" s="1060"/>
      <c r="C27" s="1061"/>
      <c r="D27" s="2686"/>
      <c r="E27" s="2686"/>
      <c r="F27" s="2686"/>
    </row>
    <row r="28" spans="1:6" ht="20.65" customHeight="1" x14ac:dyDescent="0.2">
      <c r="A28" s="1059"/>
      <c r="B28" s="1060"/>
      <c r="C28" s="1061"/>
      <c r="D28" s="2686"/>
      <c r="E28" s="2686"/>
      <c r="F28" s="2686"/>
    </row>
    <row r="29" spans="1:6" ht="20.65" customHeight="1" x14ac:dyDescent="0.2">
      <c r="A29" s="1059"/>
      <c r="B29" s="1060"/>
      <c r="C29" s="1061"/>
      <c r="D29" s="2686"/>
      <c r="E29" s="2686"/>
      <c r="F29" s="2686"/>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687" t="s">
        <v>2105</v>
      </c>
      <c r="B32" s="2687"/>
      <c r="C32" s="2687"/>
      <c r="D32" s="2687"/>
      <c r="E32" s="2687"/>
      <c r="F32" s="2687"/>
    </row>
    <row r="33" spans="1:6" ht="13.5" customHeight="1" x14ac:dyDescent="0.2">
      <c r="A33" s="306" t="s">
        <v>1416</v>
      </c>
      <c r="B33" s="306"/>
      <c r="C33" s="1064">
        <v>814401</v>
      </c>
      <c r="D33" s="1526"/>
      <c r="E33" s="1062"/>
    </row>
    <row r="34" spans="1:6" ht="13.5" customHeight="1" x14ac:dyDescent="0.2">
      <c r="A34" s="306" t="s">
        <v>1807</v>
      </c>
      <c r="B34" s="306"/>
      <c r="C34" s="1065">
        <v>861021</v>
      </c>
      <c r="D34" s="1526" t="s">
        <v>1571</v>
      </c>
      <c r="E34" s="2688">
        <f>+C33+C34</f>
        <v>1675422</v>
      </c>
      <c r="F34" s="2689"/>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v>0</v>
      </c>
      <c r="D38" s="1526"/>
      <c r="E38" s="1062"/>
    </row>
    <row r="39" spans="1:6" ht="14.25" customHeight="1" x14ac:dyDescent="0.2">
      <c r="A39" s="306"/>
      <c r="B39" s="306" t="s">
        <v>1418</v>
      </c>
      <c r="C39" s="1068">
        <v>0</v>
      </c>
      <c r="D39" s="1526"/>
      <c r="E39" s="1062"/>
    </row>
    <row r="40" spans="1:6" ht="14.25" customHeight="1" x14ac:dyDescent="0.2">
      <c r="A40" s="306"/>
      <c r="B40" s="306" t="s">
        <v>1419</v>
      </c>
      <c r="C40" s="1068">
        <v>0</v>
      </c>
      <c r="D40" s="1526"/>
      <c r="E40" s="1062"/>
    </row>
    <row r="41" spans="1:6" ht="14.25" customHeight="1" x14ac:dyDescent="0.2">
      <c r="A41" s="306"/>
      <c r="B41" s="306" t="s">
        <v>1420</v>
      </c>
      <c r="C41" s="1068">
        <v>0</v>
      </c>
      <c r="D41" s="1526"/>
      <c r="E41" s="1062"/>
    </row>
    <row r="42" spans="1:6" ht="14.25" customHeight="1" x14ac:dyDescent="0.2">
      <c r="A42" s="306" t="s">
        <v>1421</v>
      </c>
      <c r="B42" s="306"/>
      <c r="C42" s="1524">
        <v>0</v>
      </c>
      <c r="D42" s="1526"/>
      <c r="E42" s="1062"/>
    </row>
    <row r="43" spans="1:6" ht="14.25" customHeight="1" x14ac:dyDescent="0.2">
      <c r="A43" s="306" t="s">
        <v>1422</v>
      </c>
      <c r="B43" s="306"/>
      <c r="C43" s="1069" t="s">
        <v>379</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90" t="s">
        <v>1572</v>
      </c>
      <c r="C49" s="2690"/>
      <c r="D49" s="2690"/>
      <c r="E49" s="1168"/>
    </row>
    <row r="50" spans="1:5" s="1076" customFormat="1" ht="3.75" customHeight="1" x14ac:dyDescent="0.2">
      <c r="A50" s="1075"/>
      <c r="B50" s="1475"/>
      <c r="C50" s="1475"/>
      <c r="D50" s="1475"/>
      <c r="E50" s="1168"/>
    </row>
    <row r="51" spans="1:5" s="1076" customFormat="1" ht="20.25" customHeight="1" x14ac:dyDescent="0.2">
      <c r="A51" s="1077">
        <v>6</v>
      </c>
      <c r="B51" s="2685" t="s">
        <v>1533</v>
      </c>
      <c r="C51" s="2685"/>
      <c r="D51" s="2685"/>
    </row>
    <row r="52" spans="1:5" ht="14.25" customHeight="1" x14ac:dyDescent="0.2">
      <c r="A52" s="1077"/>
      <c r="B52" s="2685"/>
      <c r="C52" s="2685"/>
      <c r="D52" s="268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sheetPr>
  <dimension ref="A1:J63"/>
  <sheetViews>
    <sheetView showGridLines="0" topLeftCell="A17" zoomScale="110" zoomScaleNormal="110" workbookViewId="0">
      <selection activeCell="G43" sqref="G43:I43"/>
    </sheetView>
  </sheetViews>
  <sheetFormatPr defaultColWidth="9.28515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708" t="str">
        <f>'Single Audit Cover'!A7</f>
        <v xml:space="preserve">   SD U46 - Elgin</v>
      </c>
      <c r="C1" s="2709"/>
      <c r="D1" s="2709"/>
      <c r="E1" s="2709"/>
      <c r="F1" s="2709"/>
      <c r="G1" s="2709"/>
      <c r="H1" s="2709"/>
      <c r="I1" s="2709"/>
      <c r="J1" s="1178"/>
    </row>
    <row r="2" spans="2:10" s="295" customFormat="1" ht="12.75" customHeight="1" x14ac:dyDescent="0.2">
      <c r="B2" s="2710">
        <f>'Single Audit Cover'!E7</f>
        <v>31045046022</v>
      </c>
      <c r="C2" s="2711"/>
      <c r="D2" s="2711"/>
      <c r="E2" s="2711"/>
      <c r="F2" s="2711"/>
      <c r="G2" s="2711"/>
      <c r="H2" s="2711"/>
      <c r="I2" s="2711"/>
      <c r="J2" s="1178"/>
    </row>
    <row r="3" spans="2:10" s="295" customFormat="1" ht="12.75" customHeight="1" x14ac:dyDescent="0.2">
      <c r="B3" s="2712" t="s">
        <v>1273</v>
      </c>
      <c r="C3" s="2713"/>
      <c r="D3" s="2713"/>
      <c r="E3" s="2713"/>
      <c r="F3" s="2713"/>
      <c r="G3" s="2713"/>
      <c r="H3" s="2713"/>
      <c r="I3" s="2713"/>
      <c r="J3" s="1179"/>
    </row>
    <row r="4" spans="2:10" s="295" customFormat="1" ht="12.75" customHeight="1" x14ac:dyDescent="0.2">
      <c r="B4" s="2712" t="str">
        <f>'Single Audit Cover'!A4</f>
        <v>Year Ending June 30, 2020</v>
      </c>
      <c r="C4" s="2713"/>
      <c r="D4" s="2713"/>
      <c r="E4" s="2713"/>
      <c r="F4" s="2713"/>
      <c r="G4" s="2713"/>
      <c r="H4" s="2713"/>
      <c r="I4" s="2713"/>
    </row>
    <row r="5" spans="2:10" s="295" customFormat="1" ht="6.4" customHeight="1" x14ac:dyDescent="0.2">
      <c r="B5" s="1180" t="s">
        <v>1158</v>
      </c>
      <c r="C5" s="1070"/>
      <c r="D5" s="1070"/>
      <c r="E5" s="1153"/>
      <c r="F5" s="300"/>
      <c r="G5" s="300"/>
      <c r="H5" s="300"/>
      <c r="I5" s="300"/>
    </row>
    <row r="6" spans="2:10" s="295" customFormat="1" ht="6.4" customHeight="1" x14ac:dyDescent="0.2">
      <c r="B6" s="1181"/>
      <c r="C6" s="1149"/>
      <c r="D6" s="1149"/>
      <c r="E6" s="1150"/>
      <c r="F6" s="1149"/>
      <c r="G6" s="1149"/>
      <c r="H6" s="1149"/>
      <c r="I6" s="1149"/>
    </row>
    <row r="7" spans="2:10" s="295" customFormat="1" ht="13.5" customHeight="1" x14ac:dyDescent="0.2">
      <c r="B7" s="2712" t="s">
        <v>1272</v>
      </c>
      <c r="C7" s="2713"/>
      <c r="D7" s="2713"/>
      <c r="E7" s="2713"/>
      <c r="F7" s="2713"/>
      <c r="G7" s="2713"/>
      <c r="H7" s="2713"/>
      <c r="I7" s="2713"/>
    </row>
    <row r="8" spans="2:10" s="295" customFormat="1" ht="6.4"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714" t="s">
        <v>2106</v>
      </c>
      <c r="D11" s="2714"/>
      <c r="E11" s="1188"/>
      <c r="F11" s="1188"/>
      <c r="G11" s="1188"/>
    </row>
    <row r="12" spans="2:10" s="295" customFormat="1" ht="11.6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2047</v>
      </c>
      <c r="H15" s="1076" t="s">
        <v>1264</v>
      </c>
      <c r="I15" s="1076"/>
    </row>
    <row r="16" spans="2:10" s="295" customFormat="1" ht="8.65"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2047</v>
      </c>
      <c r="H18" s="1076" t="s">
        <v>1264</v>
      </c>
      <c r="I18" s="1076"/>
    </row>
    <row r="19" spans="2:9" s="295" customFormat="1" ht="8.65"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2047</v>
      </c>
      <c r="H24" s="1076" t="s">
        <v>1264</v>
      </c>
      <c r="I24" s="1076"/>
    </row>
    <row r="25" spans="2:9" s="295" customFormat="1" ht="8.65"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2047</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715" t="s">
        <v>2106</v>
      </c>
      <c r="E29" s="2715"/>
      <c r="F29" s="2715"/>
      <c r="G29" s="2715"/>
      <c r="H29" s="2715"/>
      <c r="I29" s="2715"/>
    </row>
    <row r="30" spans="2:9" s="295" customFormat="1" x14ac:dyDescent="0.2">
      <c r="B30" s="1138"/>
      <c r="C30" s="300"/>
      <c r="D30" s="1189" t="s">
        <v>1721</v>
      </c>
      <c r="E30" s="1190"/>
      <c r="F30" s="1190"/>
      <c r="G30" s="1190"/>
      <c r="H30" s="1190"/>
      <c r="I30" s="1190"/>
    </row>
    <row r="31" spans="2:9" s="295" customFormat="1" ht="10.15"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2047</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716" t="s">
        <v>1724</v>
      </c>
      <c r="D37" s="2717"/>
      <c r="E37" s="2717"/>
      <c r="F37" s="2718"/>
      <c r="G37" s="2716" t="s">
        <v>1574</v>
      </c>
      <c r="H37" s="2717"/>
      <c r="I37" s="2718"/>
    </row>
    <row r="38" spans="2:9" ht="16.5" customHeight="1" x14ac:dyDescent="0.2">
      <c r="B38" s="1200" t="s">
        <v>2107</v>
      </c>
      <c r="C38" s="2704" t="s">
        <v>2108</v>
      </c>
      <c r="D38" s="2705"/>
      <c r="E38" s="2705"/>
      <c r="F38" s="2706"/>
      <c r="G38" s="2719">
        <f>'SEFA - AFR'!J63</f>
        <v>8496170</v>
      </c>
      <c r="H38" s="2720"/>
      <c r="I38" s="2721"/>
    </row>
    <row r="39" spans="2:9" ht="16.5" customHeight="1" x14ac:dyDescent="0.2">
      <c r="B39" s="1200" t="s">
        <v>2109</v>
      </c>
      <c r="C39" s="2704" t="s">
        <v>2110</v>
      </c>
      <c r="D39" s="2705"/>
      <c r="E39" s="2705"/>
      <c r="F39" s="2706"/>
      <c r="G39" s="2707">
        <f>'SEFA - AFR'!J91</f>
        <v>4970548</v>
      </c>
      <c r="H39" s="2707"/>
      <c r="I39" s="2707"/>
    </row>
    <row r="40" spans="2:9" ht="16.5" customHeight="1" x14ac:dyDescent="0.2">
      <c r="B40" s="1200">
        <v>10.558</v>
      </c>
      <c r="C40" s="2704" t="s">
        <v>2607</v>
      </c>
      <c r="D40" s="2705"/>
      <c r="E40" s="2705"/>
      <c r="F40" s="2706"/>
      <c r="G40" s="2707">
        <f>'SEFA - AFR'!J145</f>
        <v>2137285</v>
      </c>
      <c r="H40" s="2707"/>
      <c r="I40" s="2707"/>
    </row>
    <row r="41" spans="2:9" ht="16.5" customHeight="1" x14ac:dyDescent="0.2">
      <c r="B41" s="1200"/>
      <c r="C41" s="2704"/>
      <c r="D41" s="2705"/>
      <c r="E41" s="2705"/>
      <c r="F41" s="2706"/>
      <c r="G41" s="2707"/>
      <c r="H41" s="2707"/>
      <c r="I41" s="2707"/>
    </row>
    <row r="42" spans="2:9" ht="16.5" customHeight="1" x14ac:dyDescent="0.2">
      <c r="B42" s="1200"/>
      <c r="C42" s="2704"/>
      <c r="D42" s="2705"/>
      <c r="E42" s="2705"/>
      <c r="F42" s="2706"/>
      <c r="G42" s="2707"/>
      <c r="H42" s="2707"/>
      <c r="I42" s="2707"/>
    </row>
    <row r="43" spans="2:9" ht="16.5" customHeight="1" x14ac:dyDescent="0.2">
      <c r="B43" s="1200"/>
      <c r="C43" s="2697" t="s">
        <v>1575</v>
      </c>
      <c r="D43" s="2698"/>
      <c r="E43" s="2698"/>
      <c r="F43" s="2699"/>
      <c r="G43" s="2700">
        <f>SUM(G38:I42)</f>
        <v>15604003</v>
      </c>
      <c r="H43" s="2700"/>
      <c r="I43" s="2700"/>
    </row>
    <row r="44" spans="2:9" ht="12.75" customHeight="1" x14ac:dyDescent="0.2"/>
    <row r="45" spans="2:9" ht="12.75" customHeight="1" x14ac:dyDescent="0.2">
      <c r="B45" s="1868" t="str">
        <f>"Total Federal Expenditures for 7/1/"&amp;MID('AFR20'!E2,3,2)-1&amp;"-6/30/"&amp;MID('AFR20'!E2,3,2)</f>
        <v>Total Federal Expenditures for 7/1/19-6/30/20</v>
      </c>
      <c r="C45" s="1869"/>
      <c r="D45" s="2701">
        <f>'SEFA - AFR'!J167</f>
        <v>46522575.149999999</v>
      </c>
      <c r="E45" s="2702"/>
    </row>
    <row r="46" spans="2:9" ht="5.25" customHeight="1" x14ac:dyDescent="0.2">
      <c r="B46" s="1201"/>
      <c r="D46" s="1202"/>
      <c r="E46" s="1203"/>
    </row>
    <row r="47" spans="2:9" ht="12.75" customHeight="1" x14ac:dyDescent="0.2">
      <c r="B47" s="1076" t="s">
        <v>1576</v>
      </c>
      <c r="C47" s="1076"/>
      <c r="D47" s="1204">
        <f>+G43/D45</f>
        <v>0.33540712115975807</v>
      </c>
      <c r="E47" s="1205"/>
      <c r="F47" s="1206"/>
      <c r="I47" s="1207"/>
    </row>
    <row r="48" spans="2:9" ht="10.15" customHeight="1" x14ac:dyDescent="0.2"/>
    <row r="49" spans="1:9" x14ac:dyDescent="0.2">
      <c r="B49" s="1138" t="s">
        <v>1261</v>
      </c>
      <c r="C49" s="1058"/>
      <c r="D49" s="1058"/>
      <c r="E49" s="2703">
        <v>1395677</v>
      </c>
      <c r="F49" s="2703"/>
      <c r="G49" s="2703"/>
      <c r="H49" s="300"/>
    </row>
    <row r="51" spans="1:9" ht="13.5" customHeight="1" x14ac:dyDescent="0.2">
      <c r="B51" s="1138" t="s">
        <v>1260</v>
      </c>
      <c r="C51" s="1058"/>
      <c r="E51" s="1194" t="s">
        <v>2047</v>
      </c>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4.1500000000000004" customHeight="1" x14ac:dyDescent="0.2">
      <c r="A57" s="1214"/>
      <c r="B57" s="1218"/>
      <c r="C57" s="1214"/>
      <c r="D57" s="1214"/>
    </row>
    <row r="58" spans="1:9" s="1217" customFormat="1" ht="13.5" customHeight="1" x14ac:dyDescent="0.2">
      <c r="A58" s="1214"/>
      <c r="B58" s="1219" t="s">
        <v>1726</v>
      </c>
      <c r="C58" s="1220"/>
      <c r="D58" s="1220"/>
    </row>
    <row r="59" spans="1:9" s="1217" customFormat="1" ht="4.1500000000000004" customHeight="1" x14ac:dyDescent="0.2">
      <c r="A59" s="1214"/>
      <c r="B59" s="1219"/>
      <c r="C59" s="1220"/>
      <c r="D59" s="1220"/>
    </row>
    <row r="60" spans="1:9" s="1217" customFormat="1" ht="13.5" customHeight="1" x14ac:dyDescent="0.2">
      <c r="A60" s="1214"/>
      <c r="B60" s="1219" t="s">
        <v>1727</v>
      </c>
      <c r="C60" s="1220"/>
      <c r="D60" s="1220"/>
    </row>
    <row r="61" spans="1:9" s="1217" customFormat="1" ht="4.1500000000000004"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sheetPr>
  <dimension ref="A1:M41"/>
  <sheetViews>
    <sheetView showGridLines="0" zoomScale="110" zoomScaleNormal="110" workbookViewId="0">
      <selection activeCell="B15" sqref="B15"/>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708" t="str">
        <f>'Single Audit Cover'!A7</f>
        <v xml:space="preserve">   SD U46 - Elgin</v>
      </c>
      <c r="C1" s="2708"/>
      <c r="D1" s="2708"/>
      <c r="E1" s="2708"/>
      <c r="F1" s="2708"/>
      <c r="G1" s="2708"/>
      <c r="H1" s="2708"/>
      <c r="I1" s="2708"/>
      <c r="J1" s="2708"/>
      <c r="K1" s="2708"/>
      <c r="L1" s="1144"/>
      <c r="M1" s="1144"/>
    </row>
    <row r="2" spans="1:13" ht="12" customHeight="1" x14ac:dyDescent="0.2">
      <c r="B2" s="2710">
        <f>'Single Audit Cover'!E7</f>
        <v>31045046022</v>
      </c>
      <c r="C2" s="2710"/>
      <c r="D2" s="2710"/>
      <c r="E2" s="2710"/>
      <c r="F2" s="2710"/>
      <c r="G2" s="2710"/>
      <c r="H2" s="2710"/>
      <c r="I2" s="2710"/>
      <c r="J2" s="2710"/>
      <c r="K2" s="2710"/>
      <c r="L2" s="1145"/>
      <c r="M2" s="1146"/>
    </row>
    <row r="3" spans="1:13" ht="10.35" customHeight="1" x14ac:dyDescent="0.2">
      <c r="B3" s="2724" t="s">
        <v>1273</v>
      </c>
      <c r="C3" s="2724"/>
      <c r="D3" s="2724"/>
      <c r="E3" s="2724"/>
      <c r="F3" s="2724"/>
      <c r="G3" s="2724"/>
      <c r="H3" s="2724"/>
      <c r="I3" s="2724"/>
      <c r="J3" s="2724"/>
      <c r="K3" s="2724"/>
      <c r="L3" s="1147"/>
      <c r="M3" s="1147"/>
    </row>
    <row r="4" spans="1:13" ht="14.25" customHeight="1" x14ac:dyDescent="0.2">
      <c r="B4" s="2725" t="str">
        <f>'Single Audit Cover'!A4</f>
        <v>Year Ending June 30, 2020</v>
      </c>
      <c r="C4" s="2725"/>
      <c r="D4" s="2725"/>
      <c r="E4" s="2725"/>
      <c r="F4" s="2725"/>
      <c r="G4" s="2725"/>
      <c r="H4" s="2725"/>
      <c r="I4" s="2725"/>
      <c r="J4" s="2725"/>
      <c r="K4" s="2725"/>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725" t="s">
        <v>1284</v>
      </c>
      <c r="C7" s="2725"/>
      <c r="D7" s="2726"/>
      <c r="E7" s="2726"/>
      <c r="F7" s="2726"/>
      <c r="G7" s="2726"/>
      <c r="H7" s="2726"/>
      <c r="I7" s="2726"/>
      <c r="J7" s="2726"/>
      <c r="K7" s="272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870" t="str">
        <f>'AFR20'!$E$2&amp;"-"</f>
        <v>2020-</v>
      </c>
      <c r="D10" s="1155" t="s">
        <v>2111</v>
      </c>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723" t="s">
        <v>2608</v>
      </c>
      <c r="C14" s="2723"/>
      <c r="D14" s="2723"/>
      <c r="E14" s="2723"/>
      <c r="F14" s="2723"/>
      <c r="G14" s="2723"/>
      <c r="H14" s="2723"/>
      <c r="I14" s="2723"/>
      <c r="J14" s="2723"/>
      <c r="K14" s="272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723"/>
      <c r="C17" s="2723"/>
      <c r="D17" s="2723"/>
      <c r="E17" s="2723"/>
      <c r="F17" s="2723"/>
      <c r="G17" s="2723"/>
      <c r="H17" s="2723"/>
      <c r="I17" s="2723"/>
      <c r="J17" s="2723"/>
      <c r="K17" s="2723"/>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727"/>
      <c r="C20" s="2727"/>
      <c r="D20" s="2723"/>
      <c r="E20" s="2723"/>
      <c r="F20" s="2723"/>
      <c r="G20" s="2723"/>
      <c r="H20" s="2723"/>
      <c r="I20" s="2723"/>
      <c r="J20" s="2723"/>
      <c r="K20" s="2723"/>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723"/>
      <c r="C23" s="2723"/>
      <c r="D23" s="2723"/>
      <c r="E23" s="2723"/>
      <c r="F23" s="2723"/>
      <c r="G23" s="2723"/>
      <c r="H23" s="2723"/>
      <c r="I23" s="2723"/>
      <c r="J23" s="2723"/>
      <c r="K23" s="2723"/>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723"/>
      <c r="C26" s="2723"/>
      <c r="D26" s="2723"/>
      <c r="E26" s="2723"/>
      <c r="F26" s="2723"/>
      <c r="G26" s="2723"/>
      <c r="H26" s="2723"/>
      <c r="I26" s="2723"/>
      <c r="J26" s="2723"/>
      <c r="K26" s="2723"/>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722"/>
      <c r="C29" s="2722"/>
      <c r="D29" s="2723"/>
      <c r="E29" s="2723"/>
      <c r="F29" s="2723"/>
      <c r="G29" s="2723"/>
      <c r="H29" s="2723"/>
      <c r="I29" s="2723"/>
      <c r="J29" s="2723"/>
      <c r="K29" s="272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722"/>
      <c r="C32" s="2722"/>
      <c r="D32" s="2723"/>
      <c r="E32" s="2723"/>
      <c r="F32" s="2723"/>
      <c r="G32" s="2723"/>
      <c r="H32" s="2723"/>
      <c r="I32" s="2723"/>
      <c r="J32" s="2723"/>
      <c r="K32" s="272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sheetPr>
  <dimension ref="A1:L48"/>
  <sheetViews>
    <sheetView showGridLines="0" zoomScale="110" zoomScaleNormal="110" workbookViewId="0">
      <selection activeCell="B21" sqref="B21"/>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731" t="str">
        <f>'Single Audit Cover'!A7</f>
        <v xml:space="preserve">   SD U46 - Elgin</v>
      </c>
      <c r="C1" s="2731"/>
      <c r="D1" s="2731"/>
      <c r="E1" s="2731"/>
      <c r="F1" s="2731"/>
      <c r="G1" s="2731"/>
      <c r="H1" s="2731"/>
      <c r="I1" s="2731"/>
      <c r="J1" s="2731"/>
      <c r="K1" s="2731"/>
      <c r="L1" s="1221"/>
    </row>
    <row r="2" spans="1:12" ht="12.75" customHeight="1" x14ac:dyDescent="0.2">
      <c r="B2" s="2732">
        <f>'Single Audit Cover'!E7</f>
        <v>31045046022</v>
      </c>
      <c r="C2" s="2732"/>
      <c r="D2" s="2732"/>
      <c r="E2" s="2732"/>
      <c r="F2" s="2732"/>
      <c r="G2" s="2732"/>
      <c r="H2" s="2732"/>
      <c r="I2" s="2732"/>
      <c r="J2" s="2732"/>
      <c r="K2" s="2732"/>
      <c r="L2" s="1222"/>
    </row>
    <row r="3" spans="1:12" ht="12.75" customHeight="1" x14ac:dyDescent="0.2">
      <c r="B3" s="2724" t="s">
        <v>1273</v>
      </c>
      <c r="C3" s="2724"/>
      <c r="D3" s="2724"/>
      <c r="E3" s="2724"/>
      <c r="F3" s="2724"/>
      <c r="G3" s="2724"/>
      <c r="H3" s="2724"/>
      <c r="I3" s="2724"/>
      <c r="J3" s="2724"/>
      <c r="K3" s="2724"/>
      <c r="L3" s="1147"/>
    </row>
    <row r="4" spans="1:12" ht="12.75" customHeight="1" x14ac:dyDescent="0.2">
      <c r="B4" s="2724" t="str">
        <f>'Single Audit Cover'!A4</f>
        <v>Year Ending June 30, 2020</v>
      </c>
      <c r="C4" s="2724"/>
      <c r="D4" s="2724"/>
      <c r="E4" s="2724"/>
      <c r="F4" s="2724"/>
      <c r="G4" s="2724"/>
      <c r="H4" s="2724"/>
      <c r="I4" s="2724"/>
      <c r="J4" s="2724"/>
      <c r="K4" s="2724"/>
      <c r="L4" s="1147"/>
    </row>
    <row r="5" spans="1:12" ht="5.25" customHeight="1" x14ac:dyDescent="0.2">
      <c r="B5" s="1036" t="s">
        <v>1158</v>
      </c>
      <c r="C5" s="1036"/>
      <c r="L5" s="300"/>
    </row>
    <row r="6" spans="1:12" ht="30.75" customHeight="1" x14ac:dyDescent="0.2">
      <c r="A6" s="300"/>
      <c r="B6" s="2733" t="s">
        <v>1296</v>
      </c>
      <c r="C6" s="2733"/>
      <c r="D6" s="2733"/>
      <c r="E6" s="2733"/>
      <c r="F6" s="2733"/>
      <c r="G6" s="2733"/>
      <c r="H6" s="2733"/>
      <c r="I6" s="2733"/>
      <c r="J6" s="2733"/>
      <c r="K6" s="2733"/>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870" t="str">
        <f>'AFR20'!$E$2&amp;"-"</f>
        <v>2020-</v>
      </c>
      <c r="D8" s="1223" t="s">
        <v>2111</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715"/>
      <c r="G12" s="2715"/>
      <c r="H12" s="2715"/>
      <c r="I12" s="2715"/>
      <c r="J12" s="2715"/>
      <c r="K12" s="271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728"/>
      <c r="E14" s="2728"/>
      <c r="F14" s="2728"/>
      <c r="H14" s="1230" t="s">
        <v>1291</v>
      </c>
      <c r="I14" s="2729"/>
      <c r="J14" s="2729"/>
      <c r="K14" s="272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729"/>
      <c r="E16" s="2729"/>
      <c r="F16" s="2729"/>
      <c r="G16" s="2729"/>
      <c r="H16" s="2729"/>
      <c r="I16" s="2729"/>
      <c r="J16" s="2729"/>
      <c r="K16" s="2729"/>
      <c r="L16" s="300"/>
    </row>
    <row r="17" spans="2:12" ht="13.5" customHeight="1" x14ac:dyDescent="0.2">
      <c r="B17" s="1156" t="s">
        <v>1289</v>
      </c>
      <c r="C17" s="1156"/>
      <c r="D17" s="2730"/>
      <c r="E17" s="2730"/>
      <c r="F17" s="2730"/>
      <c r="G17" s="2730"/>
      <c r="H17" s="2730"/>
      <c r="I17" s="2730"/>
      <c r="J17" s="2730"/>
      <c r="K17" s="273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723" t="s">
        <v>2608</v>
      </c>
      <c r="C20" s="2723"/>
      <c r="D20" s="2723"/>
      <c r="E20" s="2723"/>
      <c r="F20" s="2723"/>
      <c r="G20" s="2723"/>
      <c r="H20" s="2723"/>
      <c r="I20" s="2723"/>
      <c r="J20" s="2723"/>
      <c r="K20" s="272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723"/>
      <c r="C23" s="2723"/>
      <c r="D23" s="2723"/>
      <c r="E23" s="2723"/>
      <c r="F23" s="2723"/>
      <c r="G23" s="2723"/>
      <c r="H23" s="2723"/>
      <c r="I23" s="2723"/>
      <c r="J23" s="2723"/>
      <c r="K23" s="272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723"/>
      <c r="C26" s="2723"/>
      <c r="D26" s="2723"/>
      <c r="E26" s="2723"/>
      <c r="F26" s="2723"/>
      <c r="G26" s="2723"/>
      <c r="H26" s="2723"/>
      <c r="I26" s="2723"/>
      <c r="J26" s="2723"/>
      <c r="K26" s="272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723"/>
      <c r="C29" s="2723"/>
      <c r="D29" s="2723"/>
      <c r="E29" s="2723"/>
      <c r="F29" s="2723"/>
      <c r="G29" s="2723"/>
      <c r="H29" s="2723"/>
      <c r="I29" s="2723"/>
      <c r="J29" s="2723"/>
      <c r="K29" s="272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723"/>
      <c r="C32" s="2723"/>
      <c r="D32" s="2723"/>
      <c r="E32" s="2723"/>
      <c r="F32" s="2723"/>
      <c r="G32" s="2723"/>
      <c r="H32" s="2723"/>
      <c r="I32" s="2723"/>
      <c r="J32" s="2723"/>
      <c r="K32" s="272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723"/>
      <c r="C35" s="2723"/>
      <c r="D35" s="2723"/>
      <c r="E35" s="2723"/>
      <c r="F35" s="2723"/>
      <c r="G35" s="2723"/>
      <c r="H35" s="2723"/>
      <c r="I35" s="2723"/>
      <c r="J35" s="2723"/>
      <c r="K35" s="272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723"/>
      <c r="C38" s="2723"/>
      <c r="D38" s="2723"/>
      <c r="E38" s="2723"/>
      <c r="F38" s="2723"/>
      <c r="G38" s="2723"/>
      <c r="H38" s="2723"/>
      <c r="I38" s="2723"/>
      <c r="J38" s="2723"/>
      <c r="K38" s="272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723"/>
      <c r="C41" s="2723"/>
      <c r="D41" s="2723"/>
      <c r="E41" s="2723"/>
      <c r="F41" s="2723"/>
      <c r="G41" s="2723"/>
      <c r="H41" s="2723"/>
      <c r="I41" s="2723"/>
      <c r="J41" s="2723"/>
      <c r="K41" s="272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sheetPr>
  <dimension ref="B1:E73"/>
  <sheetViews>
    <sheetView showGridLines="0" zoomScale="110" zoomScaleNormal="110" workbookViewId="0">
      <selection activeCell="B8" sqref="B8"/>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8" customFormat="1" ht="12.75" customHeight="1" x14ac:dyDescent="0.2">
      <c r="B1" s="2708" t="str">
        <f>'Single Audit Cover'!A7</f>
        <v xml:space="preserve">   SD U46 - Elgin</v>
      </c>
      <c r="C1" s="2708"/>
      <c r="D1" s="2708"/>
      <c r="E1" s="1240"/>
    </row>
    <row r="2" spans="2:5" s="1058" customFormat="1" ht="12.75" customHeight="1" x14ac:dyDescent="0.2">
      <c r="B2" s="2710">
        <f>'Single Audit Cover'!E7</f>
        <v>31045046022</v>
      </c>
      <c r="C2" s="2710"/>
      <c r="D2" s="2710"/>
      <c r="E2" s="1241"/>
    </row>
    <row r="3" spans="2:5" ht="12.75" customHeight="1" x14ac:dyDescent="0.2">
      <c r="B3" s="2724" t="s">
        <v>1739</v>
      </c>
      <c r="C3" s="2724"/>
      <c r="D3" s="2724"/>
      <c r="E3" s="1050"/>
    </row>
    <row r="4" spans="2:5" s="1058" customFormat="1" ht="12.75" customHeight="1" x14ac:dyDescent="0.2">
      <c r="B4" s="2734" t="str">
        <f>'Single Audit Cover'!A4</f>
        <v>Year Ending June 30, 2020</v>
      </c>
      <c r="C4" s="2734"/>
      <c r="D4" s="2734"/>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t="s">
        <v>2112</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4" customHeight="1" x14ac:dyDescent="0.2">
      <c r="B44" s="1033" t="s">
        <v>1301</v>
      </c>
      <c r="C44" s="300"/>
    </row>
    <row r="45" spans="2:5" ht="12.4" customHeight="1" x14ac:dyDescent="0.2">
      <c r="B45" s="1254" t="s">
        <v>1742</v>
      </c>
    </row>
    <row r="46" spans="2:5" ht="12.4" customHeight="1" x14ac:dyDescent="0.2">
      <c r="B46" s="1254" t="s">
        <v>1743</v>
      </c>
    </row>
    <row r="47" spans="2:5" ht="12.4" customHeight="1" x14ac:dyDescent="0.2">
      <c r="B47" s="1255" t="s">
        <v>1300</v>
      </c>
    </row>
    <row r="48" spans="2:5" ht="12.4" customHeight="1" x14ac:dyDescent="0.2">
      <c r="B48" s="1255" t="s">
        <v>1299</v>
      </c>
    </row>
    <row r="49" spans="2:5" ht="12.4" customHeight="1" x14ac:dyDescent="0.2">
      <c r="B49" s="1255" t="s">
        <v>1298</v>
      </c>
    </row>
    <row r="50" spans="2:5" ht="12.4"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6ce3111e-7420-4802-b50a-75d4e9a0b980"/>
    <ds:schemaRef ds:uri="d21dc803-237d-4c68-8692-8d731fd29118"/>
    <ds:schemaRef ds:uri="http://purl.org/dc/elements/1.1/"/>
    <ds:schemaRef ds:uri="http://schemas.microsoft.com/office/2006/metadata/properties"/>
    <ds:schemaRef ds:uri="4d435f69-8686-490b-bd6d-b153bf22ab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 AFR</vt:lpstr>
      <vt:lpstr>SEFA old</vt:lpstr>
      <vt:lpstr>SEFA NOTES</vt:lpstr>
      <vt:lpstr>SF&amp;QC Sec-1</vt:lpstr>
      <vt:lpstr>SF&amp;QC Sec-2</vt:lpstr>
      <vt:lpstr>SF&amp;QC Sec-3</vt:lpstr>
      <vt:lpstr>SSPAF</vt:lpstr>
      <vt:lpstr>'SEFA NOTES'!Print_Area</vt:lpstr>
      <vt:lpstr>'SEFA old'!Print_Area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 AFR'!Print_Titles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2021-02-17T20:46:18Z</cp:lastPrinted>
  <dcterms:created xsi:type="dcterms:W3CDTF">2003-10-29T19:06:34Z</dcterms:created>
  <dcterms:modified xsi:type="dcterms:W3CDTF">2021-02-19T19:55:32Z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