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3B10101-A998-481A-A0E9-09BF13E01387}"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14">'Contracts Paid in CY 29'!$A$1:$F$36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 i="3" l="1"/>
  <c r="E12" i="11"/>
  <c r="J31" i="8"/>
  <c r="F5" i="29"/>
  <c r="E5" i="29"/>
  <c r="D5" i="29"/>
  <c r="C5" i="29"/>
  <c r="C168" i="5"/>
  <c r="D39" i="3" l="1"/>
  <c r="F124" i="29"/>
  <c r="E124" i="29"/>
  <c r="C124" i="29"/>
  <c r="F182" i="29"/>
  <c r="E182" i="29"/>
  <c r="D215" i="29"/>
  <c r="L10" i="37" l="1"/>
  <c r="H10" i="37"/>
  <c r="F10" i="37"/>
  <c r="D10" i="37"/>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D24" i="37"/>
  <c r="B4270" i="106" s="1"/>
  <c r="D4270" i="106" s="1"/>
  <c r="B5752" i="106"/>
  <c r="D5752" i="106" s="1"/>
  <c r="H342" i="29" l="1"/>
  <c r="B7696" i="106"/>
  <c r="D7696" i="106" s="1"/>
  <c r="E66" i="184"/>
  <c r="N66" i="184" s="1"/>
  <c r="B7189" i="106"/>
  <c r="D7189" i="106" s="1"/>
  <c r="E64" i="184"/>
  <c r="N64" i="184" s="1"/>
  <c r="B7171" i="106"/>
  <c r="D7171" i="106" s="1"/>
  <c r="E62" i="184"/>
  <c r="N62" i="184" s="1"/>
  <c r="D31" i="108"/>
  <c r="E16" i="184"/>
  <c r="H16" i="184" s="1"/>
  <c r="B7705" i="106"/>
  <c r="D7705" i="106" s="1"/>
  <c r="E67" i="184"/>
  <c r="N67" i="184" s="1"/>
  <c r="B7162" i="106"/>
  <c r="D7162" i="106" s="1"/>
  <c r="E61" i="184"/>
  <c r="N61" i="184" s="1"/>
  <c r="B7126" i="106"/>
  <c r="D7126" i="106" s="1"/>
  <c r="E57" i="184"/>
  <c r="N57" i="184" s="1"/>
  <c r="H15" i="184"/>
  <c r="G33" i="108"/>
  <c r="E17" i="184"/>
  <c r="H17" i="184" s="1"/>
  <c r="G30" i="108"/>
  <c r="E19" i="184"/>
  <c r="H12" i="184"/>
  <c r="B7198" i="106"/>
  <c r="D7198" i="106" s="1"/>
  <c r="E65" i="184"/>
  <c r="N65" i="184" s="1"/>
  <c r="B7180" i="106"/>
  <c r="D7180" i="106" s="1"/>
  <c r="E63" i="184"/>
  <c r="N63" i="184" s="1"/>
  <c r="B7153" i="106"/>
  <c r="D7153" i="106" s="1"/>
  <c r="E60" i="184"/>
  <c r="N60" i="184" s="1"/>
  <c r="B7135" i="106"/>
  <c r="D7135" i="106" s="1"/>
  <c r="E58" i="184"/>
  <c r="H28" i="118"/>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H19" i="184"/>
  <c r="L20" i="184" s="1"/>
  <c r="F41" i="108"/>
  <c r="G43" i="108" s="1"/>
  <c r="E367" i="29"/>
  <c r="B3635" i="106"/>
  <c r="K342" i="29"/>
  <c r="F13" i="34" s="1"/>
  <c r="N58" i="184"/>
  <c r="N68" i="184" s="1"/>
  <c r="E68" i="184"/>
  <c r="B6216" i="106"/>
  <c r="D6216" i="106" s="1"/>
  <c r="B5527" i="106"/>
  <c r="D5527" i="106" s="1"/>
  <c r="L114" i="29"/>
  <c r="N23" i="3"/>
  <c r="B284" i="106" s="1"/>
  <c r="D284" i="106" s="1"/>
  <c r="L16" i="11"/>
  <c r="B2061" i="106" s="1"/>
  <c r="D2061" i="106" s="1"/>
  <c r="H77" i="4"/>
  <c r="B3299" i="106" s="1"/>
  <c r="D3299" i="106" s="1"/>
  <c r="K77" i="4"/>
  <c r="B3587" i="106" s="1"/>
  <c r="D358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F77" i="34" l="1"/>
  <c r="J20" i="4"/>
  <c r="K17" i="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<sst xmlns="http://schemas.openxmlformats.org/spreadsheetml/2006/main" count="5153" uniqueCount="2080">
  <si>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</si>
  <si>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</si>
  <si>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</si>
  <si>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</si>
  <si>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</si>
  <si>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</si>
  <si>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</si>
  <si>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</si>
  <si>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</si>
  <si>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</si>
  <si>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</si>
  <si>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</si>
  <si>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</si>
  <si>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</si>
  <si>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</si>
  <si>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</si>
  <si>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</si>
  <si>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</si>
  <si>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</si>
  <si>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</si>
  <si>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</si>
  <si>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</si>
  <si>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</si>
  <si>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</si>
  <si>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</si>
  <si>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</si>
  <si>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</si>
  <si>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</si>
  <si>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</si>
  <si>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</si>
  <si>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</si>
  <si>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</si>
  <si>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</si>
  <si>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</si>
  <si>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</si>
  <si>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</si>
  <si>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</si>
  <si>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</si>
  <si>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</si>
  <si>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</si>
  <si>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</si>
  <si>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</si>
  <si>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</si>
  <si>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</si>
  <si>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</si>
  <si>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</si>
  <si>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</si>
  <si>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</si>
  <si>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</si>
  <si>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</si>
  <si>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</si>
  <si>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</si>
  <si>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</si>
  <si>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</si>
  <si>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</si>
  <si>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</si>
  <si>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</si>
  <si>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</si>
  <si>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</si>
  <si>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</si>
  <si>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</si>
  <si>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</si>
  <si>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</si>
  <si>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</si>
  <si>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</si>
  <si>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</si>
  <si>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</si>
  <si>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</si>
  <si>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</si>
  <si>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</si>
  <si>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</si>
  <si>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</si>
  <si>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</si>
  <si>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</si>
  <si>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</si>
  <si>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</si>
  <si>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</si>
  <si>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</si>
  <si>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</si>
  <si>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</si>
  <si>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</si>
  <si>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</si>
  <si>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</si>
  <si>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</si>
  <si>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</si>
  <si>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</si>
  <si>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</si>
  <si>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</si>
  <si>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</si>
  <si>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</si>
  <si>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</si>
  <si>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</si>
  <si>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</si>
  <si>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</si>
  <si>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</si>
  <si>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</si>
  <si>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</si>
  <si>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</si>
  <si>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</si>
  <si>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</si>
  <si>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</si>
  <si>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</si>
  <si>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</si>
  <si>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</si>
  <si>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</si>
  <si>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</si>
  <si>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</si>
  <si>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</si>
  <si>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</si>
  <si>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</si>
  <si>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</si>
  <si>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</si>
  <si>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</si>
  <si>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</si>
  <si>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</si>
  <si>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</si>
  <si>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</si>
  <si>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</si>
  <si>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</si>
  <si>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</si>
  <si>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</si>
  <si>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</si>
  <si>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</si>
  <si>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</si>
  <si>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</si>
  <si>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</si>
  <si>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</si>
  <si>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</si>
  <si>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</si>
  <si>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</si>
  <si>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</si>
  <si>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</si>
  <si>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</si>
  <si>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</si>
  <si>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</si>
  <si>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</si>
  <si>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</si>
  <si>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</si>
  <si>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</si>
  <si>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</si>
  <si>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</si>
  <si>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</si>
  <si>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</si>
  <si>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</si>
  <si>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</si>
  <si>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</si>
  <si>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</si>
  <si>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</si>
  <si>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</si>
  <si>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</si>
  <si>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</si>
  <si>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</si>
  <si>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</si>
  <si>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</si>
  <si>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</si>
  <si>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</si>
  <si>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</si>
  <si>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</si>
  <si>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</si>
  <si>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</si>
  <si>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</si>
  <si>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</si>
  <si>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</si>
  <si>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</si>
  <si>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</si>
  <si>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</si>
  <si>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</si>
  <si>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</si>
  <si>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</si>
  <si>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</si>
  <si>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</si>
  <si>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</si>
  <si>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</si>
  <si>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</si>
  <si>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</si>
  <si>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</si>
  <si>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</si>
  <si>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</si>
  <si>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</si>
  <si>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</si>
  <si>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</si>
  <si>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</si>
  <si>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</si>
  <si>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</si>
  <si>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</si>
  <si>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</si>
  <si>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</si>
  <si>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</si>
  <si>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</si>
  <si>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</si>
  <si>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</si>
  <si>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</si>
  <si>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</si>
  <si>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</si>
  <si>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</si>
  <si>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</si>
  <si>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</si>
  <si>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</si>
  <si>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</si>
  <si>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</si>
  <si>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</si>
  <si>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</si>
  <si>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</si>
  <si>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</si>
  <si>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</si>
  <si>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</si>
  <si>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</si>
  <si>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</si>
  <si>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</si>
  <si>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</si>
  <si>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</si>
  <si>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</si>
  <si>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</si>
  <si>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</si>
  <si>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</si>
  <si>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</si>
  <si>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</si>
  <si>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</si>
  <si>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</si>
  <si>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</si>
  <si>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</si>
  <si>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</si>
  <si>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</si>
  <si>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</si>
  <si>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</si>
  <si>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</si>
  <si>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</si>
  <si>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</si>
  <si>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</si>
  <si>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</si>
  <si>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</si>
  <si>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</si>
  <si>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</si>
  <si>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</si>
  <si>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</si>
  <si>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</si>
  <si>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</si>
  <si>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</si>
  <si>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</si>
  <si>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</si>
  <si>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</si>
  <si>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</si>
  <si>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</si>
  <si>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</si>
  <si>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</si>
  <si>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</si>
  <si>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</si>
  <si>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</si>
  <si>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</si>
  <si>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</si>
  <si>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</si>
  <si>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</si>
  <si>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</si>
  <si>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</si>
  <si>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</si>
  <si>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</si>
  <si>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</si>
  <si>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</si>
  <si>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</si>
  <si>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</si>
  <si>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</si>
  <si>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</si>
  <si>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</si>
  <si>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</si>
  <si>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</si>
  <si>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</si>
  <si>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</si>
  <si>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</si>
  <si>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</si>
  <si>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</si>
  <si>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</si>
  <si>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</si>
  <si>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</si>
  <si>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</si>
  <si>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</si>
  <si>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</si>
  <si>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</si>
  <si>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</si>
  <si>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</si>
  <si>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</si>
  <si>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</si>
  <si>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</si>
  <si>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</si>
  <si>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</si>
  <si>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</si>
  <si>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</si>
  <si>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</si>
  <si>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</si>
  <si>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</si>
  <si>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</si>
  <si>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</si>
  <si>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</si>
  <si>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</si>
  <si>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</si>
  <si>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</si>
  <si>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</si>
  <si>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</si>
  <si>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</si>
  <si>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</si>
  <si>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</si>
  <si>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</si>
  <si>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</si>
  <si>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</si>
  <si>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</si>
  <si>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</si>
  <si>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</si>
  <si>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</si>
  <si>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</si>
  <si>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</si>
  <si>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</si>
  <si>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</si>
  <si>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</si>
  <si>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</si>
  <si>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</si>
  <si>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</si>
  <si>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</si>
  <si>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</si>
  <si>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</si>
  <si>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</si>
  <si>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</si>
  <si>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</si>
  <si>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</si>
  <si>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</si>
  <si>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</si>
  <si>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</si>
  <si>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</si>
  <si>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</si>
  <si>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</si>
  <si>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</si>
  <si>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</si>
  <si>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</si>
  <si>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</si>
  <si>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</si>
  <si>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</si>
  <si>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</si>
  <si>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</si>
  <si>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</si>
  <si>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</si>
  <si>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</si>
  <si>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</si>
  <si>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</si>
  <si>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</si>
  <si>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</si>
  <si>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</si>
  <si>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</si>
  <si>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</si>
  <si>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</si>
  <si>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</si>
  <si>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</si>
  <si>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</si>
  <si>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</si>
  <si>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</si>
  <si>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</si>
  <si>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</si>
  <si>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</si>
  <si>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</si>
  <si>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</si>
  <si>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</si>
  <si>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</si>
  <si>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</si>
  <si>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</si>
  <si>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</si>
  <si>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</si>
  <si>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</si>
  <si>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</si>
  <si>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</si>
  <si>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</si>
  <si>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</si>
  <si>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</si>
  <si>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</si>
  <si>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</si>
  <si>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</si>
  <si>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</si>
  <si>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</si>
  <si>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</si>
  <si>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</si>
  <si>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</si>
  <si>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</si>
  <si>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</si>
  <si>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</si>
  <si>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</si>
  <si>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</si>
  <si>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</si>
  <si>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</si>
  <si>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</si>
  <si>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</si>
  <si>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</si>
  <si>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</si>
  <si>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</si>
  <si>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</si>
  <si>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</si>
  <si>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</si>
  <si>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</si>
  <si>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</si>
  <si>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</si>
  <si>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</si>
  <si>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</si>
  <si>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</si>
  <si>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</si>
  <si>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</si>
  <si>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</si>
  <si>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</si>
  <si>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</si>
  <si>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</si>
  <si>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</si>
  <si>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</si>
  <si>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</si>
  <si>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</si>
  <si>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</si>
  <si>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</si>
  <si>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</si>
  <si>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</si>
  <si>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</si>
  <si>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</si>
  <si>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</si>
  <si>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</si>
  <si>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</si>
  <si>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</si>
  <si>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</si>
  <si>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</si>
  <si>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</si>
  <si>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</si>
  <si>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</si>
  <si>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</si>
  <si>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</si>
  <si>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</si>
  <si>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</si>
  <si>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</si>
  <si>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</si>
  <si>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</si>
  <si>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</si>
  <si>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</si>
  <si>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</si>
  <si>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</si>
  <si>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</si>
  <si>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</si>
  <si>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</si>
  <si>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</si>
  <si>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</si>
  <si>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</si>
  <si>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</si>
  <si>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</si>
  <si>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</si>
  <si>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</si>
  <si>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</si>
  <si>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</si>
  <si>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</si>
  <si>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</si>
  <si>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</si>
  <si>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</si>
  <si>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</si>
  <si>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</si>
  <si>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</si>
  <si>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</si>
  <si>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</si>
  <si>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</si>
  <si>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</si>
  <si>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</si>
  <si>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</si>
  <si>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</si>
  <si>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</si>
  <si>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</si>
  <si>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</si>
  <si>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</si>
  <si>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</si>
  <si>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</si>
  <si>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</si>
  <si>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</si>
  <si>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</si>
  <si>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</si>
  <si>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</si>
  <si>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</si>
  <si>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</si>
  <si>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</si>
  <si>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</si>
  <si>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</si>
  <si>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</si>
  <si>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</si>
  <si>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</si>
  <si>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</si>
  <si>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</si>
  <si>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</si>
  <si>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</si>
  <si>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</si>
  <si>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</si>
  <si>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</si>
  <si>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</si>
  <si>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</si>
  <si>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</si>
  <si>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</si>
  <si>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</si>
  <si>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</si>
  <si>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</si>
  <si>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</si>
  <si>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</si>
  <si>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</si>
  <si>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</si>
  <si>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</si>
  <si>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</si>
  <si>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</si>
  <si>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</si>
  <si>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</si>
  <si>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</si>
  <si>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</si>
  <si>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</si>
  <si>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</si>
  <si>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</si>
  <si>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</si>
  <si>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</si>
  <si>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</si>
  <si>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</si>
  <si>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</si>
  <si>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</si>
  <si>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</si>
  <si>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</si>
  <si>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</si>
  <si>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</si>
  <si>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</si>
  <si>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</si>
  <si>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</si>
  <si>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</si>
  <si>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</si>
  <si>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</si>
  <si>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</si>
  <si>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</si>
  <si>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</si>
  <si>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</si>
  <si>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</si>
  <si>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</si>
  <si>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</si>
  <si>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</si>
  <si>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</si>
  <si>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</si>
  <si>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</si>
  <si>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</si>
  <si>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</si>
  <si>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</si>
  <si>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</si>
  <si>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</si>
  <si>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</si>
  <si>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</si>
  <si>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</si>
  <si>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</si>
  <si>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</si>
  <si>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</si>
  <si>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</si>
  <si>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</si>
  <si>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</si>
  <si>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</si>
  <si>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</si>
  <si>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</si>
  <si>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</si>
  <si>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</si>
  <si>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</si>
  <si>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</si>
  <si>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</si>
  <si>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</si>
  <si>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</si>
  <si>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</si>
  <si>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</si>
  <si>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</si>
  <si>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</si>
  <si>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</si>
  <si>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</si>
  <si>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</si>
  <si>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</si>
  <si>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</si>
  <si>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</si>
  <si>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</si>
  <si>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</si>
  <si>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</si>
  <si>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</si>
  <si>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</si>
  <si>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</si>
  <si>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</si>
  <si>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</si>
  <si>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</si>
  <si>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</si>
  <si>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</si>
  <si>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</si>
  <si>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</si>
  <si>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</si>
  <si>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</si>
  <si>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</si>
  <si>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</si>
  <si>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</si>
  <si>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</si>
  <si>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</si>
  <si>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</si>
  <si>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</si>
  <si>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</si>
  <si>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</si>
  <si>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</si>
  <si>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</si>
  <si>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</si>
  <si>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</si>
  <si>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</si>
  <si>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</si>
  <si>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</si>
  <si>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</si>
  <si>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</si>
  <si>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</si>
  <si>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</si>
  <si>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</si>
  <si>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</si>
  <si>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</si>
  <si>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</si>
  <si>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</si>
  <si>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</si>
  <si>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</si>
  <si>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</si>
  <si>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</si>
  <si>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</si>
  <si>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</si>
  <si>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</si>
  <si>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</si>
  <si>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</si>
  <si>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</si>
  <si>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</si>
  <si>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</si>
  <si>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</si>
  <si>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</si>
  <si>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</si>
  <si>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</si>
  <si>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</si>
  <si>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</si>
  <si>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</si>
  <si>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</si>
  <si>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</si>
  <si>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</si>
  <si>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</si>
  <si>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</si>
  <si>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</si>
  <si>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</si>
  <si>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</si>
  <si>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</si>
  <si>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</si>
  <si>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</si>
  <si>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</si>
  <si>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</si>
  <si>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</si>
  <si>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</si>
  <si>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</si>
  <si>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</si>
  <si>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</si>
  <si>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</si>
  <si>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</si>
  <si>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</si>
  <si>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</si>
  <si>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</si>
  <si>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</si>
  <si>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</si>
  <si>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</si>
  <si>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</si>
  <si>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</si>
  <si>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</si>
  <si>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</si>
  <si>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</si>
  <si>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</si>
  <si>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</si>
  <si>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</si>
  <si>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</si>
  <si>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</si>
  <si>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</si>
  <si>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</si>
  <si>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</si>
  <si>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</si>
  <si>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</si>
  <si>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</si>
  <si>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</si>
  <si>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</si>
  <si>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</si>
  <si>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</si>
  <si>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</si>
  <si>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</si>
  <si>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</si>
  <si>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</si>
  <si>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</si>
  <si>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</si>
  <si>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</si>
  <si>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</si>
  <si>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</si>
  <si>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</si>
  <si>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</si>
  <si>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</si>
  <si>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</si>
  <si>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</si>
  <si>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</si>
  <si>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</si>
  <si>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</si>
  <si>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</si>
  <si>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</si>
  <si>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</si>
  <si>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</si>
  <si>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</si>
  <si>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</si>
  <si>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</si>
  <si>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</si>
  <si>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</si>
  <si>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</si>
  <si>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</si>
  <si>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</si>
  <si>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</si>
  <si>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</si>
  <si>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</si>
  <si>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</si>
  <si>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</si>
  <si>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</si>
  <si>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</si>
  <si>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</si>
  <si>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</si>
  <si>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</si>
  <si>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</si>
  <si>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</si>
  <si>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</si>
  <si>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</si>
  <si>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</si>
  <si>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</si>
  <si>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</si>
  <si>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</si>
  <si>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</si>
  <si>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</si>
  <si>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</si>
  <si>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</si>
  <si>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</si>
  <si>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</si>
  <si>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</si>
  <si>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</si>
  <si>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</si>
  <si>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</si>
  <si>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</si>
  <si>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</si>
  <si>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</si>
  <si>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</si>
  <si>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</si>
  <si>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</si>
  <si>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</si>
  <si>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</si>
  <si>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</si>
  <si>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</si>
  <si>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</si>
  <si>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</si>
  <si>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</si>
  <si>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</si>
  <si>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</si>
  <si>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</si>
  <si>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</si>
  <si>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</si>
  <si>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</si>
  <si>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</si>
  <si>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</si>
  <si>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</si>
  <si>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</si>
  <si>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</si>
  <si>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</si>
  <si>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</si>
  <si>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</si>
  <si>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</si>
  <si>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</si>
  <si>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</si>
  <si>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</si>
  <si>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</si>
  <si>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</si>
  <si>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</si>
  <si>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</si>
  <si>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</si>
  <si>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</si>
  <si>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</si>
  <si>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</si>
  <si>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</si>
  <si>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</si>
  <si>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</si>
  <si>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</si>
  <si>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</si>
  <si>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</si>
  <si>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</si>
  <si>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</si>
  <si>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</si>
  <si>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</si>
  <si>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</si>
  <si>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</si>
  <si>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</si>
  <si>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</si>
  <si>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</si>
  <si>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</si>
  <si>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</si>
  <si>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</si>
  <si>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</si>
  <si>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</si>
  <si>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</si>
  <si>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</si>
  <si>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</si>
  <si>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</si>
  <si>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</si>
  <si>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</si>
  <si>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</si>
  <si>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</si>
  <si>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</si>
  <si>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</si>
  <si>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</si>
  <si>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</si>
  <si>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</si>
  <si>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</si>
  <si>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</si>
  <si>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</si>
  <si>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</si>
  <si>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</si>
  <si>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</si>
  <si>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</si>
  <si>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</si>
  <si>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</si>
  <si>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</si>
  <si>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</si>
  <si>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</si>
  <si>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</si>
  <si>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</si>
  <si>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</si>
  <si>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</si>
  <si>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</si>
  <si>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</si>
  <si>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</si>
  <si>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</si>
  <si>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</si>
  <si>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</si>
  <si>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</si>
  <si>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</si>
  <si>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</si>
  <si>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</si>
  <si>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</si>
  <si>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</si>
  <si>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</si>
  <si>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</si>
  <si>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</si>
  <si>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</si>
  <si>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</si>
  <si>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</si>
  <si>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</si>
  <si>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</si>
  <si>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</si>
  <si>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</si>
  <si>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</si>
  <si>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</si>
  <si>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</si>
  <si>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</si>
  <si>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</si>
  <si>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</si>
  <si>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</si>
  <si>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</si>
  <si>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</si>
  <si>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</si>
  <si>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</si>
  <si>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</si>
  <si>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</si>
  <si>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</si>
  <si>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</si>
  <si>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</si>
  <si>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</si>
  <si>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</si>
  <si>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</si>
  <si>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</si>
  <si>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</si>
  <si>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</si>
  <si>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</si>
  <si>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</si>
  <si>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</si>
  <si>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</si>
  <si>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</si>
  <si>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</si>
  <si>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</si>
  <si>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</si>
  <si>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</si>
  <si>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</si>
  <si>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</si>
  <si>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</si>
  <si>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</si>
  <si>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</si>
  <si>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</si>
  <si>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</si>
  <si>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</si>
  <si>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</si>
  <si>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</si>
  <si>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</si>
  <si>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</si>
  <si>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</si>
  <si>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</si>
  <si>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</si>
  <si>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</si>
  <si>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</si>
  <si>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</si>
  <si>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</si>
  <si>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</si>
  <si>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</si>
  <si>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</si>
  <si>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</si>
  <si>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</si>
  <si>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</si>
  <si>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</si>
  <si>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</si>
  <si>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</si>
  <si>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</si>
  <si>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</si>
  <si>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</si>
  <si>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</si>
  <si>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</si>
  <si>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</si>
  <si>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</si>
  <si>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</si>
  <si>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</si>
  <si>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</si>
  <si>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</si>
  <si>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</si>
  <si>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</si>
  <si>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</si>
  <si>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</si>
  <si>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</si>
  <si>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</si>
  <si>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</si>
  <si>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</si>
  <si>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</si>
  <si>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</si>
  <si>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</si>
  <si>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</si>
  <si>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</si>
  <si>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</si>
  <si>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</si>
  <si>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</si>
  <si>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</si>
  <si>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</si>
  <si>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</si>
  <si>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</si>
  <si>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</si>
  <si>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</si>
  <si>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</si>
  <si>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</si>
  <si>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</si>
  <si>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</si>
  <si>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</si>
  <si>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</si>
  <si>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</si>
  <si>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</si>
  <si>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</si>
  <si>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</si>
  <si>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</si>
  <si>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</si>
  <si>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</si>
  <si>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</si>
  <si>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</si>
  <si>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</si>
  <si>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</si>
  <si>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</si>
  <si>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</si>
  <si>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</si>
  <si>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</si>
  <si>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</si>
  <si>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</si>
  <si>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</si>
  <si>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</si>
  <si>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</si>
  <si>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</si>
  <si>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</si>
  <si>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</si>
  <si>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</si>
  <si>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</si>
  <si>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</si>
  <si>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</si>
  <si>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</si>
  <si>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</si>
  <si>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</si>
  <si>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</si>
  <si>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</si>
  <si>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</si>
  <si>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</si>
  <si>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</si>
  <si>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</si>
  <si>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</si>
  <si>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</si>
  <si>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</si>
  <si>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</si>
  <si>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</si>
  <si>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</si>
  <si>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</si>
  <si>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</si>
  <si>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</si>
  <si>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</si>
  <si>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</si>
  <si>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</si>
  <si>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</si>
  <si>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</si>
  <si>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</si>
  <si>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</si>
  <si>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</si>
  <si>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</si>
  <si>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</si>
  <si>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</si>
  <si>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</si>
  <si>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</si>
  <si>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</si>
  <si>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</si>
  <si>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</si>
  <si>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</si>
  <si>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</si>
  <si>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</si>
  <si>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</si>
  <si>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</si>
  <si>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</si>
  <si>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</si>
  <si>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</si>
  <si>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</si>
  <si>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</si>
  <si>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</si>
  <si>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</si>
  <si>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</si>
  <si>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</si>
  <si>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</si>
  <si>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</si>
  <si>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</si>
  <si>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</si>
  <si>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</si>
  <si>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</si>
  <si>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</si>
  <si>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</si>
  <si>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</si>
  <si>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</si>
  <si>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</si>
  <si>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</si>
  <si>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</si>
  <si>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</si>
  <si>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</si>
  <si>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</si>
  <si>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</si>
  <si>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</si>
  <si>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</si>
  <si>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</si>
  <si>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</si>
  <si>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</si>
  <si>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</si>
  <si>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</si>
  <si>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</si>
  <si>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</si>
  <si>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</si>
  <si>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</si>
  <si>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</si>
  <si>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</si>
  <si>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</si>
  <si>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</si>
  <si>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</si>
  <si>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</si>
  <si>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</si>
  <si>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</si>
  <si>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</si>
  <si>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</si>
  <si>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</si>
  <si>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</si>
  <si>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</si>
  <si>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</si>
  <si>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</si>
  <si>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</si>
  <si>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</si>
  <si>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</si>
  <si>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</si>
  <si>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</si>
  <si>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</si>
  <si>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</si>
  <si>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</si>
  <si>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</si>
  <si>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</si>
  <si>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</si>
  <si>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</si>
  <si>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</si>
  <si>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</si>
  <si>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</si>
  <si>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</si>
  <si>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</si>
  <si>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</si>
  <si>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</si>
  <si>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</si>
  <si>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</si>
  <si>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</si>
  <si>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</si>
  <si>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</si>
  <si>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</si>
  <si>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</si>
  <si>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</si>
  <si>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</si>
  <si>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</si>
  <si>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</si>
  <si>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</si>
  <si>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</si>
  <si>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</si>
  <si>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</si>
  <si>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</si>
  <si>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</si>
  <si>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</si>
  <si>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</si>
  <si>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</si>
  <si>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</si>
  <si>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</si>
  <si>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</si>
  <si>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</si>
  <si>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</si>
  <si>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</si>
  <si>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</si>
  <si>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</si>
  <si>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</si>
  <si>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</si>
  <si>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</si>
  <si>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</si>
  <si>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</si>
  <si>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</si>
  <si>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</si>
  <si>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</si>
  <si>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</si>
  <si>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</si>
  <si>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</si>
  <si>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</si>
  <si>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</si>
  <si>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</si>
  <si>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</si>
  <si>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</si>
  <si>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</si>
  <si>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</si>
  <si>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</si>
  <si>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</si>
  <si>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</si>
  <si>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</si>
  <si>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</si>
  <si>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</si>
  <si>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</si>
  <si>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</si>
  <si>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</si>
  <si>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</si>
  <si>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</si>
  <si>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</si>
  <si>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</si>
  <si>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</si>
  <si>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</si>
  <si>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</si>
  <si>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</si>
  <si>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</si>
  <si>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</si>
  <si>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</si>
  <si>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</si>
  <si>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</si>
  <si>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</si>
  <si>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</si>
  <si>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</si>
  <si>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</si>
  <si>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</si>
  <si>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</si>
  <si>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</si>
  <si>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</si>
  <si>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</si>
  <si>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</si>
  <si>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</si>
  <si>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</si>
  <si>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</si>
  <si>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</si>
  <si>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</si>
  <si>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</si>
  <si>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</si>
  <si>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</si>
  <si>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</si>
  <si>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</si>
  <si>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</si>
  <si>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</si>
  <si>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</si>
  <si>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</si>
  <si>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</si>
  <si>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</si>
  <si>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</si>
  <si>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</si>
  <si>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</si>
  <si>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</si>
  <si>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</si>
  <si>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</si>
  <si>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</si>
  <si>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</si>
  <si>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</si>
  <si>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</si>
  <si>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</si>
  <si>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</si>
  <si>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</si>
  <si>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</si>
  <si>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</si>
  <si>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</si>
  <si>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</si>
  <si>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</si>
  <si>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</si>
  <si>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</si>
  <si>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</si>
  <si>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</si>
  <si>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</si>
  <si>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</si>
  <si>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</si>
  <si>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</si>
  <si>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</si>
  <si>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</si>
  <si>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</si>
  <si>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</si>
  <si>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</si>
  <si>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</si>
  <si>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</si>
  <si>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</si>
  <si>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</si>
  <si>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</si>
  <si>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</si>
  <si>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</si>
  <si>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</si>
  <si>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</si>
  <si>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</si>
  <si>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</si>
  <si>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</si>
  <si>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</si>
  <si>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</si>
  <si>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</si>
  <si>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</si>
  <si>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</si>
  <si>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</si>
  <si>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</si>
  <si>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</si>
  <si>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</si>
  <si>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</si>
  <si>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</si>
  <si>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</si>
  <si>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</si>
  <si>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</si>
  <si>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</si>
  <si>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</si>
  <si>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</si>
  <si>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</si>
  <si>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</si>
  <si>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</si>
  <si>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</si>
  <si>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</si>
  <si>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</si>
  <si>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</si>
  <si>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</si>
  <si>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</si>
  <si>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</si>
  <si>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</si>
  <si>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</si>
  <si>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</si>
  <si>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</si>
  <si>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</si>
  <si>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</si>
  <si>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</si>
  <si>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</si>
  <si>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</si>
  <si>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</si>
  <si>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</si>
  <si>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</si>
  <si>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</si>
  <si>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</si>
  <si>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</si>
  <si>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</si>
  <si>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</si>
  <si>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</si>
  <si>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</si>
  <si>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</si>
  <si>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</si>
  <si>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</si>
  <si>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</si>
  <si>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</si>
  <si>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</si>
  <si>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</si>
  <si>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</si>
  <si>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</si>
  <si>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</si>
  <si>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</si>
  <si>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</si>
  <si>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</si>
  <si>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</si>
  <si>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</si>
  <si>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</si>
  <si>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</si>
  <si>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</si>
  <si>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</si>
  <si>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</si>
  <si>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</si>
  <si>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</si>
  <si>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</si>
  <si>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</si>
  <si>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</si>
  <si>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</si>
  <si>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</si>
  <si>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</si>
  <si>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</si>
  <si>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</si>
  <si>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</si>
  <si>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</si>
  <si>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</si>
  <si>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</si>
  <si>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</si>
  <si>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</si>
  <si>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</si>
  <si>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</si>
  <si>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</si>
  <si>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</si>
  <si>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</si>
  <si>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</si>
  <si>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</si>
  <si>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</si>
  <si>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</si>
  <si>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</si>
  <si>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</si>
  <si>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</si>
  <si>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</si>
  <si>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</si>
  <si>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</si>
  <si>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</si>
  <si>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</si>
  <si>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</si>
  <si>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</si>
  <si>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</si>
  <si>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</si>
  <si>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</si>
  <si>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</si>
  <si>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</si>
  <si>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</si>
  <si>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</si>
  <si>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</si>
  <si>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</si>
  <si>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</si>
  <si>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</si>
  <si>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</si>
  <si>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</si>
  <si>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</si>
  <si>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</si>
  <si>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</si>
  <si>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</si>
  <si>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</si>
  <si>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</si>
  <si>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</si>
  <si>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</si>
  <si>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</si>
  <si>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</si>
  <si>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</si>
  <si>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</si>
  <si>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</si>
  <si>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</si>
  <si>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</si>
  <si>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</si>
  <si>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</si>
  <si>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</si>
  <si>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</si>
  <si>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</si>
  <si>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</si>
  <si>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</si>
  <si>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</si>
  <si>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</si>
  <si>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</si>
  <si>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</si>
  <si>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</si>
  <si>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</si>
  <si>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</si>
  <si>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</si>
  <si>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</si>
  <si>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</si>
  <si>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</si>
  <si>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</si>
  <si>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</si>
  <si>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</si>
  <si>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</si>
  <si>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</si>
  <si>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</si>
  <si>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</si>
  <si>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</si>
  <si>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</si>
  <si>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</si>
  <si>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</si>
  <si>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</si>
  <si>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</si>
  <si>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</si>
  <si>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</si>
  <si>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</si>
  <si>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</si>
  <si>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</si>
  <si>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</si>
  <si>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</si>
  <si>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</si>
  <si>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</si>
  <si>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</si>
  <si>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</si>
  <si>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</si>
  <si>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</si>
  <si>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</si>
  <si>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</si>
  <si>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</si>
  <si>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</si>
  <si>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</si>
  <si>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</si>
  <si>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</si>
  <si>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</si>
  <si>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</si>
  <si>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</si>
  <si>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</si>
  <si>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</si>
  <si>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</si>
  <si>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</si>
  <si>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</si>
  <si>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</si>
  <si>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</si>
  <si>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</si>
  <si>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</si>
  <si>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</si>
  <si>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</si>
  <si>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</si>
  <si>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</si>
  <si>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</si>
  <si>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</si>
  <si>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</si>
  <si>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</si>
  <si>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</si>
  <si>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</si>
  <si>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</si>
  <si>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</si>
  <si>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</si>
  <si>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</si>
  <si>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</si>
  <si>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</si>
  <si>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</si>
  <si>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</si>
  <si>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</si>
  <si>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</si>
  <si>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</si>
  <si>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</si>
  <si>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</si>
  <si>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</si>
  <si>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</si>
  <si>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</si>
  <si>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</si>
  <si>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</si>
  <si>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</si>
  <si>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</si>
  <si>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</si>
  <si>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</si>
  <si>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</si>
  <si>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</si>
  <si>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</si>
  <si>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</si>
  <si>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</si>
  <si>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</si>
  <si>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</si>
  <si>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</si>
  <si>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</si>
  <si>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</si>
  <si>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</si>
  <si>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</si>
  <si>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</si>
  <si>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</si>
  <si>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</si>
  <si>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</si>
  <si>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</si>
  <si>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</si>
  <si>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</si>
  <si>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</si>
  <si>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</si>
  <si>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</si>
  <si>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</si>
  <si>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</si>
  <si>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</si>
  <si>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</si>
  <si>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</si>
  <si>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</si>
  <si>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</si>
  <si>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</si>
  <si>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</si>
  <si>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</si>
  <si>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</si>
  <si>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</si>
  <si>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</si>
  <si>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</si>
  <si>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</si>
  <si>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</si>
  <si>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</si>
  <si>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</si>
  <si>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</si>
  <si>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</si>
  <si>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</si>
  <si>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</si>
  <si>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</si>
  <si>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</si>
  <si>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</si>
  <si>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</si>
  <si>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</si>
  <si>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</si>
  <si>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</si>
  <si>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</si>
  <si>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</si>
  <si>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</si>
  <si>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</si>
  <si>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</si>
  <si>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</si>
  <si>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</si>
  <si>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</si>
  <si>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</si>
  <si>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</si>
  <si>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</si>
  <si>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</si>
  <si>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</si>
  <si>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</si>
  <si>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</si>
  <si>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</si>
  <si>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</si>
  <si>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</si>
  <si>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</si>
  <si>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</si>
  <si>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</si>
  <si>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</si>
  <si>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</si>
  <si>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</si>
  <si>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</si>
  <si>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</si>
  <si>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</si>
  <si>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</si>
  <si>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</si>
  <si>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</si>
  <si>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</si>
  <si>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</si>
  <si>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</si>
  <si>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</si>
  <si>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</si>
  <si>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</si>
  <si>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</si>
  <si>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</si>
  <si>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</si>
  <si>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</si>
  <si>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</si>
  <si>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</si>
  <si>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</si>
  <si>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</si>
  <si>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</si>
  <si>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</si>
  <si>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</si>
  <si>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</si>
  <si>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</si>
  <si>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</si>
  <si>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</si>
  <si>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</si>
  <si>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</si>
  <si>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</si>
  <si>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</si>
  <si>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</si>
  <si>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</si>
  <si>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</si>
  <si>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</si>
  <si>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</si>
  <si>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</si>
  <si>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</si>
  <si>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</si>
  <si>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</si>
  <si>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</si>
  <si>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</si>
  <si>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</si>
  <si>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</si>
  <si>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</si>
  <si>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</si>
  <si>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</si>
  <si>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</si>
  <si>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</si>
  <si>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</si>
  <si>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</si>
  <si>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</si>
  <si>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</si>
  <si>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</si>
  <si>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</si>
  <si>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</si>
  <si>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</si>
  <si>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</si>
  <si>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</si>
  <si>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</si>
  <si>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</si>
  <si>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</si>
  <si>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</si>
  <si>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</si>
  <si>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</si>
  <si>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</si>
  <si>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</si>
  <si>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</si>
  <si>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</si>
  <si>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</si>
  <si>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</si>
  <si>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</si>
  <si>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</si>
  <si>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</si>
  <si>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</si>
  <si>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</si>
  <si>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</si>
  <si>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</si>
  <si>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</si>
  <si>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</si>
  <si>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</si>
  <si>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</si>
  <si>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</si>
  <si>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</si>
  <si>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</si>
  <si>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</si>
  <si>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</si>
  <si>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</si>
  <si>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</si>
  <si>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</si>
  <si>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</si>
  <si>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</si>
  <si>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</si>
  <si>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</si>
  <si>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</si>
  <si>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</si>
  <si>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</si>
  <si>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</si>
  <si>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</si>
  <si>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</si>
  <si>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</si>
  <si>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</si>
  <si>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</si>
  <si>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</si>
  <si>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</si>
  <si>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</si>
  <si>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</si>
  <si>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</si>
  <si>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</si>
  <si>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</si>
  <si>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</si>
  <si>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</si>
  <si>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</si>
  <si>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</si>
  <si>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</si>
  <si>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</si>
  <si>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</si>
  <si>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</si>
  <si>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</si>
  <si>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</si>
  <si>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</si>
  <si>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</si>
  <si>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</si>
  <si>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</si>
  <si>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</si>
  <si>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</si>
  <si>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</si>
  <si>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</si>
  <si>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</si>
  <si>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</si>
  <si>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</si>
  <si>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</si>
  <si>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</si>
  <si>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</si>
  <si>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</si>
  <si>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</si>
  <si>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</si>
  <si>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</si>
  <si>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</si>
  <si>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</si>
  <si>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</si>
  <si>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</si>
  <si>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</si>
  <si>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</si>
  <si>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</si>
  <si>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</si>
  <si>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</si>
  <si>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</si>
  <si>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</si>
  <si>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</si>
  <si>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</si>
  <si>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</si>
  <si>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</si>
  <si>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</si>
  <si>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</si>
  <si>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</si>
  <si>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</si>
  <si>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</si>
  <si>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</si>
  <si>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</si>
  <si>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</si>
  <si>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</si>
  <si>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</si>
  <si>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</si>
  <si>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</si>
  <si>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</si>
  <si>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</si>
  <si>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</si>
  <si>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</si>
  <si>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</si>
  <si>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</si>
  <si>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</si>
  <si>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</si>
  <si>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</si>
  <si>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</si>
  <si>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</si>
  <si>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</si>
  <si>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</si>
  <si>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</si>
  <si>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</si>
  <si>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</si>
  <si>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</si>
  <si>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</si>
  <si>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</si>
  <si>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</si>
  <si>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</si>
  <si>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</si>
  <si>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</si>
  <si>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</si>
  <si>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</si>
  <si>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</si>
  <si>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</si>
  <si>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</si>
  <si>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</si>
  <si>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</si>
  <si>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</si>
  <si>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</si>
  <si>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</si>
  <si>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</si>
  <si>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</si>
  <si>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</si>
  <si>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</si>
  <si>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</si>
  <si>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</si>
  <si>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</si>
  <si>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</si>
  <si>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</si>
  <si>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</si>
  <si>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</si>
  <si>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</si>
  <si>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</si>
  <si>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</si>
  <si>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</si>
  <si>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</si>
  <si>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</si>
  <si>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</si>
  <si>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</si>
  <si>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</si>
  <si>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</si>
  <si>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</si>
  <si>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</si>
  <si>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</si>
  <si>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</si>
  <si>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</si>
  <si>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</si>
  <si>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</si>
  <si>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</si>
  <si>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</si>
  <si>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</si>
  <si>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</si>
  <si>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</si>
  <si>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</si>
  <si>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</si>
  <si>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</si>
  <si>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</si>
  <si>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</si>
  <si>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</si>
  <si>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</si>
  <si>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</si>
  <si>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</si>
  <si>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</si>
  <si>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</si>
  <si>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</si>
  <si>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</si>
  <si>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</si>
  <si>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</si>
  <si>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</si>
  <si>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</si>
  <si>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</si>
  <si>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</si>
  <si>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</si>
  <si>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</si>
  <si>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</si>
  <si>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</si>
  <si>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</si>
  <si>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</si>
  <si>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</si>
  <si>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</si>
  <si>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</si>
  <si>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</si>
  <si>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</si>
  <si>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</si>
  <si>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</si>
  <si>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</si>
  <si>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</si>
  <si>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</si>
  <si>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</si>
  <si>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</si>
  <si>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</si>
  <si>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</si>
  <si>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</si>
  <si>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</si>
  <si>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</si>
  <si>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</si>
  <si>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</si>
  <si>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</si>
  <si>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</si>
  <si>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</si>
  <si>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</si>
  <si>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</si>
  <si>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</si>
  <si>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</si>
  <si>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</si>
  <si>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</si>
  <si>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</si>
  <si>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</si>
  <si>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</si>
  <si>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</si>
  <si>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</si>
  <si>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</si>
  <si>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</si>
  <si>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</si>
  <si>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</si>
  <si>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</si>
  <si>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</si>
  <si>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</si>
  <si>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</si>
  <si>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</si>
  <si>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</si>
  <si>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</si>
  <si>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</si>
  <si>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</si>
  <si>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</si>
  <si>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</si>
  <si>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</si>
  <si>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</si>
  <si>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</si>
  <si>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</si>
  <si>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</si>
  <si>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</si>
  <si>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</si>
  <si>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</si>
  <si>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</si>
  <si>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</si>
  <si>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</si>
  <si>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</si>
  <si>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</si>
  <si>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</si>
  <si>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</si>
  <si>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</si>
  <si>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</si>
  <si>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</si>
  <si>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</si>
  <si>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</si>
  <si>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</si>
  <si>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</si>
  <si>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</si>
  <si>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</si>
  <si>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</si>
  <si>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</si>
  <si>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</si>
  <si>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</si>
  <si>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</si>
  <si>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</si>
  <si>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</si>
  <si>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</si>
  <si>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</si>
  <si>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</si>
  <si>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</si>
  <si>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</si>
  <si>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</si>
  <si>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</si>
  <si>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</si>
  <si>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</si>
  <si>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</si>
  <si>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</si>
  <si>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</si>
  <si>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</si>
  <si>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</si>
  <si>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</si>
  <si>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</si>
  <si>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</si>
  <si>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</si>
  <si>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</si>
  <si>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</si>
  <si>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</si>
  <si>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</si>
  <si>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</si>
  <si>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</si>
  <si>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</si>
  <si>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</si>
  <si>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</si>
  <si>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</si>
  <si>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</si>
  <si>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</si>
  <si>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</si>
  <si>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</si>
  <si>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</si>
  <si>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</si>
  <si>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</si>
  <si>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</si>
  <si>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</si>
  <si>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</si>
  <si>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</si>
  <si>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</si>
  <si>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</si>
  <si>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</si>
  <si>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</si>
  <si>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</si>
  <si>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</si>
  <si>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</si>
  <si>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</si>
  <si>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</si>
  <si>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</si>
  <si>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</si>
  <si>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</si>
  <si>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</si>
  <si>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</si>
  <si>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</si>
  <si>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</si>
  <si>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</si>
  <si>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</si>
  <si>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</si>
  <si>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</si>
  <si>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</si>
  <si>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</si>
  <si>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</si>
  <si>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</si>
  <si>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</si>
  <si>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</si>
  <si>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</si>
  <si>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</si>
  <si>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</si>
  <si>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</si>
  <si>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</si>
  <si>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</si>
  <si>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</si>
  <si>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</si>
  <si>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</si>
  <si>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</si>
  <si>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</si>
  <si>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</si>
  <si>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</si>
  <si>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</si>
  <si>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</si>
  <si>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</si>
  <si>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</si>
  <si>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</si>
  <si>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</si>
  <si>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</si>
  <si>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</si>
  <si>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</si>
  <si>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</si>
  <si>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</si>
  <si>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</si>
  <si>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</si>
  <si>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</si>
  <si>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</si>
  <si>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</si>
  <si>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</si>
  <si>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</si>
  <si>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</si>
  <si>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</si>
  <si>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</si>
  <si>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</si>
  <si>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</si>
  <si>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</si>
  <si>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</si>
  <si>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</si>
  <si>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</si>
  <si>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</si>
  <si>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</si>
  <si>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</si>
  <si>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</si>
  <si>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</si>
  <si>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</si>
  <si>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</si>
  <si>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</si>
  <si>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</si>
  <si>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</si>
  <si>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</si>
  <si>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</si>
  <si>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</si>
  <si>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</si>
  <si>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</si>
  <si>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</si>
  <si>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</si>
  <si>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</si>
  <si>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</si>
  <si>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</si>
  <si>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</si>
  <si>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</si>
  <si>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</si>
  <si>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</si>
  <si>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</si>
  <si>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</si>
  <si>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</si>
  <si>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</si>
  <si>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</si>
  <si>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</si>
  <si>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</si>
  <si>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</si>
  <si>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</si>
  <si>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</si>
  <si>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</si>
  <si>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</si>
  <si>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</si>
  <si>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</si>
  <si>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</si>
  <si>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</si>
  <si>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</si>
  <si>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</si>
  <si>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</si>
  <si>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</si>
  <si>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</si>
  <si>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</si>
  <si>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</si>
  <si>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</si>
  <si>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</si>
  <si>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</si>
  <si>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</si>
  <si>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</si>
  <si>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</si>
  <si>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</si>
  <si>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</si>
  <si>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</si>
  <si>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</si>
  <si>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</si>
  <si>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</si>
  <si>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</si>
  <si>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</si>
  <si>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</si>
  <si>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</si>
  <si>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</si>
  <si>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</si>
  <si>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</si>
  <si>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</si>
  <si>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</si>
  <si>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</si>
  <si>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</si>
  <si>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</si>
  <si>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</si>
  <si>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</si>
  <si>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</si>
  <si>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</si>
  <si>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</si>
  <si>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</si>
  <si>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</si>
  <si>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</si>
  <si>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</si>
  <si>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</si>
  <si>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</si>
  <si>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</si>
  <si>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</si>
  <si>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</si>
  <si>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</si>
  <si>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</si>
  <si>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</si>
  <si>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</si>
  <si>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</si>
  <si>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</si>
  <si>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</si>
  <si>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</si>
  <si>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</si>
  <si>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</si>
  <si>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</si>
  <si>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</si>
  <si>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</si>
  <si>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</si>
  <si>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</si>
  <si>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</si>
  <si>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BEUSSINK HICKAM &amp; KOCHEL PC</t>
  </si>
  <si>
    <t>SCOTT A HICKAM CPA</t>
  </si>
  <si>
    <t>139 W VIENNA ST - PO BOX 556</t>
  </si>
  <si>
    <t>ANNA</t>
  </si>
  <si>
    <t>IL</t>
  </si>
  <si>
    <t>618-833-2721</t>
  </si>
  <si>
    <t>618-833-7077</t>
  </si>
  <si>
    <t>shickam@frontier.com</t>
  </si>
  <si>
    <t>066-005023</t>
  </si>
  <si>
    <t>UNION</t>
  </si>
  <si>
    <t>3365 STATE HWY 3 NORTH</t>
  </si>
  <si>
    <t>WOLF LAKE</t>
  </si>
  <si>
    <t>SHELLY CLOVER-HILL</t>
  </si>
  <si>
    <t>sclover-hill@shawneedistrict84.com</t>
  </si>
  <si>
    <t>618-833-5709</t>
  </si>
  <si>
    <t>618-833-4171</t>
  </si>
  <si>
    <t>2018 WORKING CASH BONDS</t>
  </si>
  <si>
    <t>TRI-COUNTY SPECIAL EDUCATION COOP</t>
  </si>
  <si>
    <t>5 COUNTY REGIONAL VOCATIONAL COOP</t>
  </si>
  <si>
    <t>ANNA DISTRICT 81/ELVERADO DISTRICT 196</t>
  </si>
  <si>
    <t>2020 WORKING CASH BONDS</t>
  </si>
  <si>
    <t>FIRST STUDENT INC</t>
  </si>
  <si>
    <t>TR-TRANSPORT SERVICE-PURCHASED SERVICE</t>
  </si>
  <si>
    <t>SPEECH/DRIVERS ED-MURPHYSBORO DISTRICT 186</t>
  </si>
  <si>
    <t>Fund 10, Account 3999: Other State Grants $14,890</t>
  </si>
  <si>
    <t>Fund 20, Account 3999: Maintenance Grant $50,000</t>
  </si>
  <si>
    <t>Fund 10, Account 4998: REAP $8,526</t>
  </si>
  <si>
    <t xml:space="preserve"> Shawnee CUSD 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</si>
</sst>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5</xdr:row>
          <xdr:rowOff>114300</xdr:rowOff>
        </xdr:from>
        <xdr:to>
          <xdr:col>1</xdr:col>
          <xdr:colOff>1028700</xdr:colOff>
          <xdr:row>9</xdr:row>
          <xdr:rowOff>152400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30091084026</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2061</v>
      </c>
      <c r="B15" s="2104"/>
      <c r="C15" s="2104"/>
      <c r="D15" s="2104"/>
      <c r="E15" s="2104"/>
      <c r="F15" s="2104"/>
      <c r="G15" s="2104"/>
      <c r="H15" s="2105"/>
      <c r="T15" s="2110" t="s">
        <v>2053</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2079</v>
      </c>
      <c r="B17" s="2074"/>
      <c r="C17" s="2074"/>
      <c r="D17" s="2074"/>
      <c r="E17" s="2074"/>
      <c r="F17" s="2074"/>
      <c r="G17" s="2074"/>
      <c r="H17" s="2099"/>
      <c r="T17" s="2117" t="s">
        <v>2054</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2062</v>
      </c>
      <c r="B19" s="2059"/>
      <c r="C19" s="2059"/>
      <c r="D19" s="2059"/>
      <c r="E19" s="2059"/>
      <c r="F19" s="2059"/>
      <c r="G19" s="2059"/>
      <c r="H19" s="2039"/>
      <c r="I19" s="30"/>
      <c r="J19" s="96"/>
      <c r="K19" s="40"/>
      <c r="L19" s="38"/>
      <c r="M19" s="109" t="s">
        <v>312</v>
      </c>
      <c r="P19" s="27"/>
      <c r="Q19" s="27"/>
      <c r="R19" s="27"/>
      <c r="S19" s="31"/>
      <c r="T19" s="2103" t="s">
        <v>2055</v>
      </c>
      <c r="U19" s="2038"/>
      <c r="V19" s="2038"/>
      <c r="W19" s="2039"/>
      <c r="X19" s="2115" t="s">
        <v>2056</v>
      </c>
      <c r="Y19" s="2116"/>
      <c r="Z19" s="2113">
        <v>62906</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2063</v>
      </c>
      <c r="B21" s="2038"/>
      <c r="C21" s="2038"/>
      <c r="D21" s="2038"/>
      <c r="E21" s="2038"/>
      <c r="F21" s="2038"/>
      <c r="G21" s="2038"/>
      <c r="H21" s="2039"/>
      <c r="I21" s="2093" t="s">
        <v>673</v>
      </c>
      <c r="J21" s="2088"/>
      <c r="K21" s="2088"/>
      <c r="L21" s="2088"/>
      <c r="M21" s="2088"/>
      <c r="N21" s="2088"/>
      <c r="O21" s="2088"/>
      <c r="P21" s="2088"/>
      <c r="Q21" s="2088"/>
      <c r="R21" s="2088"/>
      <c r="S21" s="2094"/>
      <c r="T21" s="2128" t="s">
        <v>2057</v>
      </c>
      <c r="U21" s="2129"/>
      <c r="V21" s="2129"/>
      <c r="W21" s="2129"/>
      <c r="X21" s="2134" t="s">
        <v>2058</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c r="B23" s="2091"/>
      <c r="C23" s="2091"/>
      <c r="D23" s="2091"/>
      <c r="E23" s="2091"/>
      <c r="F23" s="2091"/>
      <c r="G23" s="2091"/>
      <c r="H23" s="2092"/>
      <c r="T23" s="2073" t="s">
        <v>2060</v>
      </c>
      <c r="U23" s="2127"/>
      <c r="V23" s="2127"/>
      <c r="W23" s="2127"/>
      <c r="X23" s="2131">
        <v>44530</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62998</v>
      </c>
      <c r="B25" s="2038"/>
      <c r="C25" s="2038"/>
      <c r="D25" s="2038"/>
      <c r="E25" s="2038"/>
      <c r="F25" s="2038"/>
      <c r="G25" s="2038"/>
      <c r="H25" s="2039"/>
      <c r="I25" s="110"/>
      <c r="J25" s="2062"/>
      <c r="K25" s="2062"/>
      <c r="L25" s="2062"/>
      <c r="M25" s="2062"/>
      <c r="N25" s="2062"/>
      <c r="O25" s="2062"/>
      <c r="P25" s="2062"/>
      <c r="Q25" s="2062"/>
      <c r="R25" s="2062"/>
      <c r="S25" s="2063"/>
      <c r="T25" s="2124" t="s">
        <v>2059</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2064</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2065</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2066</v>
      </c>
      <c r="B42" s="2057"/>
      <c r="C42" s="2058"/>
      <c r="D42" s="2056" t="s">
        <v>2067</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32" sqref="B3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t="s">
        <v>2051</v>
      </c>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16" sqref="D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63588474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f>2.0844/100</f>
        <v>2.0844000000000001E-2</v>
      </c>
      <c r="E10" s="333" t="s">
        <v>998</v>
      </c>
      <c r="F10" s="332">
        <f>0.05/100</f>
        <v>5.0000000000000001E-4</v>
      </c>
      <c r="G10" s="333" t="s">
        <v>998</v>
      </c>
      <c r="H10" s="332">
        <f>0.2/100</f>
        <v>2E-3</v>
      </c>
      <c r="I10" s="333" t="s">
        <v>999</v>
      </c>
      <c r="J10" s="1424">
        <f>ROUND(D10+F10+H10,5)</f>
        <v>2.334E-2</v>
      </c>
      <c r="K10" s="217"/>
      <c r="L10" s="332">
        <f>0.05/100</f>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4139587</v>
      </c>
      <c r="E16" s="1547"/>
      <c r="F16" s="1546">
        <f>SUM('Acct Summary 7-8'!C17,'Acct Summary 7-8'!D17,'Acct Summary 7-8'!F17)</f>
        <v>4025870</v>
      </c>
      <c r="G16" s="1547"/>
      <c r="H16" s="1546">
        <f>SUM(D16-F16)</f>
        <v>113717</v>
      </c>
      <c r="I16" s="1548"/>
      <c r="J16" s="1546">
        <f>SUM('Acct Summary 7-8'!C81,'Acct Summary 7-8'!D81,'Acct Summary 7-8'!F81,'Acct Summary 7-8'!I81)</f>
        <v>3581245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8775209.4120000005</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2153600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t="s">
        <v>2051</v>
      </c>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Shawnee CUSD 84</v>
      </c>
      <c r="E7" s="368"/>
      <c r="G7" s="247"/>
      <c r="H7" s="364"/>
      <c r="I7" s="364"/>
      <c r="J7" s="364"/>
      <c r="K7" s="364"/>
      <c r="L7" s="307"/>
      <c r="M7" s="307"/>
      <c r="N7" s="307"/>
      <c r="O7" s="307"/>
      <c r="P7" s="307"/>
    </row>
    <row r="8" spans="1:18" ht="12.75" x14ac:dyDescent="0.2">
      <c r="A8" s="307"/>
      <c r="B8" s="307"/>
      <c r="C8" s="366" t="s">
        <v>1115</v>
      </c>
      <c r="D8" s="369">
        <f>COVER!A13</f>
        <v>30091084026</v>
      </c>
      <c r="E8" s="370"/>
      <c r="G8" s="307"/>
      <c r="H8" s="307"/>
      <c r="I8" s="307"/>
      <c r="J8" s="307"/>
      <c r="K8" s="307"/>
      <c r="L8" s="307"/>
      <c r="M8" s="307"/>
      <c r="N8" s="307"/>
      <c r="O8" s="307"/>
      <c r="P8" s="307"/>
    </row>
    <row r="9" spans="1:18" ht="12.75" x14ac:dyDescent="0.2">
      <c r="A9" s="307"/>
      <c r="B9" s="307"/>
      <c r="C9" s="366" t="s">
        <v>708</v>
      </c>
      <c r="D9" s="371" t="str">
        <f>COVER!A15</f>
        <v>UNION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3581245</v>
      </c>
      <c r="I12" s="380"/>
      <c r="J12" s="380"/>
      <c r="K12" s="1559">
        <f>TRUNC((H12/H13*100000),5)/100000</f>
        <v>0.86512132730000002</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4139587</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4025870</v>
      </c>
      <c r="I17" s="380"/>
      <c r="J17" s="389"/>
      <c r="K17" s="1559">
        <f>TRUNC((H17/H18*100000),5)/100000</f>
        <v>0.97252938510000009</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4139587</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3581245</v>
      </c>
      <c r="I24" s="394"/>
      <c r="J24" s="394"/>
      <c r="K24" s="1555">
        <f>TRUNC(((H24/H25*100000)/100000),2)</f>
        <v>320.24</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11182.97222</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1261531.73569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2153600</v>
      </c>
      <c r="I32" s="392"/>
      <c r="J32" s="392"/>
      <c r="K32" s="1555">
        <f>TRUNC(100-((((H32/H33*100))*100)/100),2)</f>
        <v>75.45</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8775209.4120000005</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pane="bottomLeft" activeCell="C4" sqref="C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1157597</v>
      </c>
      <c r="D4" s="1573">
        <v>121044</v>
      </c>
      <c r="E4" s="1573">
        <v>57523</v>
      </c>
      <c r="F4" s="1573">
        <v>135217</v>
      </c>
      <c r="G4" s="1573">
        <v>83323</v>
      </c>
      <c r="H4" s="1573">
        <v>173897</v>
      </c>
      <c r="I4" s="1573">
        <v>2167387</v>
      </c>
      <c r="J4" s="1574">
        <v>38624</v>
      </c>
      <c r="K4" s="1573">
        <v>88773</v>
      </c>
      <c r="L4" s="1573">
        <v>55743</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1157597</v>
      </c>
      <c r="D13" s="1587">
        <f t="shared" ref="D13:L13" si="0">SUM(D4:D12)</f>
        <v>121044</v>
      </c>
      <c r="E13" s="1587">
        <f t="shared" si="0"/>
        <v>57523</v>
      </c>
      <c r="F13" s="1587">
        <f t="shared" si="0"/>
        <v>135217</v>
      </c>
      <c r="G13" s="1587">
        <f t="shared" si="0"/>
        <v>83323</v>
      </c>
      <c r="H13" s="1587">
        <f t="shared" si="0"/>
        <v>173897</v>
      </c>
      <c r="I13" s="1587">
        <f t="shared" si="0"/>
        <v>2167387</v>
      </c>
      <c r="J13" s="1587">
        <f t="shared" si="0"/>
        <v>38624</v>
      </c>
      <c r="K13" s="1587">
        <f t="shared" si="0"/>
        <v>88773</v>
      </c>
      <c r="L13" s="1587">
        <f t="shared" si="0"/>
        <v>55743</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27700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9448740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2381958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903479+44247+300753</f>
        <v>1248479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57523</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2096077</v>
      </c>
    </row>
    <row r="23" spans="1:14" ht="13.5" customHeight="1" thickBot="1" x14ac:dyDescent="0.25">
      <c r="A23" s="1426" t="s">
        <v>638</v>
      </c>
      <c r="B23" s="1429"/>
      <c r="C23" s="1575"/>
      <c r="D23" s="1575"/>
      <c r="E23" s="1575"/>
      <c r="F23" s="1575"/>
      <c r="G23" s="1575"/>
      <c r="H23" s="1575"/>
      <c r="I23" s="1575"/>
      <c r="J23" s="1575"/>
      <c r="K23" s="1575"/>
      <c r="L23" s="1575"/>
      <c r="M23" s="1594">
        <f>SUM(M15:M22)</f>
        <v>13106877</v>
      </c>
      <c r="N23" s="1594">
        <f>SUM(N21:N22)</f>
        <v>2153600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55743</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55743</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2153600</v>
      </c>
    </row>
    <row r="37" spans="1:14" ht="13.5" thickBot="1" x14ac:dyDescent="0.25">
      <c r="A37" s="1426" t="s">
        <v>648</v>
      </c>
      <c r="B37" s="1429"/>
      <c r="C37" s="1582"/>
      <c r="D37" s="1582"/>
      <c r="E37" s="1582"/>
      <c r="F37" s="1582"/>
      <c r="G37" s="1582"/>
      <c r="H37" s="1582"/>
      <c r="I37" s="1582"/>
      <c r="J37" s="1582"/>
      <c r="K37" s="1582"/>
      <c r="L37" s="1585"/>
      <c r="M37" s="1575"/>
      <c r="N37" s="1594">
        <f>SUM(N36:N36)</f>
        <v>2153600</v>
      </c>
    </row>
    <row r="38" spans="1:14" s="307" customFormat="1" ht="13.5" customHeight="1" thickTop="1" x14ac:dyDescent="0.2">
      <c r="A38" s="438" t="s">
        <v>417</v>
      </c>
      <c r="B38" s="432">
        <v>714</v>
      </c>
      <c r="C38" s="1573">
        <v>0</v>
      </c>
      <c r="D38" s="1573">
        <v>50000</v>
      </c>
      <c r="E38" s="1573">
        <v>57523</v>
      </c>
      <c r="F38" s="1573">
        <v>0</v>
      </c>
      <c r="G38" s="1573">
        <v>83323</v>
      </c>
      <c r="H38" s="1573">
        <v>173897</v>
      </c>
      <c r="I38" s="1573">
        <v>0</v>
      </c>
      <c r="J38" s="1574">
        <v>38624</v>
      </c>
      <c r="K38" s="1573">
        <v>88773</v>
      </c>
      <c r="L38" s="1586">
        <v>0</v>
      </c>
      <c r="M38" s="1604"/>
      <c r="N38" s="1604"/>
    </row>
    <row r="39" spans="1:14" s="307" customFormat="1" ht="13.5" customHeight="1" x14ac:dyDescent="0.2">
      <c r="A39" s="438" t="s">
        <v>339</v>
      </c>
      <c r="B39" s="432">
        <v>730</v>
      </c>
      <c r="C39" s="1573">
        <v>1157597</v>
      </c>
      <c r="D39" s="1573">
        <f>121044-50000</f>
        <v>71044</v>
      </c>
      <c r="E39" s="1573">
        <v>0</v>
      </c>
      <c r="F39" s="1573">
        <v>135217</v>
      </c>
      <c r="G39" s="1573">
        <v>0</v>
      </c>
      <c r="H39" s="1573">
        <v>0</v>
      </c>
      <c r="I39" s="1573">
        <v>2167387</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13106877</v>
      </c>
      <c r="N40" s="1604"/>
    </row>
    <row r="41" spans="1:14" ht="13.5" customHeight="1" thickBot="1" x14ac:dyDescent="0.25">
      <c r="A41" s="1426" t="s">
        <v>650</v>
      </c>
      <c r="B41" s="1405"/>
      <c r="C41" s="1594">
        <f>(SUM(C34,C37,C38,C39))</f>
        <v>1157597</v>
      </c>
      <c r="D41" s="1594">
        <f t="shared" ref="D41:L41" si="2">SUM(D34,D37,D38:D39)</f>
        <v>121044</v>
      </c>
      <c r="E41" s="1594">
        <f t="shared" si="2"/>
        <v>57523</v>
      </c>
      <c r="F41" s="1594">
        <f t="shared" si="2"/>
        <v>135217</v>
      </c>
      <c r="G41" s="1594">
        <f t="shared" si="2"/>
        <v>83323</v>
      </c>
      <c r="H41" s="1594">
        <f t="shared" si="2"/>
        <v>173897</v>
      </c>
      <c r="I41" s="1594">
        <f t="shared" si="2"/>
        <v>2167387</v>
      </c>
      <c r="J41" s="1594">
        <f t="shared" si="2"/>
        <v>38624</v>
      </c>
      <c r="K41" s="1594">
        <f t="shared" si="2"/>
        <v>88773</v>
      </c>
      <c r="L41" s="1594">
        <f t="shared" si="2"/>
        <v>55743</v>
      </c>
      <c r="M41" s="1594">
        <f>SUM(M40)</f>
        <v>13106877</v>
      </c>
      <c r="N41" s="1594">
        <f>SUM(N37)</f>
        <v>2153600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&amp;L&amp;8&amp;F&amp;CThe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9" sqref="C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1746500</v>
      </c>
      <c r="D4" s="1606">
        <f>'Revenues 9-14'!D109</f>
        <v>343588</v>
      </c>
      <c r="E4" s="1606">
        <f>'Revenues 9-14'!E109</f>
        <v>525444</v>
      </c>
      <c r="F4" s="1606">
        <f>'Revenues 9-14'!F109</f>
        <v>118430</v>
      </c>
      <c r="G4" s="1606">
        <f>'Revenues 9-14'!G109</f>
        <v>107343</v>
      </c>
      <c r="H4" s="1606">
        <f>'Revenues 9-14'!H109</f>
        <v>97271</v>
      </c>
      <c r="I4" s="1606">
        <f>'Revenues 9-14'!I109</f>
        <v>32193</v>
      </c>
      <c r="J4" s="1606">
        <f>'Revenues 9-14'!J109</f>
        <v>235702</v>
      </c>
      <c r="K4" s="1606">
        <f>'Revenues 9-14'!K109</f>
        <v>29415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910133</v>
      </c>
      <c r="D6" s="1607">
        <f>'Revenues 9-14'!D170</f>
        <v>50000</v>
      </c>
      <c r="E6" s="1607">
        <f>'Revenues 9-14'!E170</f>
        <v>0</v>
      </c>
      <c r="F6" s="1607">
        <f>'Revenues 9-14'!F170</f>
        <v>322740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616003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3272636</v>
      </c>
      <c r="D8" s="1594">
        <f t="shared" ref="D8:K8" si="0">SUM(D4:D7)</f>
        <v>393588</v>
      </c>
      <c r="E8" s="1594">
        <f t="shared" si="0"/>
        <v>525444</v>
      </c>
      <c r="F8" s="1594">
        <f t="shared" si="0"/>
        <v>441170</v>
      </c>
      <c r="G8" s="1594">
        <f t="shared" si="0"/>
        <v>107343</v>
      </c>
      <c r="H8" s="1594">
        <f t="shared" si="0"/>
        <v>97271</v>
      </c>
      <c r="I8" s="1594">
        <f t="shared" si="0"/>
        <v>32193</v>
      </c>
      <c r="J8" s="1594">
        <f t="shared" si="0"/>
        <v>235702</v>
      </c>
      <c r="K8" s="1594">
        <f t="shared" si="0"/>
        <v>29415</v>
      </c>
      <c r="L8" s="325"/>
    </row>
    <row r="9" spans="1:13" ht="15.75" thickTop="1" x14ac:dyDescent="0.2">
      <c r="A9" s="449" t="s">
        <v>1634</v>
      </c>
      <c r="B9" s="450">
        <v>3998</v>
      </c>
      <c r="C9" s="1586">
        <v>18877</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3291513</v>
      </c>
      <c r="D10" s="1594">
        <f t="shared" ref="D10:K10" si="1">SUM(D8:D9)</f>
        <v>393588</v>
      </c>
      <c r="E10" s="1594">
        <f t="shared" si="1"/>
        <v>525444</v>
      </c>
      <c r="F10" s="1594">
        <f t="shared" si="1"/>
        <v>441170</v>
      </c>
      <c r="G10" s="1594">
        <f t="shared" si="1"/>
        <v>107343</v>
      </c>
      <c r="H10" s="1594">
        <f t="shared" si="1"/>
        <v>97271</v>
      </c>
      <c r="I10" s="1594">
        <f t="shared" si="1"/>
        <v>32193</v>
      </c>
      <c r="J10" s="1594">
        <f t="shared" si="1"/>
        <v>235702</v>
      </c>
      <c r="K10" s="1594">
        <f t="shared" si="1"/>
        <v>29415</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1815198</v>
      </c>
      <c r="D12" s="1616" t="s">
        <v>1159</v>
      </c>
      <c r="E12" s="1575" t="s">
        <v>1159</v>
      </c>
      <c r="F12" s="1575" t="s">
        <v>1159</v>
      </c>
      <c r="G12" s="1606">
        <f>'Expenditures 15-22'!K229</f>
        <v>48550</v>
      </c>
      <c r="H12" s="1617"/>
      <c r="I12" s="1575" t="s">
        <v>1159</v>
      </c>
      <c r="J12" s="1575" t="s">
        <v>1159</v>
      </c>
      <c r="K12" s="1617" t="s">
        <v>1159</v>
      </c>
      <c r="L12" s="325"/>
    </row>
    <row r="13" spans="1:13" ht="15.75" customHeight="1" x14ac:dyDescent="0.2">
      <c r="A13" s="1314" t="s">
        <v>454</v>
      </c>
      <c r="B13" s="1316">
        <v>2000</v>
      </c>
      <c r="C13" s="1607">
        <f>'Expenditures 15-22'!K74</f>
        <v>804275</v>
      </c>
      <c r="D13" s="1607">
        <f>'Expenditures 15-22'!K129</f>
        <v>658177</v>
      </c>
      <c r="E13" s="1576" t="s">
        <v>1159</v>
      </c>
      <c r="F13" s="1607">
        <f>'Expenditures 15-22'!K184</f>
        <v>469152</v>
      </c>
      <c r="G13" s="1607">
        <f>'Expenditures 15-22'!K279</f>
        <v>74423</v>
      </c>
      <c r="H13" s="1607">
        <f>'Expenditures 15-22'!K303</f>
        <v>30297</v>
      </c>
      <c r="I13" s="1575" t="s">
        <v>1159</v>
      </c>
      <c r="J13" s="1607">
        <f>'Expenditures 15-22'!K330</f>
        <v>197620</v>
      </c>
      <c r="K13" s="1618">
        <f>'Expenditures 15-22'!K352</f>
        <v>17978</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279068</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548751</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2898541</v>
      </c>
      <c r="D17" s="1594">
        <f t="shared" si="2"/>
        <v>658177</v>
      </c>
      <c r="E17" s="1594">
        <f t="shared" si="2"/>
        <v>548751</v>
      </c>
      <c r="F17" s="1594">
        <f t="shared" si="2"/>
        <v>469152</v>
      </c>
      <c r="G17" s="1594">
        <f t="shared" si="2"/>
        <v>122973</v>
      </c>
      <c r="H17" s="1594">
        <f t="shared" si="2"/>
        <v>30297</v>
      </c>
      <c r="I17" s="1575"/>
      <c r="J17" s="1594">
        <f>SUM(J12:J16)</f>
        <v>197620</v>
      </c>
      <c r="K17" s="1594">
        <f>SUM(K12:K16)</f>
        <v>17978</v>
      </c>
      <c r="L17" s="325"/>
    </row>
    <row r="18" spans="1:12" ht="15" customHeight="1" thickTop="1" x14ac:dyDescent="0.2">
      <c r="A18" s="1430" t="s">
        <v>1635</v>
      </c>
      <c r="B18" s="1431">
        <v>4180</v>
      </c>
      <c r="C18" s="1606">
        <f t="shared" ref="C18:H18" si="3">C9</f>
        <v>18877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2917418</v>
      </c>
      <c r="D19" s="1594">
        <f t="shared" si="4"/>
        <v>658177</v>
      </c>
      <c r="E19" s="1594">
        <f t="shared" si="4"/>
        <v>548751</v>
      </c>
      <c r="F19" s="1594">
        <f t="shared" si="4"/>
        <v>469152</v>
      </c>
      <c r="G19" s="1594">
        <f t="shared" si="4"/>
        <v>122973</v>
      </c>
      <c r="H19" s="1594">
        <f t="shared" si="4"/>
        <v>30297</v>
      </c>
      <c r="I19" s="1575"/>
      <c r="J19" s="1594">
        <f>SUM(J17:J18)</f>
        <v>197620</v>
      </c>
      <c r="K19" s="1594">
        <f>SUM(K17:K18)</f>
        <v>17978</v>
      </c>
      <c r="L19" s="325"/>
    </row>
    <row r="20" spans="1:12" ht="16.5" thickTop="1" thickBot="1" x14ac:dyDescent="0.25">
      <c r="A20" s="2231" t="s">
        <v>1636</v>
      </c>
      <c r="B20" s="2232"/>
      <c r="C20" s="1622">
        <f>C8-C17</f>
        <v>374095</v>
      </c>
      <c r="D20" s="1622">
        <f t="shared" ref="D20:K20" si="5">D8-D17</f>
        <v>-264589</v>
      </c>
      <c r="E20" s="1622">
        <f t="shared" si="5"/>
        <v>-23307</v>
      </c>
      <c r="F20" s="1622">
        <f t="shared" si="5"/>
        <v>-27982</v>
      </c>
      <c r="G20" s="1622">
        <f t="shared" si="5"/>
        <v>-15630</v>
      </c>
      <c r="H20" s="1622">
        <f t="shared" si="5"/>
        <v>66974</v>
      </c>
      <c r="I20" s="1622">
        <f t="shared" si="5"/>
        <v>32193</v>
      </c>
      <c r="J20" s="1622">
        <f t="shared" si="5"/>
        <v>38082</v>
      </c>
      <c r="K20" s="1622">
        <f t="shared" si="5"/>
        <v>11437</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350000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419</v>
      </c>
      <c r="F33" s="1574">
        <v>0</v>
      </c>
      <c r="G33" s="1582"/>
      <c r="H33" s="1574">
        <v>0</v>
      </c>
      <c r="I33" s="1574">
        <v>1821181</v>
      </c>
      <c r="J33" s="1574">
        <v>0</v>
      </c>
      <c r="K33" s="1574">
        <v>0</v>
      </c>
      <c r="L33" s="453"/>
    </row>
    <row r="34" spans="1:12" s="433" customFormat="1" x14ac:dyDescent="0.2">
      <c r="A34" s="1260" t="s">
        <v>994</v>
      </c>
      <c r="B34" s="454">
        <v>7220</v>
      </c>
      <c r="C34" s="1574">
        <v>0</v>
      </c>
      <c r="D34" s="1574">
        <v>0</v>
      </c>
      <c r="E34" s="1574">
        <v>41049</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45" t="s">
        <v>371</v>
      </c>
      <c r="B44" s="2246"/>
      <c r="C44" s="1624">
        <f>SUM(C24:C43)</f>
        <v>0</v>
      </c>
      <c r="D44" s="1624">
        <f t="shared" ref="D44:K44" si="6">SUM(D24:D43)</f>
        <v>350000</v>
      </c>
      <c r="E44" s="1624">
        <f t="shared" si="6"/>
        <v>41468</v>
      </c>
      <c r="F44" s="1624">
        <f t="shared" si="6"/>
        <v>0</v>
      </c>
      <c r="G44" s="1624">
        <f t="shared" si="6"/>
        <v>0</v>
      </c>
      <c r="H44" s="1624">
        <f t="shared" si="6"/>
        <v>0</v>
      </c>
      <c r="I44" s="1624">
        <f t="shared" si="6"/>
        <v>1821181</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350000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41000</v>
      </c>
      <c r="F75" s="1628">
        <v>0</v>
      </c>
      <c r="G75" s="1628">
        <v>0</v>
      </c>
      <c r="H75" s="1628">
        <v>0</v>
      </c>
      <c r="I75" s="1626">
        <v>0</v>
      </c>
      <c r="J75" s="1626">
        <v>0</v>
      </c>
      <c r="K75" s="1628">
        <v>0</v>
      </c>
      <c r="L75" s="453"/>
    </row>
    <row r="76" spans="1:12" s="433" customFormat="1" ht="14.25" thickTop="1" thickBot="1" x14ac:dyDescent="0.25">
      <c r="A76" s="2221" t="s">
        <v>437</v>
      </c>
      <c r="B76" s="2222"/>
      <c r="C76" s="1624">
        <f t="shared" ref="C76:K76" si="7">SUM(C47:C75)</f>
        <v>0</v>
      </c>
      <c r="D76" s="1624">
        <f t="shared" si="7"/>
        <v>0</v>
      </c>
      <c r="E76" s="1624">
        <f t="shared" si="7"/>
        <v>41000</v>
      </c>
      <c r="F76" s="1624">
        <f t="shared" si="7"/>
        <v>0</v>
      </c>
      <c r="G76" s="1624">
        <f t="shared" si="7"/>
        <v>0</v>
      </c>
      <c r="H76" s="1624">
        <f t="shared" si="7"/>
        <v>0</v>
      </c>
      <c r="I76" s="1624">
        <f t="shared" si="7"/>
        <v>350000</v>
      </c>
      <c r="J76" s="1624">
        <f t="shared" si="7"/>
        <v>0</v>
      </c>
      <c r="K76" s="1624">
        <f t="shared" si="7"/>
        <v>0</v>
      </c>
      <c r="L76" s="453"/>
    </row>
    <row r="77" spans="1:12" ht="14.25" thickTop="1" thickBot="1" x14ac:dyDescent="0.25">
      <c r="A77" s="2223" t="s">
        <v>1167</v>
      </c>
      <c r="B77" s="2224"/>
      <c r="C77" s="1624">
        <f t="shared" ref="C77:K77" si="8">C44-C76</f>
        <v>0</v>
      </c>
      <c r="D77" s="1624">
        <f t="shared" si="8"/>
        <v>350000</v>
      </c>
      <c r="E77" s="1624">
        <f t="shared" si="8"/>
        <v>468</v>
      </c>
      <c r="F77" s="1624">
        <f t="shared" si="8"/>
        <v>0</v>
      </c>
      <c r="G77" s="1624">
        <f t="shared" si="8"/>
        <v>0</v>
      </c>
      <c r="H77" s="1624">
        <f t="shared" si="8"/>
        <v>0</v>
      </c>
      <c r="I77" s="1624">
        <f t="shared" si="8"/>
        <v>1471181</v>
      </c>
      <c r="J77" s="1624">
        <f t="shared" si="8"/>
        <v>0</v>
      </c>
      <c r="K77" s="1624">
        <f t="shared" si="8"/>
        <v>0</v>
      </c>
      <c r="L77" s="325"/>
    </row>
    <row r="78" spans="1:12" ht="21.75" customHeight="1" thickTop="1" thickBot="1" x14ac:dyDescent="0.25">
      <c r="A78" s="2227" t="s">
        <v>593</v>
      </c>
      <c r="B78" s="2228"/>
      <c r="C78" s="1629">
        <f t="shared" ref="C78:K78" si="9">C20+C77</f>
        <v>374095</v>
      </c>
      <c r="D78" s="1629">
        <f t="shared" si="9"/>
        <v>85411</v>
      </c>
      <c r="E78" s="1629">
        <f t="shared" si="9"/>
        <v>-22839</v>
      </c>
      <c r="F78" s="1629">
        <f t="shared" si="9"/>
        <v>-27982</v>
      </c>
      <c r="G78" s="1629">
        <f t="shared" si="9"/>
        <v>-15630</v>
      </c>
      <c r="H78" s="1629">
        <f t="shared" si="9"/>
        <v>66974</v>
      </c>
      <c r="I78" s="1629">
        <f t="shared" si="9"/>
        <v>1503374</v>
      </c>
      <c r="J78" s="1629">
        <f t="shared" si="9"/>
        <v>38082</v>
      </c>
      <c r="K78" s="1629">
        <f t="shared" si="9"/>
        <v>11437</v>
      </c>
      <c r="L78" s="457"/>
    </row>
    <row r="79" spans="1:12" ht="13.5" thickTop="1" x14ac:dyDescent="0.2">
      <c r="A79" s="1844" t="str">
        <f>"Fund Balances - July 1, "&amp;'AFR20'!E2-1</f>
        <v>Fund Balances - July 1, 2019</v>
      </c>
      <c r="B79" s="458"/>
      <c r="C79" s="1583">
        <v>783502</v>
      </c>
      <c r="D79" s="1630">
        <v>35633</v>
      </c>
      <c r="E79" s="1630">
        <v>80362</v>
      </c>
      <c r="F79" s="1630">
        <v>163199</v>
      </c>
      <c r="G79" s="1630">
        <v>98953</v>
      </c>
      <c r="H79" s="1630">
        <v>106923</v>
      </c>
      <c r="I79" s="1630">
        <v>664013</v>
      </c>
      <c r="J79" s="1630">
        <v>542</v>
      </c>
      <c r="K79" s="1630">
        <v>77336</v>
      </c>
      <c r="L79" s="325"/>
    </row>
    <row r="80" spans="1:12" x14ac:dyDescent="0.2">
      <c r="A80" s="2233" t="s">
        <v>1772</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1157597</v>
      </c>
      <c r="D81" s="1594">
        <f>SUM(D78:D80)</f>
        <v>121044</v>
      </c>
      <c r="E81" s="1594">
        <f t="shared" ref="E81:K81" si="10">SUM(E78:E80)</f>
        <v>57523</v>
      </c>
      <c r="F81" s="1594">
        <f t="shared" si="10"/>
        <v>135217</v>
      </c>
      <c r="G81" s="1594">
        <f t="shared" si="10"/>
        <v>83323</v>
      </c>
      <c r="H81" s="1594">
        <f t="shared" si="10"/>
        <v>173897</v>
      </c>
      <c r="I81" s="1594">
        <f t="shared" si="10"/>
        <v>2167387</v>
      </c>
      <c r="J81" s="1594">
        <f t="shared" si="10"/>
        <v>38624</v>
      </c>
      <c r="K81" s="1594">
        <f t="shared" si="10"/>
        <v>88773</v>
      </c>
      <c r="L81" s="325"/>
    </row>
    <row r="82" spans="1:12" ht="0.75" customHeight="1" thickTop="1" thickBot="1" x14ac:dyDescent="0.25">
      <c r="A82" s="459" t="s">
        <v>340</v>
      </c>
      <c r="B82" s="460"/>
      <c r="C82" s="461">
        <f>(C81-C79)</f>
        <v>374095</v>
      </c>
      <c r="D82" s="461">
        <f t="shared" ref="D82:K82" si="11">(D81-D79)</f>
        <v>85411</v>
      </c>
      <c r="E82" s="461">
        <f t="shared" si="11"/>
        <v>-22839</v>
      </c>
      <c r="F82" s="461">
        <f t="shared" si="11"/>
        <v>-27982</v>
      </c>
      <c r="G82" s="461">
        <f t="shared" si="11"/>
        <v>-15630</v>
      </c>
      <c r="H82" s="461">
        <f t="shared" si="11"/>
        <v>66974</v>
      </c>
      <c r="I82" s="461">
        <f t="shared" si="11"/>
        <v>1503374</v>
      </c>
      <c r="J82" s="461">
        <f t="shared" si="11"/>
        <v>38082</v>
      </c>
      <c r="K82" s="461">
        <f t="shared" si="11"/>
        <v>11437</v>
      </c>
    </row>
    <row r="83" spans="1:12" ht="14.25" hidden="1" thickTop="1" thickBot="1" x14ac:dyDescent="0.25">
      <c r="A83" s="462" t="s">
        <v>341</v>
      </c>
      <c r="B83" s="428"/>
      <c r="C83" s="463">
        <f>C82/C81</f>
        <v>0.3231651429642613</v>
      </c>
      <c r="D83" s="463">
        <f t="shared" ref="D83:K83" si="12">D82/D81</f>
        <v>0.70561944416906253</v>
      </c>
      <c r="E83" s="463">
        <f t="shared" si="12"/>
        <v>-0.39704118352658935</v>
      </c>
      <c r="F83" s="463">
        <f t="shared" si="12"/>
        <v>-0.20694143487875044</v>
      </c>
      <c r="G83" s="463">
        <f t="shared" si="12"/>
        <v>-0.18758326032428022</v>
      </c>
      <c r="H83" s="463">
        <f t="shared" si="12"/>
        <v>0.38513602879865666</v>
      </c>
      <c r="I83" s="463">
        <f t="shared" si="12"/>
        <v>0.69363431634498129</v>
      </c>
      <c r="J83" s="463">
        <f t="shared" si="12"/>
        <v>0.98596727423363717</v>
      </c>
      <c r="K83" s="463">
        <f t="shared" si="12"/>
        <v>0.12883421761121061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&amp;L&amp;8&amp;F&amp;CThe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1217107</v>
      </c>
      <c r="D5" s="1586">
        <v>291174</v>
      </c>
      <c r="E5" s="1573">
        <v>525413</v>
      </c>
      <c r="F5" s="1631">
        <v>116470</v>
      </c>
      <c r="G5" s="1573">
        <v>46917</v>
      </c>
      <c r="H5" s="1573"/>
      <c r="I5" s="1573">
        <v>29118</v>
      </c>
      <c r="J5" s="1574">
        <v>234583</v>
      </c>
      <c r="K5" s="1573">
        <v>29118</v>
      </c>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23293</v>
      </c>
      <c r="D7" s="1573"/>
      <c r="E7" s="1575"/>
      <c r="F7" s="1574"/>
      <c r="G7" s="1574"/>
      <c r="H7" s="1574"/>
      <c r="I7" s="1575"/>
      <c r="J7" s="1575"/>
      <c r="K7" s="1575"/>
    </row>
    <row r="8" spans="1:12" x14ac:dyDescent="0.2">
      <c r="A8" s="427" t="s">
        <v>410</v>
      </c>
      <c r="B8" s="429">
        <v>1150</v>
      </c>
      <c r="C8" s="1580"/>
      <c r="D8" s="1580"/>
      <c r="E8" s="1582"/>
      <c r="F8" s="1582"/>
      <c r="G8" s="1586">
        <v>56494</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1240400</v>
      </c>
      <c r="D12" s="1633">
        <f t="shared" si="0"/>
        <v>291174</v>
      </c>
      <c r="E12" s="1633">
        <f t="shared" si="0"/>
        <v>525413</v>
      </c>
      <c r="F12" s="1633">
        <f t="shared" si="0"/>
        <v>116470</v>
      </c>
      <c r="G12" s="1633">
        <f t="shared" si="0"/>
        <v>103411</v>
      </c>
      <c r="H12" s="1633">
        <f t="shared" si="0"/>
        <v>0</v>
      </c>
      <c r="I12" s="1633">
        <f t="shared" si="0"/>
        <v>29118</v>
      </c>
      <c r="J12" s="1633">
        <f t="shared" si="0"/>
        <v>234583</v>
      </c>
      <c r="K12" s="1594">
        <f t="shared" si="0"/>
        <v>29118</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447820</v>
      </c>
      <c r="D16" s="1573">
        <v>30000</v>
      </c>
      <c r="E16" s="1573"/>
      <c r="F16" s="1573"/>
      <c r="G16" s="1573">
        <v>2750</v>
      </c>
      <c r="H16" s="1573"/>
      <c r="I16" s="1573"/>
      <c r="J16" s="1574"/>
      <c r="K16" s="1573"/>
    </row>
    <row r="17" spans="1:11" ht="12.75" customHeight="1" x14ac:dyDescent="0.2">
      <c r="A17" s="427" t="s">
        <v>802</v>
      </c>
      <c r="B17" s="429">
        <v>1290</v>
      </c>
      <c r="C17" s="1632">
        <v>996</v>
      </c>
      <c r="D17" s="1573"/>
      <c r="E17" s="1573"/>
      <c r="F17" s="1573"/>
      <c r="G17" s="1573"/>
      <c r="H17" s="1573"/>
      <c r="I17" s="1573"/>
      <c r="J17" s="1574"/>
      <c r="K17" s="1573"/>
    </row>
    <row r="18" spans="1:11" ht="12.75" customHeight="1" thickBot="1" x14ac:dyDescent="0.25">
      <c r="A18" s="1406" t="s">
        <v>534</v>
      </c>
      <c r="B18" s="1407"/>
      <c r="C18" s="1635">
        <f>SUM(C14:C17)</f>
        <v>448816</v>
      </c>
      <c r="D18" s="1635">
        <f t="shared" ref="D18:K18" si="1">SUM(D14:D17)</f>
        <v>30000</v>
      </c>
      <c r="E18" s="1635">
        <f t="shared" si="1"/>
        <v>0</v>
      </c>
      <c r="F18" s="1635">
        <f t="shared" si="1"/>
        <v>0</v>
      </c>
      <c r="G18" s="1635">
        <f t="shared" si="1"/>
        <v>2750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16893</v>
      </c>
      <c r="D65" s="1573">
        <v>344</v>
      </c>
      <c r="E65" s="1573">
        <v>31</v>
      </c>
      <c r="F65" s="1574">
        <v>1960</v>
      </c>
      <c r="G65" s="1573">
        <v>1182</v>
      </c>
      <c r="H65" s="1573">
        <v>29</v>
      </c>
      <c r="I65" s="1573">
        <v>3075</v>
      </c>
      <c r="J65" s="1574">
        <v>614</v>
      </c>
      <c r="K65" s="1573">
        <v>297</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16893</v>
      </c>
      <c r="D67" s="1594">
        <f t="shared" ref="D67:K67" si="2">SUM(D65:D66)</f>
        <v>344</v>
      </c>
      <c r="E67" s="1594">
        <f t="shared" si="2"/>
        <v>31</v>
      </c>
      <c r="F67" s="1594">
        <f t="shared" si="2"/>
        <v>1960</v>
      </c>
      <c r="G67" s="1594">
        <f t="shared" si="2"/>
        <v>1182</v>
      </c>
      <c r="H67" s="1594">
        <f t="shared" si="2"/>
        <v>29</v>
      </c>
      <c r="I67" s="1594">
        <f t="shared" si="2"/>
        <v>3075</v>
      </c>
      <c r="J67" s="1594">
        <f t="shared" si="2"/>
        <v>614</v>
      </c>
      <c r="K67" s="1594">
        <f t="shared" si="2"/>
        <v>297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2553</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2553</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4190</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4190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14561</v>
      </c>
      <c r="D99" s="1573">
        <v>746</v>
      </c>
      <c r="E99" s="1573"/>
      <c r="F99" s="1573"/>
      <c r="G99" s="1573"/>
      <c r="H99" s="1573"/>
      <c r="I99" s="1575"/>
      <c r="J99" s="1574">
        <v>505</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97242</v>
      </c>
      <c r="I103" s="1575"/>
      <c r="J103" s="1610"/>
      <c r="K103" s="1610"/>
    </row>
    <row r="104" spans="1:12" ht="12.75" customHeight="1" x14ac:dyDescent="0.2">
      <c r="A104" s="427" t="s">
        <v>825</v>
      </c>
      <c r="B104" s="429">
        <v>1991</v>
      </c>
      <c r="C104" s="1598">
        <v>16860</v>
      </c>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2227</v>
      </c>
      <c r="D107" s="1573">
        <v>21324</v>
      </c>
      <c r="E107" s="1573"/>
      <c r="F107" s="1573"/>
      <c r="G107" s="1573"/>
      <c r="H107" s="1573"/>
      <c r="I107" s="1573"/>
      <c r="J107" s="1574"/>
      <c r="K107" s="1573"/>
    </row>
    <row r="108" spans="1:12" ht="12.75" customHeight="1" thickBot="1" x14ac:dyDescent="0.25">
      <c r="A108" s="1406" t="s">
        <v>484</v>
      </c>
      <c r="B108" s="1408"/>
      <c r="C108" s="1633">
        <f>SUM(C95:C107)</f>
        <v>33648</v>
      </c>
      <c r="D108" s="1633">
        <f t="shared" ref="D108:K108" si="3">SUM(D95:D107)</f>
        <v>22070</v>
      </c>
      <c r="E108" s="1633">
        <f t="shared" si="3"/>
        <v>0</v>
      </c>
      <c r="F108" s="1633">
        <f t="shared" si="3"/>
        <v>0</v>
      </c>
      <c r="G108" s="1633">
        <f t="shared" si="3"/>
        <v>0</v>
      </c>
      <c r="H108" s="1633">
        <f t="shared" si="3"/>
        <v>97242</v>
      </c>
      <c r="I108" s="1633">
        <f t="shared" si="3"/>
        <v>0</v>
      </c>
      <c r="J108" s="1633">
        <f t="shared" si="3"/>
        <v>505</v>
      </c>
      <c r="K108" s="1594">
        <f t="shared" si="3"/>
        <v>0</v>
      </c>
    </row>
    <row r="109" spans="1:12" ht="14.25" thickTop="1" thickBot="1" x14ac:dyDescent="0.25">
      <c r="A109" s="1409" t="s">
        <v>246</v>
      </c>
      <c r="B109" s="1410" t="s">
        <v>566</v>
      </c>
      <c r="C109" s="1641">
        <f t="shared" ref="C109:K109" si="4">SUM(C12,C18,C40,C63,C67,C75,C82,C93,C108,)</f>
        <v>1746500</v>
      </c>
      <c r="D109" s="1641">
        <f t="shared" si="4"/>
        <v>343588</v>
      </c>
      <c r="E109" s="1641">
        <f t="shared" si="4"/>
        <v>525444</v>
      </c>
      <c r="F109" s="1641">
        <f t="shared" si="4"/>
        <v>118430</v>
      </c>
      <c r="G109" s="1641">
        <f t="shared" si="4"/>
        <v>107343</v>
      </c>
      <c r="H109" s="1641">
        <f t="shared" si="4"/>
        <v>97271</v>
      </c>
      <c r="I109" s="1641">
        <f t="shared" si="4"/>
        <v>32193</v>
      </c>
      <c r="J109" s="1641">
        <f t="shared" si="4"/>
        <v>235702</v>
      </c>
      <c r="K109" s="1629">
        <f t="shared" si="4"/>
        <v>29415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881843</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881843</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2821</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2821</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4804</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4804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2725</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3050</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209158</v>
      </c>
      <c r="G152" s="1574"/>
      <c r="H152" s="1575"/>
      <c r="I152" s="1575"/>
      <c r="J152" s="1575"/>
      <c r="K152" s="1575"/>
    </row>
    <row r="153" spans="1:11" ht="12.75" customHeight="1" x14ac:dyDescent="0.2">
      <c r="A153" s="427" t="s">
        <v>1048</v>
      </c>
      <c r="B153" s="478">
        <v>3510</v>
      </c>
      <c r="C153" s="1632"/>
      <c r="D153" s="1573"/>
      <c r="E153" s="1640"/>
      <c r="F153" s="1573">
        <v>113582</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322740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f>1500+13390</f>
        <v>14890</v>
      </c>
      <c r="D168" s="1655">
        <v>50000</v>
      </c>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28290</v>
      </c>
      <c r="D169" s="1658">
        <f t="shared" si="6"/>
        <v>50000</v>
      </c>
      <c r="E169" s="1658">
        <f t="shared" si="6"/>
        <v>0</v>
      </c>
      <c r="F169" s="1658">
        <f t="shared" si="6"/>
        <v>322740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910133</v>
      </c>
      <c r="D170" s="1641">
        <f t="shared" si="7"/>
        <v>50000</v>
      </c>
      <c r="E170" s="1641">
        <f t="shared" si="7"/>
        <v>0</v>
      </c>
      <c r="F170" s="1641">
        <f t="shared" si="7"/>
        <v>322740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103981</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45690</v>
      </c>
      <c r="D193" s="1575"/>
      <c r="E193" s="1640"/>
      <c r="F193" s="1575"/>
      <c r="G193" s="1664"/>
      <c r="H193" s="1575"/>
      <c r="I193" s="1575"/>
      <c r="J193" s="1575"/>
      <c r="K193" s="1575"/>
    </row>
    <row r="194" spans="1:11" ht="12.75" customHeight="1" x14ac:dyDescent="0.2">
      <c r="A194" s="427" t="s">
        <v>1434</v>
      </c>
      <c r="B194" s="429">
        <v>4225</v>
      </c>
      <c r="C194" s="1632">
        <v>28312</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177983</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255559</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255559</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23547</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23547</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7110</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88050</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95160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27655</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5513</v>
      </c>
      <c r="D263" s="1651"/>
      <c r="E263" s="1575"/>
      <c r="F263" s="1651"/>
      <c r="G263" s="1651"/>
      <c r="H263" s="1575"/>
      <c r="I263" s="1575"/>
      <c r="J263" s="1575"/>
      <c r="K263" s="1575"/>
    </row>
    <row r="264" spans="1:11" ht="12.75" customHeight="1" thickTop="1" thickBot="1" x14ac:dyDescent="0.25">
      <c r="A264" s="427" t="s">
        <v>374</v>
      </c>
      <c r="B264" s="429">
        <v>4992</v>
      </c>
      <c r="C264" s="1650">
        <v>22060</v>
      </c>
      <c r="D264" s="1651"/>
      <c r="E264" s="1575"/>
      <c r="F264" s="1651"/>
      <c r="G264" s="1651"/>
      <c r="H264" s="1575"/>
      <c r="I264" s="1575"/>
      <c r="J264" s="1575"/>
      <c r="K264" s="1575"/>
    </row>
    <row r="265" spans="1:11" s="489" customFormat="1" ht="12.75" customHeight="1" thickTop="1" thickBot="1" x14ac:dyDescent="0.25">
      <c r="A265" s="479" t="s">
        <v>75</v>
      </c>
      <c r="B265" s="475">
        <v>4998</v>
      </c>
      <c r="C265" s="1650">
        <v>8526</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616003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616003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3272636</v>
      </c>
      <c r="D268" s="1641">
        <f t="shared" si="12"/>
        <v>393588</v>
      </c>
      <c r="E268" s="1641">
        <f t="shared" si="12"/>
        <v>525444</v>
      </c>
      <c r="F268" s="1641">
        <f t="shared" si="12"/>
        <v>441170</v>
      </c>
      <c r="G268" s="1641">
        <f t="shared" si="12"/>
        <v>107343</v>
      </c>
      <c r="H268" s="1641">
        <f t="shared" si="12"/>
        <v>97271</v>
      </c>
      <c r="I268" s="1641">
        <f t="shared" si="12"/>
        <v>32193</v>
      </c>
      <c r="J268" s="1641">
        <f t="shared" si="12"/>
        <v>235702</v>
      </c>
      <c r="K268" s="1629">
        <f t="shared" si="12"/>
        <v>29415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&amp;L&amp;8&amp;F&amp;CThe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C5" sqref="C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f>381206+634410</f>
        <v>1015616</v>
      </c>
      <c r="D5" s="1573">
        <f>33607+53859</f>
        <v>87466</v>
      </c>
      <c r="E5" s="1573">
        <f>28898+31040</f>
        <v>59938</v>
      </c>
      <c r="F5" s="1573">
        <f>6302+12539</f>
        <v>18841</v>
      </c>
      <c r="G5" s="1573"/>
      <c r="H5" s="1573"/>
      <c r="I5" s="1574"/>
      <c r="J5" s="1574"/>
      <c r="K5" s="1672">
        <f>SUM(C5:J5)</f>
        <v>1181861</v>
      </c>
      <c r="L5" s="1573">
        <v>1405315</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223049</v>
      </c>
      <c r="D8" s="1573">
        <v>12115</v>
      </c>
      <c r="E8" s="1573">
        <v>65050</v>
      </c>
      <c r="F8" s="1573"/>
      <c r="G8" s="1573"/>
      <c r="H8" s="1573"/>
      <c r="I8" s="1574"/>
      <c r="J8" s="1574"/>
      <c r="K8" s="1672">
        <f t="shared" si="0"/>
        <v>300214</v>
      </c>
      <c r="L8" s="1573">
        <v>288435</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136987</v>
      </c>
      <c r="D10" s="1573">
        <v>13542</v>
      </c>
      <c r="E10" s="1573">
        <v>24259</v>
      </c>
      <c r="F10" s="1573">
        <v>34064</v>
      </c>
      <c r="G10" s="1573"/>
      <c r="H10" s="1573"/>
      <c r="I10" s="1574">
        <v>10751</v>
      </c>
      <c r="J10" s="1574"/>
      <c r="K10" s="1672">
        <f t="shared" si="0"/>
        <v>219603</v>
      </c>
      <c r="L10" s="1573">
        <v>232318</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40670</v>
      </c>
      <c r="D13" s="1573">
        <v>2240</v>
      </c>
      <c r="E13" s="1573"/>
      <c r="F13" s="1573">
        <v>4466</v>
      </c>
      <c r="G13" s="1573"/>
      <c r="H13" s="1573"/>
      <c r="I13" s="1574"/>
      <c r="J13" s="1574"/>
      <c r="K13" s="1672">
        <f t="shared" si="0"/>
        <v>47376</v>
      </c>
      <c r="L13" s="1573">
        <v>42625</v>
      </c>
    </row>
    <row r="14" spans="1:14" x14ac:dyDescent="0.2">
      <c r="A14" s="1274" t="s">
        <v>957</v>
      </c>
      <c r="B14" s="503">
        <v>1500</v>
      </c>
      <c r="C14" s="1573">
        <v>52757</v>
      </c>
      <c r="D14" s="1573">
        <v>154</v>
      </c>
      <c r="E14" s="1573">
        <v>6525</v>
      </c>
      <c r="F14" s="1573">
        <v>5195</v>
      </c>
      <c r="G14" s="1573"/>
      <c r="H14" s="1573"/>
      <c r="I14" s="1574"/>
      <c r="J14" s="1574"/>
      <c r="K14" s="1672">
        <f t="shared" si="0"/>
        <v>64631</v>
      </c>
      <c r="L14" s="1573">
        <v>82288</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v>487</v>
      </c>
      <c r="E17" s="1574">
        <v>446</v>
      </c>
      <c r="F17" s="1574">
        <v>580</v>
      </c>
      <c r="G17" s="1574"/>
      <c r="H17" s="1574"/>
      <c r="I17" s="1574"/>
      <c r="J17" s="1574"/>
      <c r="K17" s="1672">
        <f t="shared" si="0"/>
        <v>1513</v>
      </c>
      <c r="L17" s="1573">
        <v>39700</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v>2900</v>
      </c>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1469079</v>
      </c>
      <c r="D33" s="1674">
        <f t="shared" ref="D33:L33" si="1">SUM(D5:D32)</f>
        <v>116004</v>
      </c>
      <c r="E33" s="1674">
        <f t="shared" si="1"/>
        <v>156218</v>
      </c>
      <c r="F33" s="1674">
        <f t="shared" si="1"/>
        <v>63146</v>
      </c>
      <c r="G33" s="1674">
        <f t="shared" si="1"/>
        <v>0</v>
      </c>
      <c r="H33" s="1674">
        <f t="shared" si="1"/>
        <v>0</v>
      </c>
      <c r="I33" s="1674">
        <f t="shared" si="1"/>
        <v>10751</v>
      </c>
      <c r="J33" s="1674">
        <f t="shared" si="1"/>
        <v>0</v>
      </c>
      <c r="K33" s="1674">
        <f t="shared" si="1"/>
        <v>1815198</v>
      </c>
      <c r="L33" s="1674">
        <f t="shared" si="1"/>
        <v>2093581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v>34463</v>
      </c>
    </row>
    <row r="38" spans="1:14" x14ac:dyDescent="0.2">
      <c r="A38" s="1274" t="s">
        <v>196</v>
      </c>
      <c r="B38" s="503">
        <v>2130</v>
      </c>
      <c r="C38" s="1573">
        <v>36234</v>
      </c>
      <c r="D38" s="1573">
        <v>437</v>
      </c>
      <c r="E38" s="1573">
        <v>1128</v>
      </c>
      <c r="F38" s="1573">
        <v>1114</v>
      </c>
      <c r="G38" s="1573"/>
      <c r="H38" s="1573"/>
      <c r="I38" s="1574"/>
      <c r="J38" s="1574"/>
      <c r="K38" s="1672">
        <f t="shared" si="2"/>
        <v>38913</v>
      </c>
      <c r="L38" s="1573">
        <v>32700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37736</v>
      </c>
      <c r="D40" s="1573">
        <v>4952</v>
      </c>
      <c r="E40" s="1573"/>
      <c r="F40" s="1573"/>
      <c r="G40" s="1573"/>
      <c r="H40" s="1573"/>
      <c r="I40" s="1574"/>
      <c r="J40" s="1574"/>
      <c r="K40" s="1672">
        <f t="shared" si="2"/>
        <v>42688</v>
      </c>
      <c r="L40" s="1573">
        <v>37489</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73970</v>
      </c>
      <c r="D42" s="1674">
        <f t="shared" ref="D42:L42" si="3">SUM(D36:D41)</f>
        <v>5389</v>
      </c>
      <c r="E42" s="1674">
        <f t="shared" si="3"/>
        <v>1128</v>
      </c>
      <c r="F42" s="1674">
        <f t="shared" si="3"/>
        <v>1114</v>
      </c>
      <c r="G42" s="1674">
        <f t="shared" si="3"/>
        <v>0</v>
      </c>
      <c r="H42" s="1674">
        <f t="shared" si="3"/>
        <v>0</v>
      </c>
      <c r="I42" s="1674">
        <f t="shared" si="3"/>
        <v>0</v>
      </c>
      <c r="J42" s="1674">
        <f t="shared" si="3"/>
        <v>0</v>
      </c>
      <c r="K42" s="1674">
        <f t="shared" si="3"/>
        <v>81601</v>
      </c>
      <c r="L42" s="1674">
        <f t="shared" si="3"/>
        <v>104652</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22449</v>
      </c>
      <c r="D44" s="1586">
        <v>1569</v>
      </c>
      <c r="E44" s="1586">
        <v>11925</v>
      </c>
      <c r="F44" s="1586">
        <v>25407</v>
      </c>
      <c r="G44" s="1586"/>
      <c r="H44" s="1586"/>
      <c r="I44" s="1574"/>
      <c r="J44" s="1574"/>
      <c r="K44" s="1678">
        <f>SUM(C44:J44)</f>
        <v>61350</v>
      </c>
      <c r="L44" s="1586">
        <v>20000</v>
      </c>
    </row>
    <row r="45" spans="1:14" x14ac:dyDescent="0.2">
      <c r="A45" s="1274" t="s">
        <v>810</v>
      </c>
      <c r="B45" s="503">
        <v>2220</v>
      </c>
      <c r="C45" s="1573"/>
      <c r="D45" s="1573"/>
      <c r="E45" s="1573"/>
      <c r="F45" s="1573">
        <v>731</v>
      </c>
      <c r="G45" s="1573"/>
      <c r="H45" s="1573"/>
      <c r="I45" s="1574"/>
      <c r="J45" s="1574"/>
      <c r="K45" s="1678">
        <f>SUM(C45:J45)</f>
        <v>731</v>
      </c>
      <c r="L45" s="1573">
        <v>38850</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22449</v>
      </c>
      <c r="D47" s="1674">
        <f t="shared" ref="D47:K47" si="4">SUM(D44:D46)</f>
        <v>1569</v>
      </c>
      <c r="E47" s="1674">
        <f t="shared" si="4"/>
        <v>11925</v>
      </c>
      <c r="F47" s="1674">
        <f t="shared" si="4"/>
        <v>26138</v>
      </c>
      <c r="G47" s="1674">
        <f t="shared" si="4"/>
        <v>0</v>
      </c>
      <c r="H47" s="1674">
        <f t="shared" si="4"/>
        <v>0</v>
      </c>
      <c r="I47" s="1674">
        <f t="shared" si="4"/>
        <v>0</v>
      </c>
      <c r="J47" s="1674">
        <f t="shared" si="4"/>
        <v>0</v>
      </c>
      <c r="K47" s="1674">
        <f t="shared" si="4"/>
        <v>62081</v>
      </c>
      <c r="L47" s="1674">
        <f>SUM(L44:L46)</f>
        <v>58850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v>4755</v>
      </c>
      <c r="E49" s="1586">
        <v>22197</v>
      </c>
      <c r="F49" s="1586">
        <v>1454</v>
      </c>
      <c r="G49" s="1586"/>
      <c r="H49" s="1586">
        <v>4333</v>
      </c>
      <c r="I49" s="1574"/>
      <c r="J49" s="1574"/>
      <c r="K49" s="1678">
        <f>SUM(C49:J49)</f>
        <v>32739</v>
      </c>
      <c r="L49" s="1586">
        <v>37645</v>
      </c>
    </row>
    <row r="50" spans="1:14" x14ac:dyDescent="0.2">
      <c r="A50" s="1274" t="s">
        <v>813</v>
      </c>
      <c r="B50" s="503">
        <v>2320</v>
      </c>
      <c r="C50" s="1573">
        <v>150393</v>
      </c>
      <c r="D50" s="1573">
        <v>24646</v>
      </c>
      <c r="E50" s="1573">
        <v>15911</v>
      </c>
      <c r="F50" s="1573">
        <v>928</v>
      </c>
      <c r="G50" s="1573"/>
      <c r="H50" s="1573">
        <v>985</v>
      </c>
      <c r="I50" s="1574"/>
      <c r="J50" s="1574"/>
      <c r="K50" s="1678">
        <f>SUM(C50:J50)</f>
        <v>192863</v>
      </c>
      <c r="L50" s="1573">
        <v>168568</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150393</v>
      </c>
      <c r="D53" s="1674">
        <f t="shared" ref="D53:L53" si="5">SUM(D49:D52)</f>
        <v>29401</v>
      </c>
      <c r="E53" s="1674">
        <f t="shared" si="5"/>
        <v>38108</v>
      </c>
      <c r="F53" s="1674">
        <f t="shared" si="5"/>
        <v>2382</v>
      </c>
      <c r="G53" s="1674">
        <f t="shared" si="5"/>
        <v>0</v>
      </c>
      <c r="H53" s="1674">
        <f t="shared" si="5"/>
        <v>5318</v>
      </c>
      <c r="I53" s="1674">
        <f t="shared" si="5"/>
        <v>0</v>
      </c>
      <c r="J53" s="1674">
        <f t="shared" si="5"/>
        <v>0</v>
      </c>
      <c r="K53" s="1674">
        <f t="shared" si="5"/>
        <v>225602</v>
      </c>
      <c r="L53" s="1674">
        <f t="shared" si="5"/>
        <v>206213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229489</v>
      </c>
      <c r="D55" s="1586">
        <v>15359</v>
      </c>
      <c r="E55" s="1586">
        <v>226</v>
      </c>
      <c r="F55" s="1586">
        <v>1537</v>
      </c>
      <c r="G55" s="1586"/>
      <c r="H55" s="1586">
        <v>1082</v>
      </c>
      <c r="I55" s="1574"/>
      <c r="J55" s="1574"/>
      <c r="K55" s="1678">
        <f>SUM(C55:J55)</f>
        <v>247693</v>
      </c>
      <c r="L55" s="1586">
        <v>210160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229489</v>
      </c>
      <c r="D57" s="1679">
        <f t="shared" ref="D57:K57" si="6">SUM(D55:D56)</f>
        <v>15359</v>
      </c>
      <c r="E57" s="1679">
        <f t="shared" si="6"/>
        <v>226</v>
      </c>
      <c r="F57" s="1679">
        <f t="shared" si="6"/>
        <v>1537</v>
      </c>
      <c r="G57" s="1679">
        <f t="shared" si="6"/>
        <v>0</v>
      </c>
      <c r="H57" s="1679">
        <f t="shared" si="6"/>
        <v>1082</v>
      </c>
      <c r="I57" s="1679">
        <f t="shared" si="6"/>
        <v>0</v>
      </c>
      <c r="J57" s="1679">
        <f t="shared" si="6"/>
        <v>0</v>
      </c>
      <c r="K57" s="1679">
        <f t="shared" si="6"/>
        <v>247693</v>
      </c>
      <c r="L57" s="1674">
        <f>SUM(L55:L56)</f>
        <v>210160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36187</v>
      </c>
      <c r="D60" s="1573"/>
      <c r="E60" s="1573"/>
      <c r="F60" s="1573"/>
      <c r="G60" s="1573"/>
      <c r="H60" s="1573"/>
      <c r="I60" s="1574"/>
      <c r="J60" s="1574"/>
      <c r="K60" s="1678">
        <f t="shared" si="7"/>
        <v>36187</v>
      </c>
      <c r="L60" s="1573">
        <v>28100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62006</v>
      </c>
      <c r="D63" s="1573">
        <v>6792</v>
      </c>
      <c r="E63" s="1573">
        <v>511</v>
      </c>
      <c r="F63" s="1573">
        <v>81802</v>
      </c>
      <c r="G63" s="1573"/>
      <c r="H63" s="1573"/>
      <c r="I63" s="1574"/>
      <c r="J63" s="1574"/>
      <c r="K63" s="1678">
        <f t="shared" si="7"/>
        <v>151111</v>
      </c>
      <c r="L63" s="1573">
        <v>212825</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98193</v>
      </c>
      <c r="D65" s="1674">
        <f t="shared" ref="D65:L65" si="8">SUM(D59:D64)</f>
        <v>6792</v>
      </c>
      <c r="E65" s="1674">
        <f t="shared" si="8"/>
        <v>511</v>
      </c>
      <c r="F65" s="1674">
        <f t="shared" si="8"/>
        <v>81802</v>
      </c>
      <c r="G65" s="1674">
        <f t="shared" si="8"/>
        <v>0</v>
      </c>
      <c r="H65" s="1674">
        <f t="shared" si="8"/>
        <v>0</v>
      </c>
      <c r="I65" s="1674">
        <f t="shared" si="8"/>
        <v>0</v>
      </c>
      <c r="J65" s="1674">
        <f t="shared" si="8"/>
        <v>0</v>
      </c>
      <c r="K65" s="1674">
        <f t="shared" si="8"/>
        <v>187298</v>
      </c>
      <c r="L65" s="1674">
        <f t="shared" si="8"/>
        <v>240925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574494</v>
      </c>
      <c r="D74" s="1681">
        <f t="shared" ref="D74:K74" si="10">SUM(D42,D47,D53,D57,D65,D72,D73)</f>
        <v>58510</v>
      </c>
      <c r="E74" s="1681">
        <f t="shared" si="10"/>
        <v>51898</v>
      </c>
      <c r="F74" s="1681">
        <f t="shared" si="10"/>
        <v>112973</v>
      </c>
      <c r="G74" s="1681">
        <f t="shared" si="10"/>
        <v>0</v>
      </c>
      <c r="H74" s="1681">
        <f t="shared" si="10"/>
        <v>6400</v>
      </c>
      <c r="I74" s="1681">
        <f t="shared" si="10"/>
        <v>0</v>
      </c>
      <c r="J74" s="1681">
        <f t="shared" si="10"/>
        <v>0</v>
      </c>
      <c r="K74" s="1681">
        <f t="shared" si="10"/>
        <v>804275</v>
      </c>
      <c r="L74" s="1681">
        <f>SUM(L42,L47,L53,L57,L65,L72,L73)</f>
        <v>820800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270922</v>
      </c>
      <c r="I79" s="1582"/>
      <c r="J79" s="1582"/>
      <c r="K79" s="1672">
        <f t="shared" si="11"/>
        <v>270922</v>
      </c>
      <c r="L79" s="1573">
        <v>228000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8146</v>
      </c>
      <c r="I81" s="1582"/>
      <c r="J81" s="1582"/>
      <c r="K81" s="1672">
        <f t="shared" si="11"/>
        <v>8146</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279068</v>
      </c>
      <c r="I84" s="1582"/>
      <c r="J84" s="1582"/>
      <c r="K84" s="1674">
        <f>SUM(K78:K83)</f>
        <v>279068</v>
      </c>
      <c r="L84" s="1674">
        <f>SUM(L78:L83)</f>
        <v>228000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279068</v>
      </c>
      <c r="I102" s="1582"/>
      <c r="J102" s="1582"/>
      <c r="K102" s="1681">
        <f>SUM(K84,K92,K100,K101)</f>
        <v>279068</v>
      </c>
      <c r="L102" s="1681">
        <f>SUM(L84,L92,L100,L101)</f>
        <v>228000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2043573</v>
      </c>
      <c r="D114" s="1674">
        <f t="shared" ref="D114:K114" si="13">SUM(D33,D74,D75,D102,D112,D113)</f>
        <v>174514</v>
      </c>
      <c r="E114" s="1674">
        <f t="shared" si="13"/>
        <v>208116</v>
      </c>
      <c r="F114" s="1674">
        <f t="shared" si="13"/>
        <v>176119</v>
      </c>
      <c r="G114" s="1674">
        <f t="shared" si="13"/>
        <v>0</v>
      </c>
      <c r="H114" s="1674">
        <f>SUM(H33,H74,H75,H102,H112,H113)</f>
        <v>285468</v>
      </c>
      <c r="I114" s="1674">
        <f t="shared" si="13"/>
        <v>10751</v>
      </c>
      <c r="J114" s="1674">
        <f t="shared" si="13"/>
        <v>0</v>
      </c>
      <c r="K114" s="1674">
        <f t="shared" si="13"/>
        <v>2898541</v>
      </c>
      <c r="L114" s="1674">
        <f>SUM(L33,L74,L75,L102,L112,L113)</f>
        <v>3142381</v>
      </c>
    </row>
    <row r="115" spans="1:14" ht="13.5" thickTop="1" x14ac:dyDescent="0.2">
      <c r="A115" s="2261" t="s">
        <v>989</v>
      </c>
      <c r="B115" s="2262"/>
      <c r="C115" s="1675"/>
      <c r="D115" s="1675"/>
      <c r="E115" s="1675"/>
      <c r="F115" s="1675"/>
      <c r="G115" s="1675"/>
      <c r="H115" s="1675"/>
      <c r="I115" s="1675"/>
      <c r="J115" s="1675"/>
      <c r="K115" s="1689">
        <f>'Revenues 9-14'!C268-'Expenditures 15-22'!K114</f>
        <v>374095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v>309560</v>
      </c>
      <c r="H123" s="1573"/>
      <c r="I123" s="1574"/>
      <c r="J123" s="1574"/>
      <c r="K123" s="1674">
        <f>SUM(C123:J123)</f>
        <v>309560</v>
      </c>
      <c r="L123" s="1573"/>
    </row>
    <row r="124" spans="1:14" ht="14.25" thickTop="1" thickBot="1" x14ac:dyDescent="0.25">
      <c r="A124" s="1274" t="s">
        <v>195</v>
      </c>
      <c r="B124" s="503">
        <v>2540</v>
      </c>
      <c r="C124" s="1573">
        <f>161928+636</f>
        <v>162564</v>
      </c>
      <c r="D124" s="1573">
        <v>8230</v>
      </c>
      <c r="E124" s="1573">
        <f>39814+1495+11153</f>
        <v>52462</v>
      </c>
      <c r="F124" s="1573">
        <f>21574+103787</f>
        <v>125361</v>
      </c>
      <c r="G124" s="1573"/>
      <c r="H124" s="1573"/>
      <c r="I124" s="1574"/>
      <c r="J124" s="1574"/>
      <c r="K124" s="1674">
        <f>SUM(C124:J124)</f>
        <v>348617</v>
      </c>
      <c r="L124" s="1573">
        <v>396851</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162564</v>
      </c>
      <c r="D127" s="1674">
        <f t="shared" ref="D127:L127" si="14">SUM(D122:D126)</f>
        <v>8230</v>
      </c>
      <c r="E127" s="1674">
        <f t="shared" si="14"/>
        <v>52462</v>
      </c>
      <c r="F127" s="1674">
        <f t="shared" si="14"/>
        <v>125361</v>
      </c>
      <c r="G127" s="1674">
        <f t="shared" si="14"/>
        <v>309560</v>
      </c>
      <c r="H127" s="1674">
        <f t="shared" si="14"/>
        <v>0</v>
      </c>
      <c r="I127" s="1674">
        <f t="shared" si="14"/>
        <v>0</v>
      </c>
      <c r="J127" s="1674">
        <f t="shared" si="14"/>
        <v>0</v>
      </c>
      <c r="K127" s="1674">
        <f t="shared" si="14"/>
        <v>658177</v>
      </c>
      <c r="L127" s="1674">
        <f t="shared" si="14"/>
        <v>396851</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162564</v>
      </c>
      <c r="D129" s="1681">
        <f t="shared" ref="D129:L129" si="15">SUM(D120,D127,D128)</f>
        <v>8230</v>
      </c>
      <c r="E129" s="1681">
        <f t="shared" si="15"/>
        <v>52462</v>
      </c>
      <c r="F129" s="1681">
        <f t="shared" si="15"/>
        <v>125361</v>
      </c>
      <c r="G129" s="1681">
        <f t="shared" si="15"/>
        <v>309560</v>
      </c>
      <c r="H129" s="1681">
        <f t="shared" si="15"/>
        <v>0</v>
      </c>
      <c r="I129" s="1681">
        <f t="shared" si="15"/>
        <v>0</v>
      </c>
      <c r="J129" s="1681">
        <f t="shared" si="15"/>
        <v>0</v>
      </c>
      <c r="K129" s="1681">
        <f t="shared" si="15"/>
        <v>658177</v>
      </c>
      <c r="L129" s="1681">
        <f t="shared" si="15"/>
        <v>396851</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162564</v>
      </c>
      <c r="D151" s="1674">
        <f t="shared" ref="D151:K151" si="16">SUM(D129,D130,D139,D149,D150)</f>
        <v>8230</v>
      </c>
      <c r="E151" s="1674">
        <f t="shared" si="16"/>
        <v>52462</v>
      </c>
      <c r="F151" s="1674">
        <f t="shared" si="16"/>
        <v>125361</v>
      </c>
      <c r="G151" s="1674">
        <f t="shared" si="16"/>
        <v>309560</v>
      </c>
      <c r="H151" s="1674">
        <f t="shared" si="16"/>
        <v>0</v>
      </c>
      <c r="I151" s="1674">
        <f t="shared" si="16"/>
        <v>0</v>
      </c>
      <c r="J151" s="1674">
        <f t="shared" si="16"/>
        <v>0</v>
      </c>
      <c r="K151" s="1674">
        <f t="shared" si="16"/>
        <v>658177</v>
      </c>
      <c r="L151" s="1674">
        <f>SUM(L129,L130,L139,L149,L150)</f>
        <v>396851</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-264589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21151</v>
      </c>
      <c r="I169" s="1673"/>
      <c r="J169" s="1673"/>
      <c r="K169" s="1672">
        <f>SUM(C169:H169)</f>
        <v>21151</v>
      </c>
      <c r="L169" s="1695">
        <v>22511</v>
      </c>
    </row>
    <row r="170" spans="1:14" ht="33.75" customHeight="1" x14ac:dyDescent="0.2">
      <c r="A170" s="543" t="s">
        <v>1651</v>
      </c>
      <c r="B170" s="545" t="s">
        <v>31</v>
      </c>
      <c r="C170" s="1673"/>
      <c r="D170" s="1673"/>
      <c r="E170" s="1673"/>
      <c r="F170" s="1673"/>
      <c r="G170" s="1673"/>
      <c r="H170" s="1646">
        <v>527600</v>
      </c>
      <c r="I170" s="1673"/>
      <c r="J170" s="1673"/>
      <c r="K170" s="1672">
        <f>SUM(C170:J170)</f>
        <v>527600</v>
      </c>
      <c r="L170" s="1646">
        <v>526600</v>
      </c>
    </row>
    <row r="171" spans="1:14" ht="15.75" customHeight="1" x14ac:dyDescent="0.2">
      <c r="A171" s="507" t="s">
        <v>761</v>
      </c>
      <c r="B171" s="546" t="s">
        <v>84</v>
      </c>
      <c r="C171" s="1673"/>
      <c r="D171" s="1673"/>
      <c r="E171" s="1573"/>
      <c r="F171" s="1673"/>
      <c r="G171" s="1673"/>
      <c r="H171" s="1646"/>
      <c r="I171" s="1582"/>
      <c r="J171" s="1673"/>
      <c r="K171" s="1672">
        <f>SUM(C171:J171)</f>
        <v>0</v>
      </c>
      <c r="L171" s="1646">
        <v>750</v>
      </c>
    </row>
    <row r="172" spans="1:14" ht="12.75" customHeight="1" thickBot="1" x14ac:dyDescent="0.25">
      <c r="A172" s="1380" t="s">
        <v>633</v>
      </c>
      <c r="B172" s="1381" t="s">
        <v>489</v>
      </c>
      <c r="C172" s="1673"/>
      <c r="D172" s="1673"/>
      <c r="E172" s="1681">
        <f>SUM(E168,E169,E170,E171)</f>
        <v>0</v>
      </c>
      <c r="F172" s="1673"/>
      <c r="G172" s="1673"/>
      <c r="H172" s="1681">
        <f>SUM(H168,H169,H170,H171)</f>
        <v>548751</v>
      </c>
      <c r="I172" s="1684"/>
      <c r="J172" s="1673"/>
      <c r="K172" s="1681">
        <f>SUM(K168,K169,K170,K171)</f>
        <v>548751</v>
      </c>
      <c r="L172" s="1681">
        <f>SUM(L168,L169,L170,L171)</f>
        <v>549861</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548751</v>
      </c>
      <c r="I174" s="1684"/>
      <c r="J174" s="1673"/>
      <c r="K174" s="1681">
        <f>SUM(K160,K172,K173)</f>
        <v>548751</v>
      </c>
      <c r="L174" s="1681">
        <f>SUM(L160,L172,L173)</f>
        <v>549861</v>
      </c>
    </row>
    <row r="175" spans="1:14" ht="13.5" thickTop="1" x14ac:dyDescent="0.2">
      <c r="A175" s="2261" t="s">
        <v>989</v>
      </c>
      <c r="B175" s="2262"/>
      <c r="C175" s="1673"/>
      <c r="D175" s="1673"/>
      <c r="E175" s="1673"/>
      <c r="F175" s="1673"/>
      <c r="G175" s="1673"/>
      <c r="H175" s="1675"/>
      <c r="I175" s="1673"/>
      <c r="J175" s="1673"/>
      <c r="K175" s="1689">
        <f>'Revenues 9-14'!E268-'Expenditures 15-22'!K174</f>
        <v>-23307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11204</v>
      </c>
      <c r="D182" s="1573"/>
      <c r="E182" s="1573">
        <f>439019+17752</f>
        <v>456771</v>
      </c>
      <c r="F182" s="1573">
        <f>263+914</f>
        <v>1177</v>
      </c>
      <c r="G182" s="1573"/>
      <c r="H182" s="1573"/>
      <c r="I182" s="1574"/>
      <c r="J182" s="1574"/>
      <c r="K182" s="1672">
        <f>SUM(C182:J182)</f>
        <v>469152</v>
      </c>
      <c r="L182" s="1573">
        <v>427600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11204</v>
      </c>
      <c r="D184" s="1681">
        <f t="shared" ref="D184:J184" si="17">SUM(D180,D182,D183)</f>
        <v>0</v>
      </c>
      <c r="E184" s="1681">
        <f t="shared" si="17"/>
        <v>456771</v>
      </c>
      <c r="F184" s="1681">
        <f t="shared" si="17"/>
        <v>1177</v>
      </c>
      <c r="G184" s="1681">
        <f t="shared" si="17"/>
        <v>0</v>
      </c>
      <c r="H184" s="1681">
        <f t="shared" si="17"/>
        <v>0</v>
      </c>
      <c r="I184" s="1681">
        <f t="shared" si="17"/>
        <v>0</v>
      </c>
      <c r="J184" s="1681">
        <f t="shared" si="17"/>
        <v>0</v>
      </c>
      <c r="K184" s="1681">
        <f>SUM(K180,K182,K183)</f>
        <v>469152</v>
      </c>
      <c r="L184" s="1681">
        <f>SUM(L180, L182:L183)</f>
        <v>427600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11204</v>
      </c>
      <c r="D210" s="1674">
        <f>SUM(D184,D185)</f>
        <v>0</v>
      </c>
      <c r="E210" s="1674">
        <f>SUM(E184,E185,E196)</f>
        <v>456771</v>
      </c>
      <c r="F210" s="1674">
        <f>SUM(F184,F185)</f>
        <v>1177</v>
      </c>
      <c r="G210" s="1674">
        <f>SUM(G184,G185)</f>
        <v>0</v>
      </c>
      <c r="H210" s="1674">
        <f>SUM(H184,H185,H196,H208,H209)</f>
        <v>0</v>
      </c>
      <c r="I210" s="1674">
        <f>SUM(I184,I185)</f>
        <v>0</v>
      </c>
      <c r="J210" s="1674">
        <f>SUM(J184,J185)</f>
        <v>0</v>
      </c>
      <c r="K210" s="1672">
        <f>SUM(K184,K185,K196,K208,K209)</f>
        <v>469152</v>
      </c>
      <c r="L210" s="1674">
        <f>SUM(L184,L185,L196,L208,L209)</f>
        <v>427600</v>
      </c>
    </row>
    <row r="211" spans="1:14" ht="13.5" thickTop="1" x14ac:dyDescent="0.2">
      <c r="A211" s="2261" t="s">
        <v>989</v>
      </c>
      <c r="B211" s="2262"/>
      <c r="C211" s="1675"/>
      <c r="D211" s="1675"/>
      <c r="E211" s="1675"/>
      <c r="F211" s="1675"/>
      <c r="G211" s="1675"/>
      <c r="H211" s="1675"/>
      <c r="I211" s="1673"/>
      <c r="J211" s="1673"/>
      <c r="K211" s="1689">
        <f>'Revenues 9-14'!F268-'Expenditures 15-22'!K210</f>
        <v>-27982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f>10338+9960</f>
        <v>20298</v>
      </c>
      <c r="E215" s="1673"/>
      <c r="F215" s="1673"/>
      <c r="G215" s="1673"/>
      <c r="H215" s="1673"/>
      <c r="I215" s="1673"/>
      <c r="J215" s="1673"/>
      <c r="K215" s="1672">
        <f>D215</f>
        <v>20298</v>
      </c>
      <c r="L215" s="1573">
        <v>34000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23212</v>
      </c>
      <c r="E217" s="1673"/>
      <c r="F217" s="1673"/>
      <c r="G217" s="1673"/>
      <c r="H217" s="1673"/>
      <c r="I217" s="1673"/>
      <c r="J217" s="1673"/>
      <c r="K217" s="1672">
        <f t="shared" si="19"/>
        <v>23212</v>
      </c>
      <c r="L217" s="1573">
        <v>21409</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590</v>
      </c>
      <c r="E222" s="1673"/>
      <c r="F222" s="1673"/>
      <c r="G222" s="1673"/>
      <c r="H222" s="1673"/>
      <c r="I222" s="1673"/>
      <c r="J222" s="1673"/>
      <c r="K222" s="1672">
        <f t="shared" si="19"/>
        <v>590</v>
      </c>
      <c r="L222" s="1573">
        <v>450</v>
      </c>
    </row>
    <row r="223" spans="1:14" x14ac:dyDescent="0.2">
      <c r="A223" s="1274" t="s">
        <v>957</v>
      </c>
      <c r="B223" s="503">
        <v>1500</v>
      </c>
      <c r="C223" s="1673"/>
      <c r="D223" s="1573">
        <v>4450</v>
      </c>
      <c r="E223" s="1673"/>
      <c r="F223" s="1673"/>
      <c r="G223" s="1673"/>
      <c r="H223" s="1673"/>
      <c r="I223" s="1673"/>
      <c r="J223" s="1673"/>
      <c r="K223" s="1672">
        <f t="shared" si="19"/>
        <v>4450</v>
      </c>
      <c r="L223" s="1573">
        <v>2870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48550</v>
      </c>
      <c r="E229" s="1673"/>
      <c r="F229" s="1673"/>
      <c r="G229" s="1673"/>
      <c r="H229" s="1673"/>
      <c r="I229" s="1673"/>
      <c r="J229" s="1673"/>
      <c r="K229" s="1674">
        <f>SUM(K215:K228)</f>
        <v>48550</v>
      </c>
      <c r="L229" s="1674">
        <f>SUM(L215:L228)</f>
        <v>58729</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v>438</v>
      </c>
    </row>
    <row r="234" spans="1:12" x14ac:dyDescent="0.2">
      <c r="A234" s="1274" t="s">
        <v>196</v>
      </c>
      <c r="B234" s="503">
        <v>2130</v>
      </c>
      <c r="C234" s="1673"/>
      <c r="D234" s="1573">
        <v>5956</v>
      </c>
      <c r="E234" s="1673"/>
      <c r="F234" s="1673"/>
      <c r="G234" s="1673"/>
      <c r="H234" s="1673"/>
      <c r="I234" s="1673"/>
      <c r="J234" s="1673"/>
      <c r="K234" s="1672">
        <f t="shared" si="20"/>
        <v>5956</v>
      </c>
      <c r="L234" s="1573">
        <v>7000</v>
      </c>
    </row>
    <row r="235" spans="1:12" x14ac:dyDescent="0.2">
      <c r="A235" s="1274" t="s">
        <v>197</v>
      </c>
      <c r="B235" s="503">
        <v>2140</v>
      </c>
      <c r="C235" s="1673"/>
      <c r="D235" s="1573"/>
      <c r="E235" s="1673"/>
      <c r="F235" s="1673"/>
      <c r="G235" s="1673"/>
      <c r="H235" s="1673"/>
      <c r="I235" s="1673"/>
      <c r="J235" s="1673"/>
      <c r="K235" s="1672">
        <f t="shared" si="20"/>
        <v>0</v>
      </c>
      <c r="L235" s="1573">
        <v>25</v>
      </c>
    </row>
    <row r="236" spans="1:12" x14ac:dyDescent="0.2">
      <c r="A236" s="1274" t="s">
        <v>198</v>
      </c>
      <c r="B236" s="503">
        <v>2150</v>
      </c>
      <c r="C236" s="1673"/>
      <c r="D236" s="1573">
        <v>475</v>
      </c>
      <c r="E236" s="1673"/>
      <c r="F236" s="1673"/>
      <c r="G236" s="1673"/>
      <c r="H236" s="1673"/>
      <c r="I236" s="1673"/>
      <c r="J236" s="1673"/>
      <c r="K236" s="1672">
        <f t="shared" si="20"/>
        <v>475</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6431</v>
      </c>
      <c r="E238" s="1673"/>
      <c r="F238" s="1673"/>
      <c r="G238" s="1673"/>
      <c r="H238" s="1673"/>
      <c r="I238" s="1673"/>
      <c r="J238" s="1673"/>
      <c r="K238" s="1674">
        <f>SUM(K232:K237)</f>
        <v>6431</v>
      </c>
      <c r="L238" s="1674">
        <f>SUM(L232:L237)</f>
        <v>7463</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1259</v>
      </c>
      <c r="E245" s="1673"/>
      <c r="F245" s="1673"/>
      <c r="G245" s="1673"/>
      <c r="H245" s="1673"/>
      <c r="I245" s="1673"/>
      <c r="J245" s="1673"/>
      <c r="K245" s="1678">
        <f>D245</f>
        <v>1259</v>
      </c>
      <c r="L245" s="1586"/>
    </row>
    <row r="246" spans="1:12" x14ac:dyDescent="0.2">
      <c r="A246" s="1274" t="s">
        <v>813</v>
      </c>
      <c r="B246" s="503">
        <v>2320</v>
      </c>
      <c r="C246" s="1673"/>
      <c r="D246" s="1573">
        <v>13782</v>
      </c>
      <c r="E246" s="1673"/>
      <c r="F246" s="1673"/>
      <c r="G246" s="1673"/>
      <c r="H246" s="1673"/>
      <c r="I246" s="1673"/>
      <c r="J246" s="1673"/>
      <c r="K246" s="1678">
        <f t="shared" ref="K246:K256" si="21">D246</f>
        <v>13782</v>
      </c>
      <c r="L246" s="1573">
        <v>9309</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15041</v>
      </c>
      <c r="E257" s="1673"/>
      <c r="F257" s="1673"/>
      <c r="G257" s="1673"/>
      <c r="H257" s="1673"/>
      <c r="I257" s="1673"/>
      <c r="J257" s="1673"/>
      <c r="K257" s="1674">
        <f>SUM(K245:K256)</f>
        <v>15041</v>
      </c>
      <c r="L257" s="1674">
        <f>SUM(L245:L256)</f>
        <v>9309</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12651</v>
      </c>
      <c r="E259" s="1673"/>
      <c r="F259" s="1673"/>
      <c r="G259" s="1673"/>
      <c r="H259" s="1673"/>
      <c r="I259" s="1673"/>
      <c r="J259" s="1673"/>
      <c r="K259" s="1678">
        <f>D259</f>
        <v>12651</v>
      </c>
      <c r="L259" s="1586">
        <v>7431</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12651</v>
      </c>
      <c r="E261" s="1673"/>
      <c r="F261" s="1673"/>
      <c r="G261" s="1673"/>
      <c r="H261" s="1673"/>
      <c r="I261" s="1673"/>
      <c r="J261" s="1673"/>
      <c r="K261" s="1674">
        <f>SUM(K259:K260)</f>
        <v>12651</v>
      </c>
      <c r="L261" s="1674">
        <f>SUM(L259:L260)</f>
        <v>7431</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27464</v>
      </c>
      <c r="E266" s="1673"/>
      <c r="F266" s="1673"/>
      <c r="G266" s="1673"/>
      <c r="H266" s="1673"/>
      <c r="I266" s="1673"/>
      <c r="J266" s="1673"/>
      <c r="K266" s="1678">
        <f t="shared" si="22"/>
        <v>27464</v>
      </c>
      <c r="L266" s="1573">
        <v>18723</v>
      </c>
    </row>
    <row r="267" spans="1:14" x14ac:dyDescent="0.2">
      <c r="A267" s="1274" t="s">
        <v>947</v>
      </c>
      <c r="B267" s="503">
        <v>2550</v>
      </c>
      <c r="C267" s="1673"/>
      <c r="D267" s="1573">
        <v>3003</v>
      </c>
      <c r="E267" s="1673"/>
      <c r="F267" s="1673"/>
      <c r="G267" s="1673"/>
      <c r="H267" s="1673"/>
      <c r="I267" s="1673"/>
      <c r="J267" s="1673"/>
      <c r="K267" s="1678">
        <f t="shared" si="22"/>
        <v>3003</v>
      </c>
      <c r="L267" s="1573">
        <v>2295</v>
      </c>
    </row>
    <row r="268" spans="1:14" x14ac:dyDescent="0.2">
      <c r="A268" s="1274" t="s">
        <v>100</v>
      </c>
      <c r="B268" s="503">
        <v>2560</v>
      </c>
      <c r="C268" s="1673"/>
      <c r="D268" s="1573">
        <v>9833</v>
      </c>
      <c r="E268" s="1673"/>
      <c r="F268" s="1673"/>
      <c r="G268" s="1673"/>
      <c r="H268" s="1673"/>
      <c r="I268" s="1673"/>
      <c r="J268" s="1673"/>
      <c r="K268" s="1678">
        <f t="shared" si="22"/>
        <v>9833</v>
      </c>
      <c r="L268" s="1573">
        <v>20000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40300</v>
      </c>
      <c r="E270" s="1673"/>
      <c r="F270" s="1673"/>
      <c r="G270" s="1673"/>
      <c r="H270" s="1673"/>
      <c r="I270" s="1673"/>
      <c r="J270" s="1673"/>
      <c r="K270" s="1674">
        <f>SUM(K263:K269)</f>
        <v>40300</v>
      </c>
      <c r="L270" s="1674">
        <f>SUM(L263:L269)</f>
        <v>41018</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74423</v>
      </c>
      <c r="E279" s="1673"/>
      <c r="F279" s="1673"/>
      <c r="G279" s="1673"/>
      <c r="H279" s="1673"/>
      <c r="I279" s="1673"/>
      <c r="J279" s="1673"/>
      <c r="K279" s="1681">
        <f>SUM(K238,K243,K257,K261,K270,K277,K278)</f>
        <v>74423</v>
      </c>
      <c r="L279" s="1681">
        <f>SUM(L238,L243,L257,L261,L270,L277,L278)</f>
        <v>65221</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122973</v>
      </c>
      <c r="E295" s="1673"/>
      <c r="F295" s="1673"/>
      <c r="G295" s="1673"/>
      <c r="H295" s="1674">
        <f>H293</f>
        <v>0</v>
      </c>
      <c r="I295" s="1673"/>
      <c r="J295" s="1673"/>
      <c r="K295" s="1674">
        <f>SUM(K229,K279,K280,K285,K293,K294)</f>
        <v>122973</v>
      </c>
      <c r="L295" s="1674">
        <f>SUM(L229,L279,L280,L285,L293,L294)</f>
        <v>123950</v>
      </c>
    </row>
    <row r="296" spans="1:14" ht="13.5" thickTop="1" x14ac:dyDescent="0.2">
      <c r="A296" s="2261" t="s">
        <v>989</v>
      </c>
      <c r="B296" s="2262"/>
      <c r="C296" s="1673"/>
      <c r="D296" s="1675"/>
      <c r="E296" s="1673"/>
      <c r="F296" s="1673"/>
      <c r="G296" s="1673"/>
      <c r="H296" s="1707"/>
      <c r="I296" s="1673"/>
      <c r="J296" s="1673"/>
      <c r="K296" s="1689">
        <f>'Revenues 9-14'!G268-'Expenditures 15-22'!K295</f>
        <v>-15630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2340</v>
      </c>
      <c r="F301" s="1573">
        <v>17844</v>
      </c>
      <c r="G301" s="1573">
        <v>10113</v>
      </c>
      <c r="H301" s="1573"/>
      <c r="I301" s="1574"/>
      <c r="J301" s="1574"/>
      <c r="K301" s="1672">
        <f>SUM(C301:J301)</f>
        <v>30297</v>
      </c>
      <c r="L301" s="1574">
        <v>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2340</v>
      </c>
      <c r="F303" s="1681">
        <f t="shared" si="23"/>
        <v>17844</v>
      </c>
      <c r="G303" s="1681">
        <f t="shared" si="23"/>
        <v>10113</v>
      </c>
      <c r="H303" s="1681">
        <f t="shared" si="23"/>
        <v>0</v>
      </c>
      <c r="I303" s="1681">
        <f t="shared" si="23"/>
        <v>0</v>
      </c>
      <c r="J303" s="1681">
        <f t="shared" si="23"/>
        <v>0</v>
      </c>
      <c r="K303" s="1681">
        <f t="shared" si="23"/>
        <v>30297</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2340</v>
      </c>
      <c r="F312" s="1674">
        <f>SUM(F303)</f>
        <v>17844</v>
      </c>
      <c r="G312" s="1674">
        <f>SUM(G303)</f>
        <v>10113</v>
      </c>
      <c r="H312" s="1674">
        <f>SUM(H303,H310)</f>
        <v>0</v>
      </c>
      <c r="I312" s="1674">
        <f>SUM(I303)</f>
        <v>0</v>
      </c>
      <c r="J312" s="1674">
        <f>SUM(J303)</f>
        <v>0</v>
      </c>
      <c r="K312" s="1674">
        <f>SUM(K303,K310,K311)</f>
        <v>30297</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66974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11949</v>
      </c>
      <c r="F320" s="1574"/>
      <c r="G320" s="1574"/>
      <c r="H320" s="1574"/>
      <c r="I320" s="1574"/>
      <c r="J320" s="1574"/>
      <c r="K320" s="1672">
        <f t="shared" ref="K320:K327" si="24">SUM(C320:J320)</f>
        <v>11949</v>
      </c>
      <c r="L320" s="1574">
        <v>40000</v>
      </c>
      <c r="M320" s="539"/>
      <c r="N320" s="539"/>
    </row>
    <row r="321" spans="1:14" s="548" customFormat="1" x14ac:dyDescent="0.2">
      <c r="A321" s="1289" t="s">
        <v>297</v>
      </c>
      <c r="B321" s="567" t="s">
        <v>281</v>
      </c>
      <c r="C321" s="1574"/>
      <c r="D321" s="1574"/>
      <c r="E321" s="1574">
        <v>1401</v>
      </c>
      <c r="F321" s="1574"/>
      <c r="G321" s="1574"/>
      <c r="H321" s="1574"/>
      <c r="I321" s="1574"/>
      <c r="J321" s="1574"/>
      <c r="K321" s="1672">
        <f t="shared" si="24"/>
        <v>1401</v>
      </c>
      <c r="L321" s="1574"/>
      <c r="M321" s="539"/>
      <c r="N321" s="539"/>
    </row>
    <row r="322" spans="1:14" s="548" customFormat="1" x14ac:dyDescent="0.2">
      <c r="A322" s="1289" t="s">
        <v>236</v>
      </c>
      <c r="B322" s="567" t="s">
        <v>282</v>
      </c>
      <c r="C322" s="1574"/>
      <c r="D322" s="1574"/>
      <c r="E322" s="1574">
        <v>50051</v>
      </c>
      <c r="F322" s="1574"/>
      <c r="G322" s="1574"/>
      <c r="H322" s="1574"/>
      <c r="I322" s="1574"/>
      <c r="J322" s="1574"/>
      <c r="K322" s="1672">
        <f t="shared" si="24"/>
        <v>50051</v>
      </c>
      <c r="L322" s="1574">
        <v>57500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108595</v>
      </c>
      <c r="M324" s="539"/>
      <c r="N324" s="539"/>
    </row>
    <row r="325" spans="1:14" s="548" customFormat="1" ht="22.5" x14ac:dyDescent="0.2">
      <c r="A325" s="1289" t="s">
        <v>1022</v>
      </c>
      <c r="B325" s="568" t="s">
        <v>285</v>
      </c>
      <c r="C325" s="1574"/>
      <c r="D325" s="1574"/>
      <c r="E325" s="1574">
        <v>16456</v>
      </c>
      <c r="F325" s="1574"/>
      <c r="G325" s="1574"/>
      <c r="H325" s="1574"/>
      <c r="I325" s="1574"/>
      <c r="J325" s="1574"/>
      <c r="K325" s="1672">
        <f t="shared" si="24"/>
        <v>16456</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117763</v>
      </c>
      <c r="F327" s="1574"/>
      <c r="G327" s="1574"/>
      <c r="H327" s="1574"/>
      <c r="I327" s="1574"/>
      <c r="J327" s="1574"/>
      <c r="K327" s="1672">
        <f t="shared" si="24"/>
        <v>117763</v>
      </c>
      <c r="L327" s="1574">
        <v>55000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197620</v>
      </c>
      <c r="F330" s="1674">
        <f t="shared" si="25"/>
        <v>0</v>
      </c>
      <c r="G330" s="1674">
        <f t="shared" si="25"/>
        <v>0</v>
      </c>
      <c r="H330" s="1674">
        <f t="shared" si="25"/>
        <v>0</v>
      </c>
      <c r="I330" s="1674">
        <f t="shared" si="25"/>
        <v>0</v>
      </c>
      <c r="J330" s="1674">
        <f t="shared" si="25"/>
        <v>0</v>
      </c>
      <c r="K330" s="1674">
        <f>SUM(K319:K329)</f>
        <v>197620</v>
      </c>
      <c r="L330" s="1674">
        <f>SUM(L319:L329)</f>
        <v>261095</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197620</v>
      </c>
      <c r="F342" s="1674">
        <f>SUM(F330)</f>
        <v>0</v>
      </c>
      <c r="G342" s="1674">
        <f>SUM(G330)</f>
        <v>0</v>
      </c>
      <c r="H342" s="1674">
        <f>SUM(H330,H334,H340)</f>
        <v>0</v>
      </c>
      <c r="I342" s="1674">
        <f>SUM(I330)</f>
        <v>0</v>
      </c>
      <c r="J342" s="1674">
        <f>SUM(J330)</f>
        <v>0</v>
      </c>
      <c r="K342" s="1674">
        <f>SUM(K330,K334,K340)</f>
        <v>197620</v>
      </c>
      <c r="L342" s="1681">
        <f>SUM(L330,L334,L340,L341)</f>
        <v>261095</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38082</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8302</v>
      </c>
      <c r="F348" s="1573">
        <v>5096</v>
      </c>
      <c r="G348" s="1573">
        <v>4580</v>
      </c>
      <c r="H348" s="1573"/>
      <c r="I348" s="1574"/>
      <c r="J348" s="1574"/>
      <c r="K348" s="1672">
        <f>SUM(C348:J348)</f>
        <v>17978</v>
      </c>
      <c r="L348" s="1573">
        <v>2000</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8302</v>
      </c>
      <c r="F350" s="1674">
        <f t="shared" si="26"/>
        <v>5096</v>
      </c>
      <c r="G350" s="1674">
        <f t="shared" si="26"/>
        <v>4580</v>
      </c>
      <c r="H350" s="1674">
        <f t="shared" si="26"/>
        <v>0</v>
      </c>
      <c r="I350" s="1674">
        <f t="shared" si="26"/>
        <v>0</v>
      </c>
      <c r="J350" s="1674">
        <f t="shared" si="26"/>
        <v>0</v>
      </c>
      <c r="K350" s="1674">
        <f t="shared" si="26"/>
        <v>17978</v>
      </c>
      <c r="L350" s="1674">
        <f t="shared" si="26"/>
        <v>2000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8302</v>
      </c>
      <c r="F352" s="1674">
        <f t="shared" si="27"/>
        <v>5096</v>
      </c>
      <c r="G352" s="1674">
        <f t="shared" si="27"/>
        <v>4580</v>
      </c>
      <c r="H352" s="1674">
        <f t="shared" si="27"/>
        <v>0</v>
      </c>
      <c r="I352" s="1674">
        <f t="shared" si="27"/>
        <v>0</v>
      </c>
      <c r="J352" s="1674">
        <f t="shared" si="27"/>
        <v>0</v>
      </c>
      <c r="K352" s="1674">
        <f t="shared" si="27"/>
        <v>17978</v>
      </c>
      <c r="L352" s="1674">
        <f t="shared" si="27"/>
        <v>2000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8302</v>
      </c>
      <c r="F367" s="1674">
        <f t="shared" si="28"/>
        <v>5096</v>
      </c>
      <c r="G367" s="1674">
        <f t="shared" si="28"/>
        <v>4580</v>
      </c>
      <c r="H367" s="1674">
        <f t="shared" si="28"/>
        <v>0</v>
      </c>
      <c r="I367" s="1674">
        <f t="shared" si="28"/>
        <v>0</v>
      </c>
      <c r="J367" s="1674">
        <f t="shared" si="28"/>
        <v>0</v>
      </c>
      <c r="K367" s="1674">
        <f t="shared" si="28"/>
        <v>17978</v>
      </c>
      <c r="L367" s="1674">
        <f t="shared" si="28"/>
        <v>2000</v>
      </c>
    </row>
    <row r="368" spans="1:14" ht="13.5" thickTop="1" x14ac:dyDescent="0.2">
      <c r="A368" s="2261" t="s">
        <v>989</v>
      </c>
      <c r="B368" s="2262"/>
      <c r="C368" s="1694"/>
      <c r="D368" s="1694"/>
      <c r="E368" s="1677"/>
      <c r="F368" s="1677"/>
      <c r="G368" s="1677"/>
      <c r="H368" s="1677"/>
      <c r="I368" s="1677"/>
      <c r="J368" s="1676"/>
      <c r="K368" s="1672">
        <f>'Revenues 9-14'!K268-'Expenditures 15-22'!K367</f>
        <v>11437</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&amp;L&amp;8&amp;F&amp;CThe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4" sqref="E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1217107</v>
      </c>
      <c r="C4" s="1722">
        <v>0</v>
      </c>
      <c r="D4" s="1723">
        <f>B4-C4</f>
        <v>1217107</v>
      </c>
      <c r="E4" s="1722">
        <v>1325435</v>
      </c>
      <c r="F4" s="1723">
        <f>E4-C4</f>
        <v>1325435</v>
      </c>
    </row>
    <row r="5" spans="1:8" ht="13.7" customHeight="1" x14ac:dyDescent="0.2">
      <c r="A5" s="579" t="s">
        <v>865</v>
      </c>
      <c r="B5" s="1724">
        <f>'Revenues 9-14'!D5</f>
        <v>291174</v>
      </c>
      <c r="C5" s="1664">
        <v>0</v>
      </c>
      <c r="D5" s="1725">
        <f t="shared" ref="D5:D18" si="0">B5-C5</f>
        <v>291174</v>
      </c>
      <c r="E5" s="1664">
        <v>317942</v>
      </c>
      <c r="F5" s="1725">
        <f>E5-C5</f>
        <v>317942</v>
      </c>
    </row>
    <row r="6" spans="1:8" ht="13.7" customHeight="1" x14ac:dyDescent="0.2">
      <c r="A6" s="579" t="s">
        <v>408</v>
      </c>
      <c r="B6" s="1724">
        <f>'Revenues 9-14'!E5</f>
        <v>525413</v>
      </c>
      <c r="C6" s="1664">
        <v>0</v>
      </c>
      <c r="D6" s="1725">
        <f t="shared" si="0"/>
        <v>525413</v>
      </c>
      <c r="E6" s="1664">
        <v>564983</v>
      </c>
      <c r="F6" s="1725">
        <f t="shared" ref="F6:F18" si="1">E6-C6</f>
        <v>564983</v>
      </c>
    </row>
    <row r="7" spans="1:8" ht="13.7" customHeight="1" x14ac:dyDescent="0.2">
      <c r="A7" s="579" t="s">
        <v>154</v>
      </c>
      <c r="B7" s="1724">
        <f>'Revenues 9-14'!F5</f>
        <v>116470</v>
      </c>
      <c r="C7" s="1664">
        <v>0</v>
      </c>
      <c r="D7" s="1725">
        <f t="shared" si="0"/>
        <v>116470</v>
      </c>
      <c r="E7" s="1664">
        <v>127177</v>
      </c>
      <c r="F7" s="1725">
        <f t="shared" si="1"/>
        <v>127177</v>
      </c>
    </row>
    <row r="8" spans="1:8" ht="13.7" customHeight="1" x14ac:dyDescent="0.2">
      <c r="A8" s="579" t="s">
        <v>1169</v>
      </c>
      <c r="B8" s="1724">
        <f>'Revenues 9-14'!G5</f>
        <v>46917</v>
      </c>
      <c r="C8" s="1664">
        <v>0</v>
      </c>
      <c r="D8" s="1725">
        <f t="shared" si="0"/>
        <v>46917</v>
      </c>
      <c r="E8" s="1664">
        <v>56508</v>
      </c>
      <c r="F8" s="1725">
        <f t="shared" si="1"/>
        <v>56508</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29118</v>
      </c>
      <c r="C10" s="1664">
        <v>0</v>
      </c>
      <c r="D10" s="1725">
        <f t="shared" si="0"/>
        <v>29118</v>
      </c>
      <c r="E10" s="1664">
        <v>31794</v>
      </c>
      <c r="F10" s="1725">
        <f t="shared" si="1"/>
        <v>31794</v>
      </c>
    </row>
    <row r="11" spans="1:8" x14ac:dyDescent="0.2">
      <c r="A11" s="579" t="s">
        <v>406</v>
      </c>
      <c r="B11" s="1724">
        <f>'Revenues 9-14'!J5</f>
        <v>234583</v>
      </c>
      <c r="C11" s="1664">
        <v>0</v>
      </c>
      <c r="D11" s="1725">
        <f t="shared" si="0"/>
        <v>234583</v>
      </c>
      <c r="E11" s="1664">
        <v>272252</v>
      </c>
      <c r="F11" s="1725">
        <f t="shared" si="1"/>
        <v>272252</v>
      </c>
    </row>
    <row r="12" spans="1:8" ht="13.7" customHeight="1" x14ac:dyDescent="0.2">
      <c r="A12" s="579" t="s">
        <v>156</v>
      </c>
      <c r="B12" s="1724">
        <f>'Revenues 9-14'!K5</f>
        <v>29118</v>
      </c>
      <c r="C12" s="1664">
        <v>0</v>
      </c>
      <c r="D12" s="1725">
        <f t="shared" si="0"/>
        <v>29118</v>
      </c>
      <c r="E12" s="1664">
        <v>31794</v>
      </c>
      <c r="F12" s="1725">
        <f t="shared" si="1"/>
        <v>31794</v>
      </c>
    </row>
    <row r="13" spans="1:8" ht="13.7" customHeight="1" x14ac:dyDescent="0.2">
      <c r="A13" s="579" t="s">
        <v>930</v>
      </c>
      <c r="B13" s="1724">
        <f>SUM('Revenues 9-14'!C6:D6)</f>
        <v>0</v>
      </c>
      <c r="C13" s="1664">
        <v>0</v>
      </c>
      <c r="D13" s="1725">
        <f t="shared" si="0"/>
        <v>0</v>
      </c>
      <c r="E13" s="1664">
        <v>0</v>
      </c>
      <c r="F13" s="1725">
        <f t="shared" si="1"/>
        <v>0</v>
      </c>
    </row>
    <row r="14" spans="1:8" ht="13.7" customHeight="1" x14ac:dyDescent="0.2">
      <c r="A14" s="579" t="s">
        <v>407</v>
      </c>
      <c r="B14" s="1724">
        <f>SUM('Revenues 9-14'!C7:D7,'Revenues 9-14'!F7:H7)</f>
        <v>23293</v>
      </c>
      <c r="C14" s="1664">
        <v>0</v>
      </c>
      <c r="D14" s="1725">
        <f t="shared" si="0"/>
        <v>23293</v>
      </c>
      <c r="E14" s="1664">
        <v>25435</v>
      </c>
      <c r="F14" s="1725">
        <f t="shared" si="1"/>
        <v>25435</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56494</v>
      </c>
      <c r="C16" s="1664">
        <v>0</v>
      </c>
      <c r="D16" s="1725">
        <f t="shared" si="0"/>
        <v>56494</v>
      </c>
      <c r="E16" s="1664">
        <v>77056</v>
      </c>
      <c r="F16" s="1725">
        <f t="shared" si="1"/>
        <v>77056</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3767</v>
      </c>
      <c r="F18" s="1725">
        <f t="shared" si="1"/>
        <v>3767</v>
      </c>
    </row>
    <row r="19" spans="1:6" ht="13.7" customHeight="1" thickBot="1" x14ac:dyDescent="0.25">
      <c r="A19" s="1432" t="s">
        <v>1151</v>
      </c>
      <c r="B19" s="1726">
        <f>SUM(B4:B18)</f>
        <v>2569687</v>
      </c>
      <c r="C19" s="1726">
        <f>SUM(C4:C18)</f>
        <v>0</v>
      </c>
      <c r="D19" s="1726">
        <f>SUM(D4:D18)</f>
        <v>2569687</v>
      </c>
      <c r="E19" s="1726">
        <f>SUM(E4:E18)</f>
        <v>2834143</v>
      </c>
      <c r="F19" s="1726">
        <f>SUM(F4:F18)</f>
        <v>2834143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v>0</v>
      </c>
      <c r="D4" s="1656">
        <v>0</v>
      </c>
      <c r="E4" s="1656">
        <v>0</v>
      </c>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v>0</v>
      </c>
      <c r="D6" s="1664">
        <v>0</v>
      </c>
      <c r="E6" s="1733">
        <v>0</v>
      </c>
      <c r="F6" s="1732">
        <f t="shared" ref="F6:F14" si="0">SUM(C6+D6)-E6</f>
        <v>0</v>
      </c>
    </row>
    <row r="7" spans="1:7" ht="12.75" customHeight="1" thickTop="1" thickBot="1" x14ac:dyDescent="0.25">
      <c r="A7" s="587" t="s">
        <v>6</v>
      </c>
      <c r="B7" s="588"/>
      <c r="C7" s="1733">
        <v>0</v>
      </c>
      <c r="D7" s="1664">
        <v>0</v>
      </c>
      <c r="E7" s="1733">
        <v>0</v>
      </c>
      <c r="F7" s="1732">
        <f t="shared" si="0"/>
        <v>0</v>
      </c>
    </row>
    <row r="8" spans="1:7" ht="12.75" customHeight="1" thickTop="1" thickBot="1" x14ac:dyDescent="0.25">
      <c r="A8" s="587" t="s">
        <v>505</v>
      </c>
      <c r="B8" s="588"/>
      <c r="C8" s="1733">
        <v>0</v>
      </c>
      <c r="D8" s="1664">
        <v>0</v>
      </c>
      <c r="E8" s="1733">
        <v>0</v>
      </c>
      <c r="F8" s="1732">
        <f t="shared" si="0"/>
        <v>0</v>
      </c>
    </row>
    <row r="9" spans="1:7" ht="12.75" customHeight="1" thickTop="1" thickBot="1" x14ac:dyDescent="0.25">
      <c r="A9" s="587" t="s">
        <v>506</v>
      </c>
      <c r="B9" s="588"/>
      <c r="C9" s="1733">
        <v>0</v>
      </c>
      <c r="D9" s="1664">
        <v>0</v>
      </c>
      <c r="E9" s="1733">
        <v>0</v>
      </c>
      <c r="F9" s="1732">
        <f t="shared" si="0"/>
        <v>0</v>
      </c>
    </row>
    <row r="10" spans="1:7" ht="12.75" customHeight="1" thickTop="1" thickBot="1" x14ac:dyDescent="0.25">
      <c r="A10" s="587" t="s">
        <v>507</v>
      </c>
      <c r="B10" s="588"/>
      <c r="C10" s="1733">
        <v>0</v>
      </c>
      <c r="D10" s="1664">
        <v>0</v>
      </c>
      <c r="E10" s="1733">
        <v>0</v>
      </c>
      <c r="F10" s="1732">
        <f t="shared" si="0"/>
        <v>0</v>
      </c>
    </row>
    <row r="11" spans="1:7" ht="12.75" customHeight="1" thickTop="1" thickBot="1" x14ac:dyDescent="0.25">
      <c r="A11" s="587" t="s">
        <v>338</v>
      </c>
      <c r="B11" s="588"/>
      <c r="C11" s="1733">
        <v>0</v>
      </c>
      <c r="D11" s="1664">
        <v>0</v>
      </c>
      <c r="E11" s="1733">
        <v>0</v>
      </c>
      <c r="F11" s="1732">
        <f t="shared" si="0"/>
        <v>0</v>
      </c>
    </row>
    <row r="12" spans="1:7" ht="12.75" customHeight="1" thickTop="1" thickBot="1" x14ac:dyDescent="0.25">
      <c r="A12" s="587" t="s">
        <v>1147</v>
      </c>
      <c r="B12" s="588"/>
      <c r="C12" s="1733">
        <v>0</v>
      </c>
      <c r="D12" s="1664">
        <v>0</v>
      </c>
      <c r="E12" s="1733">
        <v>0</v>
      </c>
      <c r="F12" s="1732">
        <f t="shared" si="0"/>
        <v>0</v>
      </c>
    </row>
    <row r="13" spans="1:7" ht="12.75" customHeight="1" thickTop="1" thickBot="1" x14ac:dyDescent="0.25">
      <c r="A13" s="587" t="s">
        <v>385</v>
      </c>
      <c r="B13" s="588"/>
      <c r="C13" s="1733">
        <v>0</v>
      </c>
      <c r="D13" s="1664">
        <v>0</v>
      </c>
      <c r="E13" s="1733">
        <v>0</v>
      </c>
      <c r="F13" s="1732">
        <f t="shared" si="0"/>
        <v>0</v>
      </c>
    </row>
    <row r="14" spans="1:7" ht="12.75" customHeight="1" thickTop="1" thickBot="1" x14ac:dyDescent="0.25">
      <c r="A14" s="587" t="s">
        <v>445</v>
      </c>
      <c r="B14" s="588"/>
      <c r="C14" s="1733">
        <v>0</v>
      </c>
      <c r="D14" s="1664">
        <v>0</v>
      </c>
      <c r="E14" s="1733">
        <v>0</v>
      </c>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v>0</v>
      </c>
      <c r="D17" s="1664">
        <v>0</v>
      </c>
      <c r="E17" s="1733">
        <v>0</v>
      </c>
      <c r="F17" s="1732">
        <f>SUM(C17+D17)-E17</f>
        <v>0</v>
      </c>
    </row>
    <row r="18" spans="1:11" ht="12.75" customHeight="1" thickTop="1" thickBot="1" x14ac:dyDescent="0.25">
      <c r="A18" s="2296" t="s">
        <v>6</v>
      </c>
      <c r="B18" s="2297"/>
      <c r="C18" s="1733">
        <v>0</v>
      </c>
      <c r="D18" s="1664">
        <v>0</v>
      </c>
      <c r="E18" s="1733">
        <v>0</v>
      </c>
      <c r="F18" s="1732">
        <f>SUM(C18+D18)-E18</f>
        <v>0</v>
      </c>
    </row>
    <row r="19" spans="1:11" ht="12.75" customHeight="1" thickTop="1" thickBot="1" x14ac:dyDescent="0.25">
      <c r="A19" s="2296" t="s">
        <v>385</v>
      </c>
      <c r="B19" s="2297"/>
      <c r="C19" s="1733">
        <v>0</v>
      </c>
      <c r="D19" s="1664">
        <v>0</v>
      </c>
      <c r="E19" s="1733">
        <v>0</v>
      </c>
      <c r="F19" s="1732">
        <f>SUM(C19+D19)-E19</f>
        <v>0</v>
      </c>
    </row>
    <row r="20" spans="1:11" ht="12.75" customHeight="1" thickTop="1" thickBot="1" x14ac:dyDescent="0.25">
      <c r="A20" s="2296" t="s">
        <v>445</v>
      </c>
      <c r="B20" s="2297"/>
      <c r="C20" s="1733">
        <v>0</v>
      </c>
      <c r="D20" s="1664">
        <v>0</v>
      </c>
      <c r="E20" s="1733">
        <v>0</v>
      </c>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v>0</v>
      </c>
      <c r="D23" s="1656">
        <v>0</v>
      </c>
      <c r="E23" s="1656">
        <v>0</v>
      </c>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v>0</v>
      </c>
      <c r="D25" s="1656">
        <v>0</v>
      </c>
      <c r="E25" s="1656">
        <v>0</v>
      </c>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v>0</v>
      </c>
      <c r="D27" s="1664">
        <v>0</v>
      </c>
      <c r="E27" s="1664">
        <v>0</v>
      </c>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43132</v>
      </c>
      <c r="C31" s="1734">
        <v>986700</v>
      </c>
      <c r="D31" s="1735">
        <v>1</v>
      </c>
      <c r="E31" s="1734">
        <v>859600</v>
      </c>
      <c r="F31" s="1734"/>
      <c r="G31" s="1734"/>
      <c r="H31" s="1734">
        <v>527600</v>
      </c>
      <c r="I31" s="1736">
        <f>((E31+F31)-H31)+G31</f>
        <v>332000</v>
      </c>
      <c r="J31" s="1734">
        <f>332000-57523</f>
        <v>274477</v>
      </c>
      <c r="K31" s="596"/>
    </row>
    <row r="32" spans="1:11" ht="12" customHeight="1" x14ac:dyDescent="0.2">
      <c r="A32" s="594" t="s">
        <v>2072</v>
      </c>
      <c r="B32" s="595">
        <v>43894</v>
      </c>
      <c r="C32" s="1734">
        <v>1821600</v>
      </c>
      <c r="D32" s="1735">
        <v>1</v>
      </c>
      <c r="E32" s="1734"/>
      <c r="F32" s="1734">
        <v>1821600</v>
      </c>
      <c r="G32" s="1734"/>
      <c r="H32" s="1734"/>
      <c r="I32" s="1736">
        <f>((E32+F32)-H32)+G32</f>
        <v>1821600</v>
      </c>
      <c r="J32" s="1734">
        <v>1821600</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2808300</v>
      </c>
      <c r="D49" s="1742"/>
      <c r="E49" s="1736">
        <f t="shared" ref="E49:J49" si="2">SUM(E31:E48)</f>
        <v>859600</v>
      </c>
      <c r="F49" s="1736">
        <f t="shared" si="2"/>
        <v>1821600</v>
      </c>
      <c r="G49" s="1736">
        <f t="shared" si="2"/>
        <v>0</v>
      </c>
      <c r="H49" s="1736">
        <f t="shared" si="2"/>
        <v>527600</v>
      </c>
      <c r="I49" s="1736">
        <f t="shared" si="2"/>
        <v>2153600</v>
      </c>
      <c r="J49" s="1736">
        <f t="shared" si="2"/>
        <v>2096077</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v>0</v>
      </c>
      <c r="H3" s="1744">
        <v>0</v>
      </c>
      <c r="I3" s="1744">
        <v>0</v>
      </c>
      <c r="J3" s="1745">
        <v>106923</v>
      </c>
      <c r="K3" s="1745">
        <v>0</v>
      </c>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23293</v>
      </c>
      <c r="I5" s="1750">
        <v>0</v>
      </c>
      <c r="J5" s="1751"/>
      <c r="K5" s="1751"/>
    </row>
    <row r="6" spans="1:11" x14ac:dyDescent="0.2">
      <c r="A6" s="625" t="s">
        <v>715</v>
      </c>
      <c r="B6" s="626"/>
      <c r="C6" s="626"/>
      <c r="D6" s="626"/>
      <c r="E6" s="627"/>
      <c r="F6" s="628" t="s">
        <v>844</v>
      </c>
      <c r="G6" s="1744">
        <v>0</v>
      </c>
      <c r="H6" s="1744">
        <v>0</v>
      </c>
      <c r="I6" s="1744">
        <v>0</v>
      </c>
      <c r="J6" s="1745">
        <v>29</v>
      </c>
      <c r="K6" s="1745">
        <v>0</v>
      </c>
    </row>
    <row r="7" spans="1:11" x14ac:dyDescent="0.2">
      <c r="A7" s="629" t="s">
        <v>244</v>
      </c>
      <c r="B7" s="630"/>
      <c r="C7" s="630"/>
      <c r="D7" s="630"/>
      <c r="E7" s="631"/>
      <c r="F7" s="622" t="s">
        <v>845</v>
      </c>
      <c r="G7" s="1746"/>
      <c r="H7" s="1746"/>
      <c r="I7" s="1746"/>
      <c r="J7" s="1752"/>
      <c r="K7" s="1745">
        <v>0</v>
      </c>
    </row>
    <row r="8" spans="1:11" x14ac:dyDescent="0.2">
      <c r="A8" s="629" t="s">
        <v>342</v>
      </c>
      <c r="B8" s="630"/>
      <c r="C8" s="630"/>
      <c r="D8" s="630"/>
      <c r="E8" s="631"/>
      <c r="F8" s="622" t="s">
        <v>846</v>
      </c>
      <c r="G8" s="1753"/>
      <c r="H8" s="1753"/>
      <c r="I8" s="1753"/>
      <c r="J8" s="1745">
        <v>97242</v>
      </c>
      <c r="K8" s="1748"/>
    </row>
    <row r="9" spans="1:11" x14ac:dyDescent="0.2">
      <c r="A9" s="629" t="s">
        <v>137</v>
      </c>
      <c r="B9" s="630"/>
      <c r="C9" s="630"/>
      <c r="D9" s="630"/>
      <c r="E9" s="631"/>
      <c r="F9" s="628" t="s">
        <v>848</v>
      </c>
      <c r="G9" s="1753"/>
      <c r="H9" s="1749"/>
      <c r="I9" s="1749"/>
      <c r="J9" s="1752"/>
      <c r="K9" s="1745">
        <v>3050</v>
      </c>
    </row>
    <row r="10" spans="1:11" x14ac:dyDescent="0.2">
      <c r="A10" s="2322" t="s">
        <v>1790</v>
      </c>
      <c r="B10" s="2323"/>
      <c r="C10" s="2323"/>
      <c r="D10" s="2323"/>
      <c r="E10" s="2325"/>
      <c r="F10" s="633" t="s">
        <v>857</v>
      </c>
      <c r="G10" s="1753"/>
      <c r="H10" s="1754">
        <v>0</v>
      </c>
      <c r="I10" s="1744">
        <v>0</v>
      </c>
      <c r="J10" s="1745">
        <v>0</v>
      </c>
      <c r="K10" s="1745">
        <v>0</v>
      </c>
    </row>
    <row r="11" spans="1:11" x14ac:dyDescent="0.2">
      <c r="A11" s="2322" t="s">
        <v>159</v>
      </c>
      <c r="B11" s="2323"/>
      <c r="C11" s="2323"/>
      <c r="D11" s="2323"/>
      <c r="E11" s="2324"/>
      <c r="F11" s="622" t="s">
        <v>847</v>
      </c>
      <c r="G11" s="1749"/>
      <c r="H11" s="1744">
        <v>0</v>
      </c>
      <c r="I11" s="1744">
        <v>0</v>
      </c>
      <c r="J11" s="1745">
        <v>0</v>
      </c>
      <c r="K11" s="1751"/>
    </row>
    <row r="12" spans="1:11" ht="13.5" thickBot="1" x14ac:dyDescent="0.25">
      <c r="A12" s="2349" t="s">
        <v>899</v>
      </c>
      <c r="B12" s="2350"/>
      <c r="C12" s="2350"/>
      <c r="D12" s="2350"/>
      <c r="E12" s="2351"/>
      <c r="F12" s="1433"/>
      <c r="G12" s="1755">
        <f>SUM(G5:G11)</f>
        <v>0</v>
      </c>
      <c r="H12" s="1755">
        <f>SUM(H5:H11)</f>
        <v>23293</v>
      </c>
      <c r="I12" s="1755">
        <f>SUM(I5:I11)</f>
        <v>0</v>
      </c>
      <c r="J12" s="1755">
        <f>SUM(J5:J11)</f>
        <v>97271</v>
      </c>
      <c r="K12" s="1755">
        <f>SUM(K5:K11)</f>
        <v>3050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23293</v>
      </c>
      <c r="I14" s="1749"/>
      <c r="J14" s="1751"/>
      <c r="K14" s="1745">
        <v>3050</v>
      </c>
    </row>
    <row r="15" spans="1:11" x14ac:dyDescent="0.2">
      <c r="A15" s="2323" t="s">
        <v>4</v>
      </c>
      <c r="B15" s="2323"/>
      <c r="C15" s="2323"/>
      <c r="D15" s="2323"/>
      <c r="E15" s="2324"/>
      <c r="F15" s="635" t="s">
        <v>850</v>
      </c>
      <c r="G15" s="1749"/>
      <c r="H15" s="1744">
        <v>0</v>
      </c>
      <c r="I15" s="1744">
        <v>0</v>
      </c>
      <c r="J15" s="1745">
        <v>30297</v>
      </c>
      <c r="K15" s="1745">
        <v>0</v>
      </c>
    </row>
    <row r="16" spans="1:11" x14ac:dyDescent="0.2">
      <c r="A16" s="2323" t="s">
        <v>295</v>
      </c>
      <c r="B16" s="2323"/>
      <c r="C16" s="2323"/>
      <c r="D16" s="2323"/>
      <c r="E16" s="2324"/>
      <c r="F16" s="635" t="s">
        <v>917</v>
      </c>
      <c r="G16" s="1750">
        <v>0</v>
      </c>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v>0</v>
      </c>
      <c r="K18" s="1763"/>
    </row>
    <row r="19" spans="1:15" ht="21.75" customHeight="1" x14ac:dyDescent="0.2">
      <c r="A19" s="2331" t="s">
        <v>1786</v>
      </c>
      <c r="B19" s="2331"/>
      <c r="C19" s="2331"/>
      <c r="D19" s="2331"/>
      <c r="E19" s="2332"/>
      <c r="F19" s="635" t="s">
        <v>927</v>
      </c>
      <c r="G19" s="1753"/>
      <c r="H19" s="1753"/>
      <c r="I19" s="1753"/>
      <c r="J19" s="1745">
        <v>0</v>
      </c>
      <c r="K19" s="1763"/>
    </row>
    <row r="20" spans="1:15" x14ac:dyDescent="0.2">
      <c r="A20" s="2333" t="s">
        <v>1791</v>
      </c>
      <c r="B20" s="2334"/>
      <c r="C20" s="2334"/>
      <c r="D20" s="2334"/>
      <c r="E20" s="2335"/>
      <c r="F20" s="635" t="s">
        <v>928</v>
      </c>
      <c r="G20" s="1753"/>
      <c r="H20" s="1753"/>
      <c r="I20" s="1753"/>
      <c r="J20" s="1745">
        <v>0</v>
      </c>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v>0</v>
      </c>
      <c r="I22" s="1744">
        <v>0</v>
      </c>
      <c r="J22" s="1766">
        <v>0</v>
      </c>
      <c r="K22" s="1745">
        <v>0</v>
      </c>
    </row>
    <row r="23" spans="1:15" ht="13.5" thickBot="1" x14ac:dyDescent="0.25">
      <c r="A23" s="2353" t="s">
        <v>900</v>
      </c>
      <c r="B23" s="2352"/>
      <c r="C23" s="2352"/>
      <c r="D23" s="2352"/>
      <c r="E23" s="2352"/>
      <c r="F23" s="1436"/>
      <c r="G23" s="1755">
        <f>SUM(G14:G16,G21,G22)</f>
        <v>0</v>
      </c>
      <c r="H23" s="1755">
        <f>SUM(H14:H16,H21,H22)</f>
        <v>23293</v>
      </c>
      <c r="I23" s="1755">
        <f>SUM(I14:I16,I21,I22)</f>
        <v>0</v>
      </c>
      <c r="J23" s="1755">
        <f>SUM(J14:J16,J21,J22)</f>
        <v>30297</v>
      </c>
      <c r="K23" s="1755">
        <f>SUM(K14:K16,K21,K22)</f>
        <v>3050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173897</v>
      </c>
      <c r="K24" s="1767">
        <f>SUM(K3,K12)-K23</f>
        <v>0</v>
      </c>
      <c r="L24" s="1846"/>
      <c r="M24" s="1846"/>
      <c r="N24" s="1846"/>
      <c r="O24" s="1846"/>
    </row>
    <row r="25" spans="1:15" ht="13.5" thickTop="1" x14ac:dyDescent="0.2">
      <c r="A25" s="639" t="s">
        <v>417</v>
      </c>
      <c r="B25" s="640"/>
      <c r="C25" s="640"/>
      <c r="D25" s="640"/>
      <c r="E25" s="641"/>
      <c r="F25" s="642">
        <v>714</v>
      </c>
      <c r="G25" s="1768">
        <v>0</v>
      </c>
      <c r="H25" s="1768">
        <v>0</v>
      </c>
      <c r="I25" s="1768">
        <v>0</v>
      </c>
      <c r="J25" s="1766">
        <v>173897</v>
      </c>
      <c r="K25" s="1766">
        <v>0</v>
      </c>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4" sqref="A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v>0</v>
      </c>
      <c r="E3" s="1769">
        <v>0</v>
      </c>
      <c r="F3" s="1765">
        <f>(C3+D3)-E3</f>
        <v>0</v>
      </c>
      <c r="G3" s="675"/>
      <c r="H3" s="674">
        <v>0</v>
      </c>
      <c r="I3" s="674">
        <v>0</v>
      </c>
      <c r="J3" s="674">
        <v>0</v>
      </c>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27700</v>
      </c>
      <c r="D5" s="1770">
        <v>0</v>
      </c>
      <c r="E5" s="1770">
        <v>0</v>
      </c>
      <c r="F5" s="1765">
        <f>(C5+D5)-E5</f>
        <v>27700</v>
      </c>
      <c r="G5" s="676"/>
      <c r="H5" s="680"/>
      <c r="I5" s="680"/>
      <c r="J5" s="680"/>
      <c r="K5" s="637"/>
      <c r="L5" s="1442">
        <f>F5-K5</f>
        <v>27700</v>
      </c>
    </row>
    <row r="6" spans="1:14" ht="14.25" thickTop="1" thickBot="1" x14ac:dyDescent="0.25">
      <c r="A6" s="629" t="s">
        <v>1107</v>
      </c>
      <c r="B6" s="679">
        <v>222</v>
      </c>
      <c r="C6" s="1745">
        <v>0</v>
      </c>
      <c r="D6" s="1745">
        <v>0</v>
      </c>
      <c r="E6" s="1745">
        <v>0</v>
      </c>
      <c r="F6" s="1765">
        <f>(C6+D6)-E6</f>
        <v>0</v>
      </c>
      <c r="G6" s="676">
        <v>50</v>
      </c>
      <c r="H6" s="619">
        <v>0</v>
      </c>
      <c r="I6" s="619">
        <v>0</v>
      </c>
      <c r="J6" s="619">
        <v>0</v>
      </c>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9007278</v>
      </c>
      <c r="D8" s="1771">
        <v>441462</v>
      </c>
      <c r="E8" s="1771">
        <v>0</v>
      </c>
      <c r="F8" s="1765">
        <f>(C8+D8)-E8</f>
        <v>9448740</v>
      </c>
      <c r="G8" s="681">
        <v>50</v>
      </c>
      <c r="H8" s="619">
        <v>3972096</v>
      </c>
      <c r="I8" s="619">
        <v>136153</v>
      </c>
      <c r="J8" s="619">
        <v>0</v>
      </c>
      <c r="K8" s="1442">
        <f>(H8+I8)-J8</f>
        <v>4108249</v>
      </c>
      <c r="L8" s="1442">
        <f>F8-K8</f>
        <v>5340491</v>
      </c>
    </row>
    <row r="9" spans="1:14" ht="14.25" thickTop="1" thickBot="1" x14ac:dyDescent="0.25">
      <c r="A9" s="629" t="s">
        <v>1109</v>
      </c>
      <c r="B9" s="679">
        <v>232</v>
      </c>
      <c r="C9" s="1745">
        <v>0</v>
      </c>
      <c r="D9" s="1745">
        <v>0</v>
      </c>
      <c r="E9" s="1745">
        <v>0</v>
      </c>
      <c r="F9" s="1765">
        <f>(C9+D9)-E9</f>
        <v>0</v>
      </c>
      <c r="G9" s="681">
        <v>20</v>
      </c>
      <c r="H9" s="619">
        <v>0</v>
      </c>
      <c r="I9" s="619">
        <v>0</v>
      </c>
      <c r="J9" s="619">
        <v>0</v>
      </c>
      <c r="K9" s="1442">
        <f>(H9+I9)-J9</f>
        <v>0</v>
      </c>
      <c r="L9" s="1442">
        <f>F9-K9</f>
        <v>0</v>
      </c>
    </row>
    <row r="10" spans="1:14" ht="24" thickTop="1" thickBot="1" x14ac:dyDescent="0.25">
      <c r="A10" s="682" t="s">
        <v>1110</v>
      </c>
      <c r="B10" s="679">
        <v>240</v>
      </c>
      <c r="C10" s="1772">
        <v>2454587</v>
      </c>
      <c r="D10" s="1772">
        <v>10113</v>
      </c>
      <c r="E10" s="1772">
        <v>82742</v>
      </c>
      <c r="F10" s="1773">
        <f>(C10+D10)-E10</f>
        <v>2381958</v>
      </c>
      <c r="G10" s="681">
        <v>20</v>
      </c>
      <c r="H10" s="683">
        <v>1162837</v>
      </c>
      <c r="I10" s="683">
        <v>114500</v>
      </c>
      <c r="J10" s="683">
        <v>82742</v>
      </c>
      <c r="K10" s="1442">
        <f>(H10+I10)-J10</f>
        <v>1194595</v>
      </c>
      <c r="L10" s="1442">
        <f>F10-K10</f>
        <v>1187363</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979911</v>
      </c>
      <c r="D12" s="1771">
        <v>0</v>
      </c>
      <c r="E12" s="1771">
        <f>71400+5032</f>
        <v>76432</v>
      </c>
      <c r="F12" s="1765">
        <f>(C12+D12)-E12</f>
        <v>903479</v>
      </c>
      <c r="G12" s="681">
        <v>10</v>
      </c>
      <c r="H12" s="619">
        <v>794715</v>
      </c>
      <c r="I12" s="619">
        <v>25529</v>
      </c>
      <c r="J12" s="619">
        <v>76432</v>
      </c>
      <c r="K12" s="1442">
        <f>(H12+I12)-J12</f>
        <v>743812</v>
      </c>
      <c r="L12" s="1442">
        <f>F12-K12</f>
        <v>159667</v>
      </c>
    </row>
    <row r="13" spans="1:14" ht="14.25" thickTop="1" thickBot="1" x14ac:dyDescent="0.25">
      <c r="A13" s="684" t="s">
        <v>1112</v>
      </c>
      <c r="B13" s="679">
        <v>252</v>
      </c>
      <c r="C13" s="1771">
        <v>44247</v>
      </c>
      <c r="D13" s="1771">
        <v>0</v>
      </c>
      <c r="E13" s="1771">
        <v>0</v>
      </c>
      <c r="F13" s="1765">
        <f>(C13+D13)-E13</f>
        <v>44247</v>
      </c>
      <c r="G13" s="681">
        <v>5</v>
      </c>
      <c r="H13" s="619">
        <v>44247</v>
      </c>
      <c r="I13" s="619">
        <v>0</v>
      </c>
      <c r="J13" s="619">
        <v>0</v>
      </c>
      <c r="K13" s="1442">
        <f>(H13+I13)-J13</f>
        <v>44247</v>
      </c>
      <c r="L13" s="1442">
        <f>F13-K13</f>
        <v>0</v>
      </c>
    </row>
    <row r="14" spans="1:14" ht="14.25" thickTop="1" thickBot="1" x14ac:dyDescent="0.25">
      <c r="A14" s="684" t="s">
        <v>1113</v>
      </c>
      <c r="B14" s="679">
        <v>253</v>
      </c>
      <c r="C14" s="1745">
        <v>410628</v>
      </c>
      <c r="D14" s="1745">
        <v>4580</v>
      </c>
      <c r="E14" s="1745">
        <v>114455</v>
      </c>
      <c r="F14" s="1765">
        <f>(C14+D14)-E14</f>
        <v>300753</v>
      </c>
      <c r="G14" s="681">
        <v>3</v>
      </c>
      <c r="H14" s="619">
        <v>391429</v>
      </c>
      <c r="I14" s="619">
        <v>18148</v>
      </c>
      <c r="J14" s="619">
        <v>114455</v>
      </c>
      <c r="K14" s="1442">
        <f>(H14+I14)-J14</f>
        <v>295122</v>
      </c>
      <c r="L14" s="1442">
        <f>F14-K14</f>
        <v>5631</v>
      </c>
    </row>
    <row r="15" spans="1:14" ht="15" customHeight="1" thickTop="1" thickBot="1" x14ac:dyDescent="0.25">
      <c r="A15" s="1366" t="s">
        <v>525</v>
      </c>
      <c r="B15" s="1365">
        <v>260</v>
      </c>
      <c r="C15" s="1771">
        <v>125942</v>
      </c>
      <c r="D15" s="1771">
        <v>315520</v>
      </c>
      <c r="E15" s="1771">
        <v>441462</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13050293</v>
      </c>
      <c r="D16" s="1765">
        <f>SUM(D3,D5:D6,D8:D10,D12:D15)</f>
        <v>771675</v>
      </c>
      <c r="E16" s="1765">
        <f>SUM(E3,E5:E6,E8:E10,E12:E15)</f>
        <v>715091</v>
      </c>
      <c r="F16" s="1765">
        <f>SUM(F3,F5:F6,F8:F10,F12:F15)</f>
        <v>13106877</v>
      </c>
      <c r="G16" s="681"/>
      <c r="H16" s="1435">
        <f>SUM(H3,H6,H8:H10,H12:H14,)</f>
        <v>6365324</v>
      </c>
      <c r="I16" s="1435">
        <f>SUM(I3,I6,I8:I10,I12:I14,)</f>
        <v>294330</v>
      </c>
      <c r="J16" s="1435">
        <f>SUM(J3,J6,J8:J10,J12:J14,)</f>
        <v>273629</v>
      </c>
      <c r="K16" s="1435">
        <f>(H16+I16)-J16</f>
        <v>6386025</v>
      </c>
      <c r="L16" s="1435">
        <f>F16-K16</f>
        <v>6720852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10751</v>
      </c>
      <c r="G17" s="676">
        <v>10</v>
      </c>
      <c r="H17" s="621"/>
      <c r="I17" s="1442">
        <f>F17/G17</f>
        <v>1075.0999999999999</v>
      </c>
      <c r="J17" s="621"/>
      <c r="K17" s="638"/>
      <c r="L17" s="638"/>
    </row>
    <row r="18" spans="1:12" ht="14.25" thickTop="1" thickBot="1" x14ac:dyDescent="0.25">
      <c r="A18" s="1440" t="s">
        <v>680</v>
      </c>
      <c r="B18" s="1441"/>
      <c r="C18" s="623"/>
      <c r="D18" s="623"/>
      <c r="E18" s="623"/>
      <c r="F18" s="686"/>
      <c r="G18" s="687"/>
      <c r="H18" s="624"/>
      <c r="I18" s="1435">
        <f>SUM(I16,I17)</f>
        <v>295405.09999999998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2898541</v>
      </c>
      <c r="G8" s="701"/>
    </row>
    <row r="9" spans="1:9" x14ac:dyDescent="0.2">
      <c r="A9" s="705" t="s">
        <v>457</v>
      </c>
      <c r="B9" s="706" t="s">
        <v>1848</v>
      </c>
      <c r="C9" s="707"/>
      <c r="D9" s="705" t="s">
        <v>498</v>
      </c>
      <c r="E9" s="704"/>
      <c r="F9" s="1775">
        <f>'Expenditures 15-22'!K151</f>
        <v>658177</v>
      </c>
      <c r="G9" s="708"/>
    </row>
    <row r="10" spans="1:9" x14ac:dyDescent="0.2">
      <c r="A10" s="705" t="s">
        <v>496</v>
      </c>
      <c r="B10" s="706" t="s">
        <v>1849</v>
      </c>
      <c r="C10" s="707"/>
      <c r="D10" s="705" t="s">
        <v>498</v>
      </c>
      <c r="E10" s="704"/>
      <c r="F10" s="1775">
        <f>'Expenditures 15-22'!K174</f>
        <v>548751</v>
      </c>
      <c r="G10" s="708"/>
    </row>
    <row r="11" spans="1:9" x14ac:dyDescent="0.2">
      <c r="A11" s="705" t="s">
        <v>458</v>
      </c>
      <c r="B11" s="706" t="s">
        <v>1850</v>
      </c>
      <c r="C11" s="707"/>
      <c r="D11" s="705" t="s">
        <v>498</v>
      </c>
      <c r="E11" s="704"/>
      <c r="F11" s="1775">
        <f>'Expenditures 15-22'!K210</f>
        <v>469152</v>
      </c>
      <c r="G11" s="708"/>
    </row>
    <row r="12" spans="1:9" x14ac:dyDescent="0.2">
      <c r="A12" s="705" t="s">
        <v>459</v>
      </c>
      <c r="B12" s="706" t="s">
        <v>1851</v>
      </c>
      <c r="C12" s="707"/>
      <c r="D12" s="705" t="s">
        <v>498</v>
      </c>
      <c r="E12" s="704"/>
      <c r="F12" s="1775">
        <f>'Expenditures 15-22'!K295</f>
        <v>122973</v>
      </c>
      <c r="G12" s="708"/>
    </row>
    <row r="13" spans="1:9" x14ac:dyDescent="0.2">
      <c r="A13" s="705" t="s">
        <v>106</v>
      </c>
      <c r="B13" s="706" t="s">
        <v>1852</v>
      </c>
      <c r="C13" s="707"/>
      <c r="D13" s="705" t="s">
        <v>498</v>
      </c>
      <c r="E13" s="704"/>
      <c r="F13" s="1775">
        <f>'Expenditures 15-22'!K342</f>
        <v>197620</v>
      </c>
      <c r="G13" s="709"/>
    </row>
    <row r="14" spans="1:9" ht="12" customHeight="1" thickBot="1" x14ac:dyDescent="0.25">
      <c r="A14" s="1443"/>
      <c r="B14" s="1444"/>
      <c r="C14" s="1445"/>
      <c r="D14" s="1446" t="s">
        <v>498</v>
      </c>
      <c r="E14" s="1447" t="s">
        <v>952</v>
      </c>
      <c r="F14" s="1776">
        <f>SUM(F8:F13)</f>
        <v>4895214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279068</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10751</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309560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527600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1126979</v>
      </c>
      <c r="G77" s="701"/>
    </row>
    <row r="78" spans="1:9" s="728" customFormat="1" ht="12" customHeight="1" thickTop="1" thickBot="1" x14ac:dyDescent="0.25">
      <c r="A78" s="1450"/>
      <c r="B78" s="1448"/>
      <c r="C78" s="1445"/>
      <c r="D78" s="1449" t="s">
        <v>2012</v>
      </c>
      <c r="E78" s="1447"/>
      <c r="F78" s="1788">
        <f>(F14-F77)</f>
        <v>3768235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277.60000000000002</v>
      </c>
      <c r="G79" s="733"/>
      <c r="H79" s="705"/>
      <c r="I79" s="705"/>
    </row>
    <row r="80" spans="1:9" s="728" customFormat="1" ht="12" customHeight="1" thickBot="1" x14ac:dyDescent="0.25">
      <c r="A80" s="1452"/>
      <c r="B80" s="1448"/>
      <c r="C80" s="1445"/>
      <c r="D80" s="1449" t="s">
        <v>2013</v>
      </c>
      <c r="E80" s="1447" t="s">
        <v>952</v>
      </c>
      <c r="F80" s="1790">
        <f>IF(F79&gt;0,F78/F79," Complete Line 79")</f>
        <v>13574.333573487031</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2553</v>
      </c>
      <c r="G95" s="745"/>
    </row>
    <row r="96" spans="1:7" x14ac:dyDescent="0.2">
      <c r="A96" s="741" t="s">
        <v>139</v>
      </c>
      <c r="B96" s="741" t="s">
        <v>174</v>
      </c>
      <c r="C96" s="743">
        <v>1700</v>
      </c>
      <c r="D96" s="751" t="str">
        <f>'Revenues 9-14'!A82</f>
        <v>Total District/School Activity Income</v>
      </c>
      <c r="E96" s="739"/>
      <c r="F96" s="1793">
        <f>SUM('Revenues 9-14'!C82,'Revenues 9-14'!D82)</f>
        <v>4190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16860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2821</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4804</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2725</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3050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322740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64890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177983</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255559</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23547</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88050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27655</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5513</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22060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8526</v>
      </c>
      <c r="G171" s="760"/>
    </row>
    <row r="172" spans="1:7" x14ac:dyDescent="0.2">
      <c r="A172" s="1529" t="s">
        <v>5</v>
      </c>
      <c r="B172" s="1530" t="s">
        <v>1885</v>
      </c>
      <c r="C172" s="1531">
        <v>3100</v>
      </c>
      <c r="D172" s="1532" t="s">
        <v>1887</v>
      </c>
      <c r="E172" s="739"/>
      <c r="F172" s="1794">
        <v>132147</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1165673</v>
      </c>
    </row>
    <row r="176" spans="1:7" ht="12" customHeight="1" x14ac:dyDescent="0.2">
      <c r="A176" s="1443"/>
      <c r="B176" s="1453"/>
      <c r="C176" s="1454"/>
      <c r="D176" s="1455" t="s">
        <v>2014</v>
      </c>
      <c r="E176" s="1456"/>
      <c r="F176" s="1793">
        <f>'PCTC-OEPP 27-28'!F78-F175</f>
        <v>2602562</v>
      </c>
    </row>
    <row r="177" spans="1:9" ht="12" customHeight="1" x14ac:dyDescent="0.2">
      <c r="A177" s="1443"/>
      <c r="B177" s="1453"/>
      <c r="C177" s="1454"/>
      <c r="D177" s="1455" t="s">
        <v>1794</v>
      </c>
      <c r="E177" s="1456"/>
      <c r="F177" s="1793">
        <f>'Cap Outlay Deprec 26'!I18</f>
        <v>295405.09999999998</v>
      </c>
    </row>
    <row r="178" spans="1:9" ht="12" customHeight="1" x14ac:dyDescent="0.2">
      <c r="A178" s="1443"/>
      <c r="B178" s="1453"/>
      <c r="C178" s="1454"/>
      <c r="D178" s="1455" t="s">
        <v>2015</v>
      </c>
      <c r="E178" s="1456"/>
      <c r="F178" s="1793">
        <f>F176+F177</f>
        <v>2897967.1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277.60000000000002</v>
      </c>
      <c r="G179" s="763"/>
      <c r="I179" s="701"/>
    </row>
    <row r="180" spans="1:9" ht="12" customHeight="1" thickBot="1" x14ac:dyDescent="0.25">
      <c r="A180" s="1443"/>
      <c r="B180" s="1457"/>
      <c r="C180" s="1454"/>
      <c r="D180" s="1455" t="s">
        <v>2017</v>
      </c>
      <c r="E180" s="1456" t="s">
        <v>1528</v>
      </c>
      <c r="F180" s="1798">
        <f>F178/F179</f>
        <v>10439.362752161383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D27" sqref="D27"/>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2074</v>
      </c>
      <c r="B18" s="1908">
        <v>402550300</v>
      </c>
      <c r="C18" s="2036" t="s">
        <v>2073</v>
      </c>
      <c r="D18" s="1886">
        <v>439255</v>
      </c>
      <c r="E18" s="1906" t="str">
        <f t="shared" ref="E18:E81" si="0">IF(D18&lt;25000,D18,"25,000")</f>
        <v>25,000</v>
      </c>
      <c r="F18" s="1906">
        <f t="shared" ref="F18:F81" si="1">IF(D18&gt;=25000,(D18-E18),"0")</f>
        <v>414255</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439255</v>
      </c>
      <c r="E142" s="1893">
        <f>SUM(E18:E141)</f>
        <v>0</v>
      </c>
      <c r="F142" s="1894">
        <f>SUM(F18:F141)</f>
        <v>414255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v>0</v>
      </c>
      <c r="F7" s="805"/>
      <c r="G7" s="806"/>
      <c r="H7" s="157"/>
      <c r="I7" s="157"/>
    </row>
    <row r="8" spans="1:13" s="542" customFormat="1" ht="12" customHeight="1" x14ac:dyDescent="0.2">
      <c r="A8" s="802" t="s">
        <v>129</v>
      </c>
      <c r="B8" s="803"/>
      <c r="C8" s="803"/>
      <c r="D8" s="804"/>
      <c r="E8" s="1800">
        <v>0</v>
      </c>
      <c r="F8" s="805"/>
      <c r="G8" s="806"/>
      <c r="H8" s="157"/>
      <c r="I8" s="157"/>
    </row>
    <row r="9" spans="1:13" s="542" customFormat="1" ht="12" customHeight="1" x14ac:dyDescent="0.2">
      <c r="A9" s="802" t="s">
        <v>130</v>
      </c>
      <c r="B9" s="803"/>
      <c r="C9" s="803"/>
      <c r="D9" s="804"/>
      <c r="E9" s="1800">
        <v>0</v>
      </c>
      <c r="F9" s="805"/>
      <c r="G9" s="806"/>
      <c r="H9" s="157"/>
      <c r="I9" s="157"/>
    </row>
    <row r="10" spans="1:13" s="542" customFormat="1" ht="12" customHeight="1" x14ac:dyDescent="0.2">
      <c r="A10" s="802" t="s">
        <v>1894</v>
      </c>
      <c r="B10" s="803"/>
      <c r="C10" s="807"/>
      <c r="D10" s="804"/>
      <c r="E10" s="1800">
        <v>81802</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14714</v>
      </c>
      <c r="F11" s="805"/>
      <c r="G11" s="808"/>
      <c r="H11" s="178"/>
      <c r="I11" s="178"/>
      <c r="J11" s="1853"/>
      <c r="K11" s="1853"/>
      <c r="L11" s="1853"/>
      <c r="M11" s="1853"/>
    </row>
    <row r="12" spans="1:13" s="542" customFormat="1" ht="12" customHeight="1" x14ac:dyDescent="0.2">
      <c r="A12" s="802" t="s">
        <v>131</v>
      </c>
      <c r="B12" s="803"/>
      <c r="C12" s="803"/>
      <c r="D12" s="804"/>
      <c r="E12" s="1800">
        <v>0</v>
      </c>
      <c r="F12" s="805"/>
      <c r="G12" s="806"/>
      <c r="H12" s="157"/>
      <c r="I12" s="157"/>
    </row>
    <row r="13" spans="1:13" s="542" customFormat="1" ht="12" customHeight="1" x14ac:dyDescent="0.2">
      <c r="A13" s="802" t="s">
        <v>201</v>
      </c>
      <c r="B13" s="803"/>
      <c r="C13" s="803"/>
      <c r="D13" s="804"/>
      <c r="E13" s="1800">
        <v>0</v>
      </c>
      <c r="F13" s="805"/>
      <c r="G13" s="806"/>
      <c r="H13" s="157"/>
      <c r="I13" s="157"/>
    </row>
    <row r="14" spans="1:13" s="542" customFormat="1" ht="12" customHeight="1" x14ac:dyDescent="0.2">
      <c r="A14" s="802" t="s">
        <v>202</v>
      </c>
      <c r="B14" s="803"/>
      <c r="C14" s="803"/>
      <c r="D14" s="804"/>
      <c r="E14" s="1800">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1852997</v>
      </c>
      <c r="F19" s="1802"/>
      <c r="G19" s="1804">
        <f>'Expenditures 15-22'!K33-SUM('Expenditures 15-22'!G33,'Expenditures 15-22'!I33)+'Expenditures 15-22'!D229</f>
        <v>1852997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88032</v>
      </c>
      <c r="F21" s="1805"/>
      <c r="G21" s="1808">
        <f>'Expenditures 15-22'!K42-SUM('Expenditures 15-22'!G42,'Expenditures 15-22'!I42)+'Expenditures 15-22'!K120-SUM('Expenditures 15-22'!G120,'Expenditures 15-22'!I120)+'Expenditures 15-22'!K180-SUM('Expenditures 15-22'!G180,'Expenditures 15-22'!I180)+'Expenditures 15-22'!D238</f>
        <v>88032</v>
      </c>
      <c r="H21" s="817"/>
      <c r="I21" s="157"/>
    </row>
    <row r="22" spans="1:9" s="542" customFormat="1" ht="12" customHeight="1" x14ac:dyDescent="0.2">
      <c r="A22" s="824" t="s">
        <v>560</v>
      </c>
      <c r="B22" s="825"/>
      <c r="C22" s="823">
        <v>2200</v>
      </c>
      <c r="D22" s="1805"/>
      <c r="E22" s="1807">
        <f>'Expenditures 15-22'!K47-SUM('Expenditures 15-22'!G47,'Expenditures 15-22'!I47)+'Expenditures 15-22'!D243</f>
        <v>62081</v>
      </c>
      <c r="F22" s="1805"/>
      <c r="G22" s="1808">
        <f>'Expenditures 15-22'!K47-SUM('Expenditures 15-22'!G47,'Expenditures 15-22'!I47)+'Expenditures 15-22'!D243</f>
        <v>62081</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438263</v>
      </c>
      <c r="F23" s="1805"/>
      <c r="G23" s="1807">
        <f>'Expenditures 15-22'!K53-SUM('Expenditures 15-22'!G53,'Expenditures 15-22'!I53)+'Expenditures 15-22'!D257+'Expenditures 15-22'!K330-SUM('Expenditures 15-22'!G330,'Expenditures 15-22'!I330)</f>
        <v>438263</v>
      </c>
      <c r="H23" s="817"/>
      <c r="I23" s="157"/>
    </row>
    <row r="24" spans="1:9" s="542" customFormat="1" ht="12" customHeight="1" x14ac:dyDescent="0.2">
      <c r="A24" s="824" t="s">
        <v>562</v>
      </c>
      <c r="B24" s="825"/>
      <c r="C24" s="823">
        <v>2400</v>
      </c>
      <c r="D24" s="1805"/>
      <c r="E24" s="1807">
        <f>'Expenditures 15-22'!K57-SUM('Expenditures 15-22'!G57,'Expenditures 15-22'!I57)+'Expenditures 15-22'!D261</f>
        <v>260344</v>
      </c>
      <c r="F24" s="1805"/>
      <c r="G24" s="1808">
        <f>'Expenditures 15-22'!K57-SUM('Expenditures 15-22'!G57,'Expenditures 15-22'!I57)+'Expenditures 15-22'!D261</f>
        <v>260344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36187</v>
      </c>
      <c r="E27" s="1807">
        <f>E8</f>
        <v>0</v>
      </c>
      <c r="F27" s="1807">
        <f>'Expenditures 15-22'!K60-SUM('Expenditures 15-22'!G60,'Expenditures 15-22'!I60)+'Expenditures 15-22'!D264-E8</f>
        <v>36187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376081</v>
      </c>
      <c r="F28" s="1809">
        <f>'Expenditures 15-22'!K61-SUM('Expenditures 15-22'!G61,'Expenditures 15-22'!I61)+'Expenditures 15-22'!K124-SUM('Expenditures 15-22'!G124,'Expenditures 15-22'!I124)+'Expenditures 15-22'!D266-E9</f>
        <v>376081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472155</v>
      </c>
      <c r="F29" s="1805"/>
      <c r="G29" s="1808">
        <f>'Expenditures 15-22'!K62-SUM('Expenditures 15-22'!G62,'Expenditures 15-22'!I62)+'Expenditures 15-22'!K125-SUM('Expenditures 15-22'!G125,'Expenditures 15-22'!I125)+'Expenditures 15-22'!K182-SUM('Expenditures 15-22'!G182,'Expenditures 15-22'!I182)+'Expenditures 15-22'!D267</f>
        <v>472155</v>
      </c>
      <c r="H29" s="815"/>
    </row>
    <row r="30" spans="1:9" ht="12" customHeight="1" x14ac:dyDescent="0.2">
      <c r="A30" s="824" t="s">
        <v>100</v>
      </c>
      <c r="B30" s="827"/>
      <c r="C30" s="823">
        <v>2560</v>
      </c>
      <c r="D30" s="1805"/>
      <c r="E30" s="1807">
        <f>'Expenditures 15-22'!K63-SUM('Expenditures 15-22'!G63,'Expenditures 15-22'!I63)+'Expenditures 15-22'!D268-E10</f>
        <v>79142</v>
      </c>
      <c r="F30" s="1805"/>
      <c r="G30" s="1807">
        <f>'Expenditures 15-22'!K63-SUM('Expenditures 15-22'!G63,'Expenditures 15-22'!I63)+'Expenditures 15-22'!D268-E10</f>
        <v>79142</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-414255</v>
      </c>
      <c r="F40" s="1805"/>
      <c r="G40" s="1809">
        <f>-'Contracts Paid in CY 29'!F142</f>
        <v>-414255</v>
      </c>
    </row>
    <row r="41" spans="1:7" ht="12" customHeight="1" x14ac:dyDescent="0.2">
      <c r="A41" s="828" t="s">
        <v>155</v>
      </c>
      <c r="B41" s="829"/>
      <c r="C41" s="830"/>
      <c r="D41" s="1809">
        <f>SUM(D19:D39)</f>
        <v>36187</v>
      </c>
      <c r="E41" s="1809">
        <f>SUM(E19:E40)</f>
        <v>3214840</v>
      </c>
      <c r="F41" s="1809">
        <f>SUM(F19:F39)</f>
        <v>412268</v>
      </c>
      <c r="G41" s="1809">
        <f>SUM(G19:G40)</f>
        <v>2838759</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36187</v>
      </c>
      <c r="F43" s="1458" t="s">
        <v>470</v>
      </c>
      <c r="G43" s="1810">
        <f>F41</f>
        <v>412268</v>
      </c>
    </row>
    <row r="44" spans="1:7" ht="12" customHeight="1" x14ac:dyDescent="0.2">
      <c r="A44" s="817"/>
      <c r="B44" s="157"/>
      <c r="C44" s="831"/>
      <c r="D44" s="1458" t="s">
        <v>471</v>
      </c>
      <c r="E44" s="1810">
        <f>E41</f>
        <v>3214840</v>
      </c>
      <c r="F44" s="1458" t="s">
        <v>471</v>
      </c>
      <c r="G44" s="1810">
        <f>G41</f>
        <v>2838759</v>
      </c>
    </row>
    <row r="45" spans="1:7" ht="12" customHeight="1" x14ac:dyDescent="0.2">
      <c r="A45" s="817"/>
      <c r="B45" s="157"/>
      <c r="C45" s="157"/>
      <c r="D45" s="1459" t="s">
        <v>999</v>
      </c>
      <c r="E45" s="1811">
        <f>(E43/E44)</f>
        <v>1.1256236702293115E-2</v>
      </c>
      <c r="F45" s="1459" t="s">
        <v>999</v>
      </c>
      <c r="G45" s="1811">
        <f>(G43/G44)</f>
        <v>0.14522824938643963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2" sqref="A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Shawnee CUSD 84</v>
      </c>
      <c r="D6" s="2415"/>
      <c r="E6" s="2415"/>
      <c r="F6" s="1482"/>
      <c r="G6" s="1507"/>
      <c r="L6" s="1507"/>
      <c r="M6" s="1855"/>
      <c r="N6" s="1855"/>
      <c r="O6" s="1855"/>
    </row>
    <row r="7" spans="1:15" ht="11.25" customHeight="1" thickBot="1" x14ac:dyDescent="0.3">
      <c r="A7" s="1480"/>
      <c r="B7" s="1481"/>
      <c r="C7" s="2416">
        <f>COVER!A13</f>
        <v>30091084026</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2069</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t="s">
        <v>2051</v>
      </c>
      <c r="F30" s="1497" t="s">
        <v>2071</v>
      </c>
      <c r="G30" s="1507"/>
      <c r="H30" s="1507">
        <f t="shared" si="0"/>
        <v>5</v>
      </c>
      <c r="I30" s="1507">
        <f t="shared" si="1"/>
        <v>5</v>
      </c>
      <c r="J30" s="1507">
        <f t="shared" si="2"/>
        <v>5</v>
      </c>
      <c r="L30" s="1507"/>
      <c r="M30" s="1855"/>
      <c r="N30" s="1855"/>
      <c r="O30" s="1855"/>
    </row>
    <row r="31" spans="1:15" ht="12" customHeight="1" x14ac:dyDescent="0.2">
      <c r="A31" s="1493" t="s">
        <v>1522</v>
      </c>
      <c r="B31" s="1494"/>
      <c r="C31" s="1495" t="s">
        <v>2051</v>
      </c>
      <c r="D31" s="1495" t="s">
        <v>2051</v>
      </c>
      <c r="E31" s="1498" t="s">
        <v>2051</v>
      </c>
      <c r="F31" s="1497" t="s">
        <v>2070</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2051</v>
      </c>
      <c r="D33" s="1495" t="s">
        <v>2051</v>
      </c>
      <c r="E33" s="1498" t="s">
        <v>2051</v>
      </c>
      <c r="F33" s="1497" t="s">
        <v>2075</v>
      </c>
      <c r="G33" s="1507"/>
      <c r="H33" s="1507">
        <f t="shared" si="0"/>
        <v>5</v>
      </c>
      <c r="I33" s="1507">
        <f t="shared" si="1"/>
        <v>5</v>
      </c>
      <c r="J33" s="1507">
        <f t="shared" si="2"/>
        <v>5</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15</v>
      </c>
      <c r="K34" s="1507">
        <f>SUM(H34:J34)</f>
        <v>45</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34" zoomScaleNormal="100" workbookViewId="0">
      <selection activeCell="C1" sqref="C1"/>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7" t="str">
        <f>COVER!A17</f>
        <v xml:space="preserve"> Shawnee CUSD 84</v>
      </c>
      <c r="K6" s="2437"/>
      <c r="L6" s="2451"/>
      <c r="M6" s="838"/>
      <c r="N6" s="1998"/>
    </row>
    <row r="7" spans="1:14" x14ac:dyDescent="0.2">
      <c r="A7" s="2452" t="s">
        <v>864</v>
      </c>
      <c r="B7" s="2453"/>
      <c r="C7" s="2453"/>
      <c r="D7" s="2453"/>
      <c r="E7" s="2454"/>
      <c r="F7" s="839"/>
      <c r="G7" s="838"/>
      <c r="H7" s="838"/>
      <c r="I7" s="1924" t="s">
        <v>369</v>
      </c>
      <c r="J7" s="2439">
        <f>COVER!A13</f>
        <v>30091084026</v>
      </c>
      <c r="K7" s="2439"/>
      <c r="L7" s="243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5" t="s">
        <v>478</v>
      </c>
      <c r="B11" s="2456"/>
      <c r="C11" s="2457"/>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192863</v>
      </c>
      <c r="F12" s="1942"/>
      <c r="G12" s="1968">
        <f>G68</f>
        <v>990</v>
      </c>
      <c r="H12" s="1944">
        <f t="shared" ref="H12:H18" si="0">SUM(E12:G12)</f>
        <v>193853</v>
      </c>
      <c r="I12" s="1943">
        <v>168568</v>
      </c>
      <c r="J12" s="1942"/>
      <c r="K12" s="1943">
        <v>1000</v>
      </c>
      <c r="L12" s="1944">
        <f t="shared" ref="L12:L18" si="1">SUM(I12:K12)</f>
        <v>169568</v>
      </c>
      <c r="M12" s="838"/>
      <c r="N12" s="1998"/>
    </row>
    <row r="13" spans="1:14" x14ac:dyDescent="0.2">
      <c r="A13" s="2003">
        <v>2</v>
      </c>
      <c r="B13" s="1940" t="s">
        <v>42</v>
      </c>
      <c r="C13" s="842"/>
      <c r="D13" s="1941">
        <v>2330</v>
      </c>
      <c r="E13" s="1944">
        <f>'Expenditures 15-22'!K51</f>
        <v>0</v>
      </c>
      <c r="F13" s="1942"/>
      <c r="G13" s="1968">
        <f>H68</f>
        <v>0</v>
      </c>
      <c r="H13" s="1944">
        <f t="shared" si="0"/>
        <v>0</v>
      </c>
      <c r="I13" s="1943">
        <v>0</v>
      </c>
      <c r="J13" s="1942"/>
      <c r="K13" s="1943">
        <v>0</v>
      </c>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v>0</v>
      </c>
      <c r="J14" s="1942"/>
      <c r="K14" s="1943">
        <v>0</v>
      </c>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v>0</v>
      </c>
      <c r="J15" s="1943">
        <v>0</v>
      </c>
      <c r="K15" s="1943">
        <v>0</v>
      </c>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v>0</v>
      </c>
      <c r="J16" s="1942"/>
      <c r="K16" s="1943">
        <v>0</v>
      </c>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v>0</v>
      </c>
      <c r="J17" s="1942"/>
      <c r="K17" s="1943">
        <v>0</v>
      </c>
      <c r="L17" s="1944">
        <f t="shared" si="1"/>
        <v>0</v>
      </c>
      <c r="M17" s="838"/>
      <c r="N17" s="1998"/>
    </row>
    <row r="18" spans="1:14" ht="26.25" customHeight="1" x14ac:dyDescent="0.2">
      <c r="A18" s="2004">
        <v>7</v>
      </c>
      <c r="B18" s="2458" t="s">
        <v>7</v>
      </c>
      <c r="C18" s="2459"/>
      <c r="D18" s="2460"/>
      <c r="E18" s="1946">
        <v>13611</v>
      </c>
      <c r="F18" s="1946">
        <v>0</v>
      </c>
      <c r="G18" s="1943">
        <v>0</v>
      </c>
      <c r="H18" s="1947">
        <f t="shared" si="0"/>
        <v>13611</v>
      </c>
      <c r="I18" s="1943">
        <v>14000</v>
      </c>
      <c r="J18" s="1943">
        <v>0</v>
      </c>
      <c r="K18" s="1943">
        <v>0</v>
      </c>
      <c r="L18" s="1944">
        <f t="shared" si="1"/>
        <v>14000</v>
      </c>
      <c r="M18" s="838"/>
      <c r="N18" s="1998"/>
    </row>
    <row r="19" spans="1:14" ht="13.5" thickBot="1" x14ac:dyDescent="0.25">
      <c r="A19" s="2003">
        <v>8</v>
      </c>
      <c r="B19" s="1948" t="s">
        <v>1151</v>
      </c>
      <c r="C19" s="838"/>
      <c r="D19" s="1949"/>
      <c r="E19" s="1950">
        <f t="shared" ref="E19:L19" si="2">SUM(E12:E17)-E18</f>
        <v>179252</v>
      </c>
      <c r="F19" s="1950">
        <f t="shared" si="2"/>
        <v>0</v>
      </c>
      <c r="G19" s="1950">
        <f t="shared" ref="G19" si="3">SUM(G12:G17)-G18</f>
        <v>990</v>
      </c>
      <c r="H19" s="1950">
        <f t="shared" si="2"/>
        <v>180242</v>
      </c>
      <c r="I19" s="1950">
        <f t="shared" si="2"/>
        <v>154568</v>
      </c>
      <c r="J19" s="1950">
        <f t="shared" si="2"/>
        <v>0</v>
      </c>
      <c r="K19" s="1950">
        <f t="shared" si="2"/>
        <v>1000</v>
      </c>
      <c r="L19" s="1950">
        <f t="shared" si="2"/>
        <v>155568</v>
      </c>
      <c r="M19" s="838"/>
      <c r="N19" s="1998"/>
    </row>
    <row r="20" spans="1:14" ht="13.5" thickTop="1" x14ac:dyDescent="0.2">
      <c r="A20" s="2003">
        <v>9</v>
      </c>
      <c r="B20" s="2461" t="s">
        <v>2021</v>
      </c>
      <c r="C20" s="2461"/>
      <c r="D20" s="2462"/>
      <c r="E20" s="1951"/>
      <c r="F20" s="1951"/>
      <c r="G20" s="1951"/>
      <c r="H20" s="1951"/>
      <c r="I20" s="1951"/>
      <c r="J20" s="1951"/>
      <c r="K20" s="1951"/>
      <c r="L20" s="1952">
        <f>IF(AND(H19&gt;0,L19&gt;0),(((L19-H19)/H19)),"Enter Budget Data")</f>
        <v>-0.13689373176063294</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3"/>
      <c r="D27" s="2463"/>
      <c r="E27" s="843"/>
      <c r="F27" s="2464"/>
      <c r="G27" s="2464"/>
      <c r="H27" s="2464"/>
      <c r="I27" s="838"/>
      <c r="J27" s="838"/>
      <c r="K27" s="838"/>
      <c r="L27" s="838"/>
      <c r="M27" s="838"/>
      <c r="N27" s="1998"/>
    </row>
    <row r="28" spans="1:14" x14ac:dyDescent="0.2">
      <c r="A28" s="1997"/>
      <c r="B28" s="2007"/>
      <c r="C28" s="1957" t="s">
        <v>1026</v>
      </c>
      <c r="D28" s="844"/>
      <c r="E28" s="1958"/>
      <c r="F28" s="2465" t="s">
        <v>1492</v>
      </c>
      <c r="G28" s="2465"/>
      <c r="H28" s="2465"/>
      <c r="I28" s="838"/>
      <c r="J28" s="838"/>
      <c r="K28" s="838"/>
      <c r="L28" s="838"/>
      <c r="M28" s="838"/>
      <c r="N28" s="1998"/>
    </row>
    <row r="29" spans="1:14" x14ac:dyDescent="0.2">
      <c r="A29" s="1997"/>
      <c r="B29" s="2007"/>
      <c r="C29" s="2466"/>
      <c r="D29" s="2466"/>
      <c r="E29" s="845"/>
      <c r="F29" s="2466"/>
      <c r="G29" s="2466"/>
      <c r="H29" s="2466"/>
      <c r="I29" s="838"/>
      <c r="J29" s="838"/>
      <c r="K29" s="838"/>
      <c r="L29" s="838"/>
      <c r="M29" s="838"/>
      <c r="N29" s="1998"/>
    </row>
    <row r="30" spans="1:14" x14ac:dyDescent="0.2">
      <c r="A30" s="1997"/>
      <c r="B30" s="2007"/>
      <c r="C30" s="1960" t="s">
        <v>1544</v>
      </c>
      <c r="D30" s="838"/>
      <c r="E30" s="1959"/>
      <c r="F30" s="2450" t="s">
        <v>1493</v>
      </c>
      <c r="G30" s="2450"/>
      <c r="H30" s="245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7" t="s">
        <v>2024</v>
      </c>
      <c r="D34" s="2428"/>
      <c r="E34" s="2428"/>
      <c r="F34" s="2428"/>
      <c r="G34" s="2428"/>
      <c r="H34" s="2428"/>
      <c r="I34" s="2428"/>
      <c r="J34" s="2428"/>
      <c r="K34" s="2016"/>
      <c r="L34" s="838"/>
      <c r="M34" s="838"/>
      <c r="N34" s="1998"/>
    </row>
    <row r="35" spans="1:14" x14ac:dyDescent="0.2">
      <c r="A35" s="1997"/>
      <c r="B35" s="838"/>
      <c r="C35" s="2428"/>
      <c r="D35" s="2428"/>
      <c r="E35" s="2428"/>
      <c r="F35" s="2428"/>
      <c r="G35" s="2428"/>
      <c r="H35" s="2428"/>
      <c r="I35" s="2428"/>
      <c r="J35" s="242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7" t="s">
        <v>2025</v>
      </c>
      <c r="D37" s="2428"/>
      <c r="E37" s="2428"/>
      <c r="F37" s="2428"/>
      <c r="G37" s="2428"/>
      <c r="H37" s="2428"/>
      <c r="I37" s="2428"/>
      <c r="J37" s="2428"/>
      <c r="K37" s="2016"/>
      <c r="L37" s="2018"/>
      <c r="M37" s="838"/>
      <c r="N37" s="1998"/>
    </row>
    <row r="38" spans="1:14" x14ac:dyDescent="0.2">
      <c r="A38" s="1997"/>
      <c r="B38" s="838"/>
      <c r="C38" s="2428"/>
      <c r="D38" s="2428"/>
      <c r="E38" s="2428"/>
      <c r="F38" s="2428"/>
      <c r="G38" s="2428"/>
      <c r="H38" s="2428"/>
      <c r="I38" s="2428"/>
      <c r="J38" s="242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29" t="s">
        <v>2026</v>
      </c>
      <c r="D40" s="2430"/>
      <c r="E40" s="2430"/>
      <c r="F40" s="2430"/>
      <c r="G40" s="2430"/>
      <c r="H40" s="2430"/>
      <c r="I40" s="2430"/>
      <c r="J40" s="243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7" t="str">
        <f>J6</f>
        <v xml:space="preserve"> Shawnee CUSD 84</v>
      </c>
      <c r="M52" s="2437"/>
      <c r="N52" s="2438"/>
    </row>
    <row r="53" spans="1:14" x14ac:dyDescent="0.2">
      <c r="A53" s="1982"/>
      <c r="B53" s="1983"/>
      <c r="C53" s="1983"/>
      <c r="D53" s="1983"/>
      <c r="E53" s="1983"/>
      <c r="F53" s="1983"/>
      <c r="G53" s="1983"/>
      <c r="H53" s="1983"/>
      <c r="I53" s="1983"/>
      <c r="J53" s="1983"/>
      <c r="K53" s="1924" t="s">
        <v>369</v>
      </c>
      <c r="L53" s="2439">
        <f>J7</f>
        <v>30091084026</v>
      </c>
      <c r="M53" s="2439"/>
      <c r="N53" s="244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1"/>
      <c r="B55" s="2442"/>
      <c r="C55" s="2442"/>
      <c r="D55" s="1970"/>
      <c r="E55" s="1970"/>
      <c r="F55" s="1970"/>
      <c r="G55" s="2443" t="s">
        <v>2030</v>
      </c>
      <c r="H55" s="2443"/>
      <c r="I55" s="2443"/>
      <c r="J55" s="2443"/>
      <c r="K55" s="2443"/>
      <c r="L55" s="2443"/>
      <c r="M55" s="2443"/>
      <c r="N55" s="2444"/>
    </row>
    <row r="56" spans="1:14" ht="63.75" x14ac:dyDescent="0.2">
      <c r="A56" s="2445" t="s">
        <v>2031</v>
      </c>
      <c r="B56" s="2446"/>
      <c r="C56" s="2447"/>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48" t="s">
        <v>296</v>
      </c>
      <c r="B57" s="2449"/>
      <c r="C57" s="244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5" t="s">
        <v>2041</v>
      </c>
      <c r="B58" s="2426"/>
      <c r="C58" s="2426"/>
      <c r="D58" s="1967">
        <v>2362</v>
      </c>
      <c r="E58" s="1977">
        <f>'Expenditures 15-22'!K320</f>
        <v>11949</v>
      </c>
      <c r="F58" s="1972"/>
      <c r="G58" s="2031">
        <v>990</v>
      </c>
      <c r="H58" s="2032">
        <v>0</v>
      </c>
      <c r="I58" s="2032">
        <v>0</v>
      </c>
      <c r="J58" s="2032">
        <v>0</v>
      </c>
      <c r="K58" s="2032">
        <v>0</v>
      </c>
      <c r="L58" s="2032">
        <v>0</v>
      </c>
      <c r="M58" s="2032">
        <v>10959</v>
      </c>
      <c r="N58" s="1975">
        <f>IF((SUM(G58:M58))=E58,SUM(G58:M58),"Column N does not agree with Column E")</f>
        <v>11949</v>
      </c>
    </row>
    <row r="59" spans="1:14" ht="24.75" customHeight="1" x14ac:dyDescent="0.2">
      <c r="A59" s="2419" t="s">
        <v>297</v>
      </c>
      <c r="B59" s="2420"/>
      <c r="C59" s="2420"/>
      <c r="D59" s="1967">
        <v>2363</v>
      </c>
      <c r="E59" s="1977">
        <f>'Expenditures 15-22'!K321</f>
        <v>1401</v>
      </c>
      <c r="F59" s="1972"/>
      <c r="G59" s="2031"/>
      <c r="H59" s="2032"/>
      <c r="I59" s="2032"/>
      <c r="J59" s="2032"/>
      <c r="K59" s="2032"/>
      <c r="L59" s="2032"/>
      <c r="M59" s="2032">
        <v>1401</v>
      </c>
      <c r="N59" s="1975">
        <f>IF((SUM(G59:M59))=E59,SUM(G59:M59),"Column N does not agree with Column E")</f>
        <v>1401</v>
      </c>
    </row>
    <row r="60" spans="1:14" ht="24" customHeight="1" x14ac:dyDescent="0.2">
      <c r="A60" s="2419" t="s">
        <v>236</v>
      </c>
      <c r="B60" s="2420"/>
      <c r="C60" s="2420"/>
      <c r="D60" s="1967">
        <v>2364</v>
      </c>
      <c r="E60" s="1977">
        <f>'Expenditures 15-22'!K322</f>
        <v>50051</v>
      </c>
      <c r="F60" s="1972"/>
      <c r="G60" s="2031"/>
      <c r="H60" s="2032"/>
      <c r="I60" s="2032"/>
      <c r="J60" s="2032"/>
      <c r="K60" s="2032"/>
      <c r="L60" s="2032"/>
      <c r="M60" s="2032">
        <v>50051</v>
      </c>
      <c r="N60" s="1975">
        <f t="shared" ref="N60:N67" si="4">IF((SUM(G60:M60))=E60,SUM(G60:M60),"Column N does not agree with Column E")</f>
        <v>50051</v>
      </c>
    </row>
    <row r="61" spans="1:14" ht="24.75" customHeight="1" x14ac:dyDescent="0.2">
      <c r="A61" s="2419" t="s">
        <v>697</v>
      </c>
      <c r="B61" s="2420"/>
      <c r="C61" s="2420"/>
      <c r="D61" s="1967">
        <v>2365</v>
      </c>
      <c r="E61" s="1977">
        <f>'Expenditures 15-22'!K323</f>
        <v>0</v>
      </c>
      <c r="F61" s="1972"/>
      <c r="G61" s="2031"/>
      <c r="H61" s="2032"/>
      <c r="I61" s="2032"/>
      <c r="J61" s="2032"/>
      <c r="K61" s="2032"/>
      <c r="L61" s="2032"/>
      <c r="M61" s="2032"/>
      <c r="N61" s="1975">
        <f t="shared" si="4"/>
        <v>0</v>
      </c>
    </row>
    <row r="62" spans="1:14" ht="24" customHeight="1" x14ac:dyDescent="0.2">
      <c r="A62" s="2419" t="s">
        <v>237</v>
      </c>
      <c r="B62" s="2420"/>
      <c r="C62" s="2420"/>
      <c r="D62" s="1967">
        <v>2366</v>
      </c>
      <c r="E62" s="1977">
        <f>'Expenditures 15-22'!K324</f>
        <v>0</v>
      </c>
      <c r="F62" s="1972"/>
      <c r="G62" s="2031"/>
      <c r="H62" s="2032"/>
      <c r="I62" s="2032"/>
      <c r="J62" s="2032"/>
      <c r="K62" s="2032"/>
      <c r="L62" s="2032"/>
      <c r="M62" s="2032"/>
      <c r="N62" s="1975">
        <f t="shared" si="4"/>
        <v>0</v>
      </c>
    </row>
    <row r="63" spans="1:14" ht="24" customHeight="1" x14ac:dyDescent="0.2">
      <c r="A63" s="2425" t="s">
        <v>1022</v>
      </c>
      <c r="B63" s="2426"/>
      <c r="C63" s="2426"/>
      <c r="D63" s="1967">
        <v>2367</v>
      </c>
      <c r="E63" s="1977">
        <f>'Expenditures 15-22'!K325</f>
        <v>16456</v>
      </c>
      <c r="F63" s="1972"/>
      <c r="G63" s="2031"/>
      <c r="H63" s="2032"/>
      <c r="I63" s="2032"/>
      <c r="J63" s="2032"/>
      <c r="K63" s="2032"/>
      <c r="L63" s="2032"/>
      <c r="M63" s="2032">
        <v>16456</v>
      </c>
      <c r="N63" s="1975">
        <f t="shared" si="4"/>
        <v>16456</v>
      </c>
    </row>
    <row r="64" spans="1:14" ht="24" customHeight="1" x14ac:dyDescent="0.2">
      <c r="A64" s="2419" t="s">
        <v>1023</v>
      </c>
      <c r="B64" s="2420"/>
      <c r="C64" s="2420"/>
      <c r="D64" s="1967">
        <v>2368</v>
      </c>
      <c r="E64" s="1977">
        <f>'Expenditures 15-22'!K326</f>
        <v>0</v>
      </c>
      <c r="F64" s="1972"/>
      <c r="G64" s="2031"/>
      <c r="H64" s="2032"/>
      <c r="I64" s="2032"/>
      <c r="J64" s="2032"/>
      <c r="K64" s="2032"/>
      <c r="L64" s="2032"/>
      <c r="M64" s="2032"/>
      <c r="N64" s="1975">
        <f t="shared" si="4"/>
        <v>0</v>
      </c>
    </row>
    <row r="65" spans="1:14" ht="24" customHeight="1" x14ac:dyDescent="0.2">
      <c r="A65" s="2419" t="s">
        <v>965</v>
      </c>
      <c r="B65" s="2420"/>
      <c r="C65" s="2420"/>
      <c r="D65" s="1967">
        <v>2369</v>
      </c>
      <c r="E65" s="1977">
        <f>'Expenditures 15-22'!K327</f>
        <v>117763</v>
      </c>
      <c r="F65" s="1972"/>
      <c r="G65" s="2031"/>
      <c r="H65" s="2032"/>
      <c r="I65" s="2032"/>
      <c r="J65" s="2032"/>
      <c r="K65" s="2032"/>
      <c r="L65" s="2032"/>
      <c r="M65" s="2032">
        <v>117763</v>
      </c>
      <c r="N65" s="1975">
        <f t="shared" si="4"/>
        <v>117763</v>
      </c>
    </row>
    <row r="66" spans="1:14" ht="24" customHeight="1" x14ac:dyDescent="0.2">
      <c r="A66" s="2419" t="s">
        <v>469</v>
      </c>
      <c r="B66" s="2420"/>
      <c r="C66" s="2420"/>
      <c r="D66" s="1967">
        <v>2371</v>
      </c>
      <c r="E66" s="1977">
        <f>'Expenditures 15-22'!K328</f>
        <v>0</v>
      </c>
      <c r="F66" s="1972"/>
      <c r="G66" s="2031"/>
      <c r="H66" s="2032"/>
      <c r="I66" s="2032"/>
      <c r="J66" s="2032"/>
      <c r="K66" s="2032"/>
      <c r="L66" s="2032"/>
      <c r="M66" s="2032"/>
      <c r="N66" s="1975">
        <f t="shared" si="4"/>
        <v>0</v>
      </c>
    </row>
    <row r="67" spans="1:14" ht="24.75" customHeight="1" x14ac:dyDescent="0.2">
      <c r="A67" s="2421" t="s">
        <v>2042</v>
      </c>
      <c r="B67" s="2422"/>
      <c r="C67" s="2422"/>
      <c r="D67" s="1969">
        <v>2372</v>
      </c>
      <c r="E67" s="1978">
        <f>'Expenditures 15-22'!K329</f>
        <v>0</v>
      </c>
      <c r="F67" s="1972"/>
      <c r="G67" s="2033"/>
      <c r="H67" s="2034"/>
      <c r="I67" s="2034"/>
      <c r="J67" s="2034"/>
      <c r="K67" s="2034"/>
      <c r="L67" s="2034"/>
      <c r="M67" s="2034"/>
      <c r="N67" s="1975">
        <f t="shared" si="4"/>
        <v>0</v>
      </c>
    </row>
    <row r="68" spans="1:14" x14ac:dyDescent="0.2">
      <c r="A68" s="2423" t="s">
        <v>1151</v>
      </c>
      <c r="B68" s="2424"/>
      <c r="C68" s="2424"/>
      <c r="D68" s="1970"/>
      <c r="E68" s="1974">
        <f>SUM(E57:E67)</f>
        <v>197620</v>
      </c>
      <c r="F68" s="1973"/>
      <c r="G68" s="1974">
        <f t="shared" ref="G68:N68" si="5">SUM(G57:G67)</f>
        <v>990</v>
      </c>
      <c r="H68" s="1974">
        <f t="shared" si="5"/>
        <v>0</v>
      </c>
      <c r="I68" s="1974">
        <f t="shared" si="5"/>
        <v>0</v>
      </c>
      <c r="J68" s="1974">
        <f t="shared" si="5"/>
        <v>0</v>
      </c>
      <c r="K68" s="1974">
        <f t="shared" si="5"/>
        <v>0</v>
      </c>
      <c r="L68" s="1974">
        <f t="shared" si="5"/>
        <v>0</v>
      </c>
      <c r="M68" s="1974">
        <f t="shared" si="5"/>
        <v>196630</v>
      </c>
      <c r="N68" s="1988">
        <f t="shared" si="5"/>
        <v>197620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B8" sqref="B8"/>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2076</v>
      </c>
    </row>
    <row r="6" spans="1:2" x14ac:dyDescent="0.2">
      <c r="A6" s="847">
        <v>2</v>
      </c>
      <c r="B6" s="307" t="s">
        <v>2077</v>
      </c>
    </row>
    <row r="7" spans="1:2" x14ac:dyDescent="0.2">
      <c r="A7" s="847">
        <v>3</v>
      </c>
      <c r="B7" s="307" t="s">
        <v>2078</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Shawnee CUSD 84</v>
      </c>
    </row>
    <row r="65" spans="2:2" x14ac:dyDescent="0.2">
      <c r="B65" s="849">
        <f>COVER!A13</f>
        <v>30091084026</v>
      </c>
    </row>
  </sheetData>
  <phoneticPr fontId="15" type="noConversion"/>
  <pageMargins left="0.2" right="0.2" top="1.17" bottom="0.75" header="0.19" footer="0.16"/>
  <pageSetup scale="79"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114300</xdr:colOff>
                <xdr:row>5</xdr:row>
                <xdr:rowOff>114300</xdr:rowOff>
              </from>
              <to>
                <xdr:col>1</xdr:col>
                <xdr:colOff>1028700</xdr:colOff>
                <xdr:row>9</xdr:row>
                <xdr:rowOff>152400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3272636</v>
      </c>
      <c r="C8" s="1813">
        <f>'Acct Summary 7-8'!D8</f>
        <v>393588</v>
      </c>
      <c r="D8" s="1813">
        <f>'Acct Summary 7-8'!F8</f>
        <v>441170</v>
      </c>
      <c r="E8" s="1813">
        <f>'Acct Summary 7-8'!I8</f>
        <v>32193</v>
      </c>
      <c r="F8" s="1813">
        <f>SUM(B8:E8)</f>
        <v>4139587</v>
      </c>
    </row>
    <row r="9" spans="1:8" s="858" customFormat="1" ht="14.25" customHeight="1" thickBot="1" x14ac:dyDescent="0.25">
      <c r="A9" s="857" t="s">
        <v>1353</v>
      </c>
      <c r="B9" s="1814">
        <f>'Acct Summary 7-8'!C17</f>
        <v>2898541</v>
      </c>
      <c r="C9" s="1814">
        <f>'Acct Summary 7-8'!D17</f>
        <v>658177</v>
      </c>
      <c r="D9" s="1814">
        <f>'Acct Summary 7-8'!F17</f>
        <v>469152</v>
      </c>
      <c r="E9" s="1813"/>
      <c r="F9" s="1813">
        <f>SUM(B9:E9)</f>
        <v>4025870</v>
      </c>
    </row>
    <row r="10" spans="1:8" s="858" customFormat="1" ht="14.25" thickTop="1" thickBot="1" x14ac:dyDescent="0.25">
      <c r="A10" s="859" t="s">
        <v>1354</v>
      </c>
      <c r="B10" s="1815">
        <f>(B8-B9)</f>
        <v>374095</v>
      </c>
      <c r="C10" s="1815">
        <f>(C8-C9)</f>
        <v>-264589</v>
      </c>
      <c r="D10" s="1815">
        <f>(D8-D9)</f>
        <v>-27982</v>
      </c>
      <c r="E10" s="1814">
        <f>(E8-E9)</f>
        <v>32193</v>
      </c>
      <c r="F10" s="1816">
        <f>SUM(F8-F9)</f>
        <v>113717</v>
      </c>
    </row>
    <row r="11" spans="1:8" s="858" customFormat="1" ht="14.25" thickTop="1" thickBot="1" x14ac:dyDescent="0.25">
      <c r="A11" s="860" t="s">
        <v>1903</v>
      </c>
      <c r="B11" s="1817">
        <f>'Acct Summary 7-8'!C81</f>
        <v>1157597</v>
      </c>
      <c r="C11" s="1817">
        <f>'Acct Summary 7-8'!D81</f>
        <v>121044</v>
      </c>
      <c r="D11" s="1817">
        <f>'Acct Summary 7-8'!F81</f>
        <v>135217</v>
      </c>
      <c r="E11" s="1817">
        <f>'Acct Summary 7-8'!I81</f>
        <v>2167387</v>
      </c>
      <c r="F11" s="1818">
        <f>SUM(B11:E11)</f>
        <v>3581245</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30091084026</v>
      </c>
      <c r="E2" s="1542">
        <v>2020</v>
      </c>
      <c r="F2" s="1542">
        <v>1</v>
      </c>
      <c r="G2" s="1899">
        <v>101000300</v>
      </c>
    </row>
    <row r="3" spans="1:7" ht="15" x14ac:dyDescent="0.25">
      <c r="A3" t="s">
        <v>950</v>
      </c>
      <c r="B3" s="135" t="str">
        <f>COVER!A15</f>
        <v>UNION</v>
      </c>
      <c r="E3" s="1830" t="s">
        <v>1971</v>
      </c>
      <c r="F3" s="1830" t="s">
        <v>1970</v>
      </c>
      <c r="G3" s="1899">
        <v>101000400</v>
      </c>
    </row>
    <row r="4" spans="1:7" ht="15" x14ac:dyDescent="0.25">
      <c r="A4" t="s">
        <v>1000</v>
      </c>
      <c r="B4" s="135" t="str">
        <f>COVER!A17</f>
        <v xml:space="preserve"> Shawnee CUSD 84</v>
      </c>
      <c r="E4" s="1828">
        <v>44119</v>
      </c>
      <c r="F4" s="1829">
        <v>44151</v>
      </c>
      <c r="G4" s="1899">
        <v>101000600</v>
      </c>
    </row>
    <row r="5" spans="1:7" ht="15" x14ac:dyDescent="0.25">
      <c r="A5" t="s">
        <v>699</v>
      </c>
      <c r="B5" s="135" t="str">
        <f>COVER!A38</f>
        <v>SHELLY CLOVER-HILL</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066-005023</v>
      </c>
      <c r="G15" s="1899">
        <v>402100400</v>
      </c>
    </row>
    <row r="16" spans="1:7" ht="15" x14ac:dyDescent="0.25">
      <c r="A16" t="s">
        <v>419</v>
      </c>
      <c r="B16" s="135" t="str">
        <f>COVER!T13</f>
        <v>BEUSSINK HICKAM &amp; KOCHEL PC</v>
      </c>
      <c r="G16" s="1899">
        <v>402100600</v>
      </c>
    </row>
    <row r="17" spans="1:7" ht="15" x14ac:dyDescent="0.25">
      <c r="A17" t="s">
        <v>878</v>
      </c>
      <c r="B17" s="135" t="str">
        <f>COVER!T15</f>
        <v>SCOTT A HICKAM CPA</v>
      </c>
      <c r="G17" s="1899">
        <v>402100800</v>
      </c>
    </row>
    <row r="18" spans="1:7" ht="15" x14ac:dyDescent="0.25">
      <c r="A18" t="s">
        <v>1140</v>
      </c>
      <c r="B18" s="135" t="str">
        <f>COVER!T17</f>
        <v>139 W VIENNA ST - PO BOX 556</v>
      </c>
      <c r="G18" s="1899">
        <v>102200300</v>
      </c>
    </row>
    <row r="19" spans="1:7" ht="15" x14ac:dyDescent="0.25">
      <c r="A19" t="s">
        <v>880</v>
      </c>
      <c r="B19" s="135" t="str">
        <f>COVER!T25</f>
        <v>shickam@frontier.com</v>
      </c>
      <c r="G19" s="1899">
        <v>102200400</v>
      </c>
    </row>
    <row r="20" spans="1:7" ht="15" x14ac:dyDescent="0.25">
      <c r="A20" t="s">
        <v>881</v>
      </c>
      <c r="B20" s="135" t="str">
        <f>COVER!T19</f>
        <v>ANNA</v>
      </c>
      <c r="G20" s="1899">
        <v>102200600</v>
      </c>
    </row>
    <row r="21" spans="1:7" ht="15" x14ac:dyDescent="0.25">
      <c r="A21" t="s">
        <v>476</v>
      </c>
      <c r="B21" s="135" t="str">
        <f>COVER!X19</f>
        <v>IL</v>
      </c>
      <c r="G21" s="1899">
        <v>102200800</v>
      </c>
    </row>
    <row r="22" spans="1:7" ht="15" x14ac:dyDescent="0.25">
      <c r="A22" t="s">
        <v>882</v>
      </c>
      <c r="B22" s="135">
        <f>COVER!Z19</f>
        <v>62906</v>
      </c>
      <c r="G22" s="1899">
        <v>102300300</v>
      </c>
    </row>
    <row r="23" spans="1:7" ht="15" x14ac:dyDescent="0.25">
      <c r="A23" t="s">
        <v>1142</v>
      </c>
      <c r="B23" s="135" t="str">
        <f>COVER!T21</f>
        <v>618-833-2721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Yes</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t="str">
        <f>IF('FP Info 3'!B50="X","Yes",0)</f>
        <v>Yes</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1157597</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1157597</v>
      </c>
      <c r="D92" s="2" t="str">
        <f t="shared" si="0"/>
        <v>Error?</v>
      </c>
      <c r="G92" s="1899">
        <v>102640600</v>
      </c>
    </row>
    <row r="93" spans="1:7" ht="15" x14ac:dyDescent="0.25">
      <c r="A93" s="5">
        <v>32</v>
      </c>
      <c r="B93" s="1832">
        <f>'Assets-Liab 5-6'!C41</f>
        <v>1157597</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121044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71044</v>
      </c>
      <c r="D123" s="2" t="str">
        <f t="shared" si="0"/>
        <v>Error?</v>
      </c>
      <c r="G123" s="1899">
        <v>203000400</v>
      </c>
    </row>
    <row r="124" spans="1:7" ht="15" x14ac:dyDescent="0.25">
      <c r="A124" s="5">
        <v>63</v>
      </c>
      <c r="B124" s="1832">
        <f>'Assets-Liab 5-6'!D41</f>
        <v>121044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57523</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57523</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135217</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135217</v>
      </c>
      <c r="D170" s="2" t="str">
        <f t="shared" si="1"/>
        <v>Error?</v>
      </c>
    </row>
    <row r="171" spans="1:4" x14ac:dyDescent="0.2">
      <c r="A171" s="5">
        <v>110</v>
      </c>
      <c r="B171" s="1832">
        <f>'Assets-Liab 5-6'!F41</f>
        <v>135217</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83323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83323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173897</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173897</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27700</v>
      </c>
      <c r="D273" s="2" t="str">
        <f t="shared" si="3"/>
        <v>Error?</v>
      </c>
    </row>
    <row r="274" spans="1:4" x14ac:dyDescent="0.2">
      <c r="A274" s="5">
        <v>213</v>
      </c>
      <c r="B274" s="1832">
        <f>'Assets-Liab 5-6'!M17</f>
        <v>9448740</v>
      </c>
      <c r="D274" s="2" t="str">
        <f t="shared" si="3"/>
        <v>Error?</v>
      </c>
    </row>
    <row r="275" spans="1:4" x14ac:dyDescent="0.2">
      <c r="A275" s="5">
        <v>214</v>
      </c>
      <c r="B275" s="1832">
        <f>'Assets-Liab 5-6'!M18</f>
        <v>2381958</v>
      </c>
      <c r="D275" s="2" t="str">
        <f t="shared" si="3"/>
        <v>Error?</v>
      </c>
    </row>
    <row r="276" spans="1:4" x14ac:dyDescent="0.2">
      <c r="A276" s="5">
        <v>215</v>
      </c>
      <c r="B276" s="1832">
        <f>'Assets-Liab 5-6'!M19</f>
        <v>1248479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13106877</v>
      </c>
      <c r="C279" s="2" t="s">
        <v>569</v>
      </c>
      <c r="D279" s="2" t="str">
        <f t="shared" si="3"/>
        <v>Error?</v>
      </c>
    </row>
    <row r="280" spans="1:4" x14ac:dyDescent="0.2">
      <c r="A280" s="5">
        <v>219</v>
      </c>
      <c r="B280" s="1832">
        <f>'Assets-Liab 5-6'!M40</f>
        <v>13106877</v>
      </c>
      <c r="D280" s="2" t="str">
        <f t="shared" si="3"/>
        <v>Error?</v>
      </c>
    </row>
    <row r="281" spans="1:4" x14ac:dyDescent="0.2">
      <c r="A281" s="5">
        <v>220</v>
      </c>
      <c r="B281" s="1832">
        <f>'Assets-Liab 5-6'!M41</f>
        <v>13106877</v>
      </c>
      <c r="C281" s="2" t="s">
        <v>569</v>
      </c>
      <c r="D281" s="2" t="str">
        <f t="shared" si="3"/>
        <v>Error?</v>
      </c>
    </row>
    <row r="282" spans="1:4" x14ac:dyDescent="0.2">
      <c r="A282" s="5">
        <v>221</v>
      </c>
      <c r="B282" s="1832">
        <f>'Assets-Liab 5-6'!N21</f>
        <v>57523</v>
      </c>
      <c r="D282" s="2" t="str">
        <f t="shared" si="3"/>
        <v>Error?</v>
      </c>
    </row>
    <row r="283" spans="1:4" x14ac:dyDescent="0.2">
      <c r="A283" s="5">
        <v>222</v>
      </c>
      <c r="B283" s="1832">
        <f>'Assets-Liab 5-6'!N22</f>
        <v>2096077</v>
      </c>
      <c r="D283" s="2" t="str">
        <f t="shared" si="3"/>
        <v>Error?</v>
      </c>
    </row>
    <row r="284" spans="1:4" x14ac:dyDescent="0.2">
      <c r="A284" s="5">
        <v>223</v>
      </c>
      <c r="B284" s="1832">
        <f>'Assets-Liab 5-6'!N23</f>
        <v>2153600</v>
      </c>
      <c r="C284" s="2" t="s">
        <v>569</v>
      </c>
      <c r="D284" s="2" t="str">
        <f t="shared" si="3"/>
        <v>Error?</v>
      </c>
    </row>
    <row r="285" spans="1:4" x14ac:dyDescent="0.2">
      <c r="A285" s="5">
        <v>224</v>
      </c>
      <c r="B285" s="1832">
        <f>'Assets-Liab 5-6'!N36</f>
        <v>2153600</v>
      </c>
      <c r="D285" s="2" t="str">
        <f t="shared" si="3"/>
        <v>Error?</v>
      </c>
    </row>
    <row r="286" spans="1:4" x14ac:dyDescent="0.2">
      <c r="A286" s="10">
        <v>225</v>
      </c>
      <c r="B286" s="1832"/>
      <c r="D286" s="2" t="str">
        <f t="shared" si="3"/>
        <v>OK</v>
      </c>
    </row>
    <row r="287" spans="1:4" x14ac:dyDescent="0.2">
      <c r="A287" s="5">
        <v>226</v>
      </c>
      <c r="B287" s="1832">
        <f>'Assets-Liab 5-6'!N37</f>
        <v>2153600</v>
      </c>
      <c r="C287" s="2" t="s">
        <v>569</v>
      </c>
      <c r="D287" s="2" t="str">
        <f t="shared" si="3"/>
        <v>Error?</v>
      </c>
    </row>
    <row r="288" spans="1:4" x14ac:dyDescent="0.2">
      <c r="A288" s="5">
        <v>227</v>
      </c>
      <c r="B288" s="1832">
        <f>'Assets-Liab 5-6'!N41</f>
        <v>2153600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41049</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1821181</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1015616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40670</v>
      </c>
      <c r="D717" s="2" t="str">
        <f t="shared" si="10"/>
        <v>Error?</v>
      </c>
    </row>
    <row r="718" spans="1:4" x14ac:dyDescent="0.2">
      <c r="A718" s="5">
        <v>657</v>
      </c>
      <c r="B718" s="1832">
        <f>'Expenditures 15-22'!C14</f>
        <v>52757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1469079</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36234</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37736</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73970</v>
      </c>
      <c r="C727" s="2" t="s">
        <v>569</v>
      </c>
      <c r="D727" s="2" t="str">
        <f t="shared" si="10"/>
        <v>Error?</v>
      </c>
    </row>
    <row r="728" spans="1:4" x14ac:dyDescent="0.2">
      <c r="A728" s="5">
        <v>667</v>
      </c>
      <c r="B728" s="1832">
        <f>'Expenditures 15-22'!C44</f>
        <v>22449</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22449</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150393</v>
      </c>
      <c r="D733" s="2" t="str">
        <f t="shared" si="10"/>
        <v>Error?</v>
      </c>
    </row>
    <row r="734" spans="1:4" x14ac:dyDescent="0.2">
      <c r="A734" s="5">
        <v>673</v>
      </c>
      <c r="B734" s="1832">
        <f>'Expenditures 15-22'!C53</f>
        <v>150393</v>
      </c>
      <c r="C734" s="2" t="s">
        <v>569</v>
      </c>
      <c r="D734" s="2" t="str">
        <f t="shared" si="10"/>
        <v>Error?</v>
      </c>
    </row>
    <row r="735" spans="1:4" x14ac:dyDescent="0.2">
      <c r="A735" s="5">
        <v>674</v>
      </c>
      <c r="B735" s="1832">
        <f>'Expenditures 15-22'!C55</f>
        <v>229489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229489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36187</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62006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98193</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574494</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2043573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87466</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2240</v>
      </c>
      <c r="D775" s="2" t="str">
        <f t="shared" si="11"/>
        <v>Error?</v>
      </c>
    </row>
    <row r="776" spans="1:4" x14ac:dyDescent="0.2">
      <c r="A776" s="5">
        <v>715</v>
      </c>
      <c r="B776" s="1832">
        <f>'Expenditures 15-22'!D14</f>
        <v>154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116004</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437</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4952</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5389</v>
      </c>
      <c r="C785" s="2" t="s">
        <v>569</v>
      </c>
      <c r="D785" s="2" t="str">
        <f t="shared" si="11"/>
        <v>Error?</v>
      </c>
    </row>
    <row r="786" spans="1:4" x14ac:dyDescent="0.2">
      <c r="A786" s="5">
        <v>725</v>
      </c>
      <c r="B786" s="1832">
        <f>'Expenditures 15-22'!D44</f>
        <v>1569</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1569</v>
      </c>
      <c r="C789" s="2" t="s">
        <v>569</v>
      </c>
      <c r="D789" s="2" t="str">
        <f t="shared" si="11"/>
        <v>Error?</v>
      </c>
    </row>
    <row r="790" spans="1:4" x14ac:dyDescent="0.2">
      <c r="A790" s="5">
        <v>729</v>
      </c>
      <c r="B790" s="1832">
        <f>'Expenditures 15-22'!D49</f>
        <v>4755</v>
      </c>
      <c r="D790" s="2" t="str">
        <f t="shared" si="11"/>
        <v>Error?</v>
      </c>
    </row>
    <row r="791" spans="1:4" x14ac:dyDescent="0.2">
      <c r="A791" s="5">
        <v>730</v>
      </c>
      <c r="B791" s="1832">
        <f>'Expenditures 15-22'!D50</f>
        <v>24646</v>
      </c>
      <c r="D791" s="2" t="str">
        <f t="shared" si="11"/>
        <v>Error?</v>
      </c>
    </row>
    <row r="792" spans="1:4" x14ac:dyDescent="0.2">
      <c r="A792" s="5">
        <v>731</v>
      </c>
      <c r="B792" s="1832">
        <f>'Expenditures 15-22'!D53</f>
        <v>29401</v>
      </c>
      <c r="C792" s="2" t="s">
        <v>569</v>
      </c>
      <c r="D792" s="2" t="str">
        <f t="shared" si="11"/>
        <v>Error?</v>
      </c>
    </row>
    <row r="793" spans="1:4" x14ac:dyDescent="0.2">
      <c r="A793" s="5">
        <v>732</v>
      </c>
      <c r="B793" s="1832">
        <f>'Expenditures 15-22'!D55</f>
        <v>15359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15359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6792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6792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58510</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174514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59938</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6525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156218</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1128</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1128</v>
      </c>
      <c r="C843" s="2" t="s">
        <v>569</v>
      </c>
      <c r="D843" s="2" t="str">
        <f t="shared" si="12"/>
        <v>Error?</v>
      </c>
    </row>
    <row r="844" spans="1:4" x14ac:dyDescent="0.2">
      <c r="A844" s="5">
        <v>783</v>
      </c>
      <c r="B844" s="1832">
        <f>'Expenditures 15-22'!E44</f>
        <v>11925</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11925</v>
      </c>
      <c r="C847" s="2" t="s">
        <v>569</v>
      </c>
      <c r="D847" s="2" t="str">
        <f t="shared" si="12"/>
        <v>Error?</v>
      </c>
    </row>
    <row r="848" spans="1:4" x14ac:dyDescent="0.2">
      <c r="A848" s="5">
        <v>787</v>
      </c>
      <c r="B848" s="1832">
        <f>'Expenditures 15-22'!E49</f>
        <v>22197</v>
      </c>
      <c r="D848" s="2" t="str">
        <f t="shared" si="12"/>
        <v>Error?</v>
      </c>
    </row>
    <row r="849" spans="1:4" x14ac:dyDescent="0.2">
      <c r="A849" s="5">
        <v>788</v>
      </c>
      <c r="B849" s="1832">
        <f>'Expenditures 15-22'!E50</f>
        <v>15911</v>
      </c>
      <c r="D849" s="2" t="str">
        <f t="shared" si="12"/>
        <v>Error?</v>
      </c>
    </row>
    <row r="850" spans="1:4" x14ac:dyDescent="0.2">
      <c r="A850" s="5">
        <v>789</v>
      </c>
      <c r="B850" s="1832">
        <f>'Expenditures 15-22'!E53</f>
        <v>38108</v>
      </c>
      <c r="C850" s="2" t="s">
        <v>569</v>
      </c>
      <c r="D850" s="2" t="str">
        <f t="shared" si="12"/>
        <v>Error?</v>
      </c>
    </row>
    <row r="851" spans="1:4" x14ac:dyDescent="0.2">
      <c r="A851" s="5">
        <v>790</v>
      </c>
      <c r="B851" s="1832">
        <f>'Expenditures 15-22'!E55</f>
        <v>226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226</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511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511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51898</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208116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18841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4466</v>
      </c>
      <c r="D891" s="2" t="str">
        <f t="shared" si="12"/>
        <v>Error?</v>
      </c>
    </row>
    <row r="892" spans="1:4" x14ac:dyDescent="0.2">
      <c r="A892" s="5">
        <v>831</v>
      </c>
      <c r="B892" s="1832">
        <f>'Expenditures 15-22'!F14</f>
        <v>5195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63146</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1114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1114</v>
      </c>
      <c r="C901" s="2" t="s">
        <v>569</v>
      </c>
      <c r="D901" s="2" t="str">
        <f t="shared" si="13"/>
        <v>Error?</v>
      </c>
    </row>
    <row r="902" spans="1:4" x14ac:dyDescent="0.2">
      <c r="A902" s="5">
        <v>841</v>
      </c>
      <c r="B902" s="1832">
        <f>'Expenditures 15-22'!F44</f>
        <v>25407</v>
      </c>
      <c r="D902" s="2" t="str">
        <f t="shared" si="13"/>
        <v>Error?</v>
      </c>
    </row>
    <row r="903" spans="1:4" x14ac:dyDescent="0.2">
      <c r="A903" s="5">
        <v>842</v>
      </c>
      <c r="B903" s="1832">
        <f>'Expenditures 15-22'!F45</f>
        <v>731</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26138</v>
      </c>
      <c r="C905" s="2" t="s">
        <v>569</v>
      </c>
      <c r="D905" s="2" t="str">
        <f t="shared" si="13"/>
        <v>Error?</v>
      </c>
    </row>
    <row r="906" spans="1:4" x14ac:dyDescent="0.2">
      <c r="A906" s="5">
        <v>845</v>
      </c>
      <c r="B906" s="1832">
        <f>'Expenditures 15-22'!F49</f>
        <v>1454</v>
      </c>
      <c r="D906" s="2" t="str">
        <f t="shared" si="13"/>
        <v>Error?</v>
      </c>
    </row>
    <row r="907" spans="1:4" x14ac:dyDescent="0.2">
      <c r="A907" s="5">
        <v>846</v>
      </c>
      <c r="B907" s="1832">
        <f>'Expenditures 15-22'!F50</f>
        <v>928</v>
      </c>
      <c r="D907" s="2" t="str">
        <f t="shared" si="13"/>
        <v>Error?</v>
      </c>
    </row>
    <row r="908" spans="1:4" x14ac:dyDescent="0.2">
      <c r="A908" s="5">
        <v>847</v>
      </c>
      <c r="B908" s="1832">
        <f>'Expenditures 15-22'!F53</f>
        <v>2382</v>
      </c>
      <c r="C908" s="2" t="s">
        <v>569</v>
      </c>
      <c r="D908" s="2" t="str">
        <f t="shared" si="13"/>
        <v>Error?</v>
      </c>
    </row>
    <row r="909" spans="1:4" x14ac:dyDescent="0.2">
      <c r="A909" s="5">
        <v>848</v>
      </c>
      <c r="B909" s="1832">
        <f>'Expenditures 15-22'!F55</f>
        <v>1537</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1537</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81802</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81802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112973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176119</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4333</v>
      </c>
      <c r="D1022" s="2" t="str">
        <f t="shared" si="14"/>
        <v>Error?</v>
      </c>
    </row>
    <row r="1023" spans="1:4" x14ac:dyDescent="0.2">
      <c r="A1023" s="5">
        <v>962</v>
      </c>
      <c r="B1023" s="1832">
        <f>'Expenditures 15-22'!H50</f>
        <v>985</v>
      </c>
      <c r="D1023" s="2" t="str">
        <f t="shared" ref="D1023:D1086" si="15">IF(ISBLANK(B1023),"OK",IF(A1023-B1023=0,"OK","Error?"))</f>
        <v>Error?</v>
      </c>
    </row>
    <row r="1024" spans="1:4" x14ac:dyDescent="0.2">
      <c r="A1024" s="5">
        <v>963</v>
      </c>
      <c r="B1024" s="1832">
        <f>'Expenditures 15-22'!H53</f>
        <v>5318</v>
      </c>
      <c r="C1024" s="2" t="s">
        <v>569</v>
      </c>
      <c r="D1024" s="2" t="str">
        <f t="shared" si="15"/>
        <v>Error?</v>
      </c>
    </row>
    <row r="1025" spans="1:4" x14ac:dyDescent="0.2">
      <c r="A1025" s="5">
        <v>964</v>
      </c>
      <c r="B1025" s="1832">
        <f>'Expenditures 15-22'!H55</f>
        <v>1082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1082</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6400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279068</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285468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1181861</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47376</v>
      </c>
      <c r="C1105" s="2" t="s">
        <v>569</v>
      </c>
      <c r="D1105" s="2" t="str">
        <f t="shared" si="16"/>
        <v>Error?</v>
      </c>
    </row>
    <row r="1106" spans="1:4" x14ac:dyDescent="0.2">
      <c r="A1106" s="5">
        <v>1045</v>
      </c>
      <c r="B1106" s="1832">
        <f>'Expenditures 15-22'!K14</f>
        <v>64631</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1815198</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38913</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42688</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81601</v>
      </c>
      <c r="C1115" s="2" t="s">
        <v>569</v>
      </c>
      <c r="D1115" s="2" t="str">
        <f t="shared" si="16"/>
        <v>Error?</v>
      </c>
    </row>
    <row r="1116" spans="1:4" x14ac:dyDescent="0.2">
      <c r="A1116" s="5">
        <v>1055</v>
      </c>
      <c r="B1116" s="1832">
        <f>'Expenditures 15-22'!K44</f>
        <v>61350</v>
      </c>
      <c r="C1116" s="2" t="s">
        <v>569</v>
      </c>
      <c r="D1116" s="2" t="str">
        <f t="shared" si="16"/>
        <v>Error?</v>
      </c>
    </row>
    <row r="1117" spans="1:4" x14ac:dyDescent="0.2">
      <c r="A1117" s="5">
        <v>1056</v>
      </c>
      <c r="B1117" s="1832">
        <f>'Expenditures 15-22'!K45</f>
        <v>731</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62081</v>
      </c>
      <c r="C1119" s="2" t="s">
        <v>569</v>
      </c>
      <c r="D1119" s="2" t="str">
        <f t="shared" si="16"/>
        <v>Error?</v>
      </c>
    </row>
    <row r="1120" spans="1:4" x14ac:dyDescent="0.2">
      <c r="A1120" s="5">
        <v>1059</v>
      </c>
      <c r="B1120" s="1832">
        <f>'Expenditures 15-22'!K49</f>
        <v>32739</v>
      </c>
      <c r="C1120" s="2" t="s">
        <v>569</v>
      </c>
      <c r="D1120" s="2" t="str">
        <f t="shared" si="16"/>
        <v>Error?</v>
      </c>
    </row>
    <row r="1121" spans="1:4" x14ac:dyDescent="0.2">
      <c r="A1121" s="5">
        <v>1060</v>
      </c>
      <c r="B1121" s="1832">
        <f>'Expenditures 15-22'!K50</f>
        <v>192863</v>
      </c>
      <c r="C1121" s="2" t="s">
        <v>569</v>
      </c>
      <c r="D1121" s="2" t="str">
        <f t="shared" si="16"/>
        <v>Error?</v>
      </c>
    </row>
    <row r="1122" spans="1:4" x14ac:dyDescent="0.2">
      <c r="A1122" s="5">
        <v>1061</v>
      </c>
      <c r="B1122" s="1832">
        <f>'Expenditures 15-22'!K53</f>
        <v>225602</v>
      </c>
      <c r="C1122" s="2" t="s">
        <v>569</v>
      </c>
      <c r="D1122" s="2" t="str">
        <f t="shared" si="16"/>
        <v>Error?</v>
      </c>
    </row>
    <row r="1123" spans="1:4" x14ac:dyDescent="0.2">
      <c r="A1123" s="5">
        <v>1062</v>
      </c>
      <c r="B1123" s="1832">
        <f>'Expenditures 15-22'!K55</f>
        <v>247693</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247693</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36187</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151111</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187298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804275</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279068</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2898541</v>
      </c>
      <c r="C1152" s="2" t="s">
        <v>569</v>
      </c>
      <c r="D1152" s="2" t="str">
        <f t="shared" si="17"/>
        <v>Error?</v>
      </c>
    </row>
    <row r="1153" spans="1:4" x14ac:dyDescent="0.2">
      <c r="A1153" s="5">
        <v>1092</v>
      </c>
      <c r="B1153" s="1832">
        <f>'Expenditures 15-22'!K115</f>
        <v>374095</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162564</v>
      </c>
      <c r="D1221" s="2" t="str">
        <f t="shared" si="18"/>
        <v>Error?</v>
      </c>
    </row>
    <row r="1222" spans="1:4" x14ac:dyDescent="0.2">
      <c r="A1222" s="10">
        <v>1161</v>
      </c>
      <c r="B1222" s="1832"/>
      <c r="D1222" s="2" t="str">
        <f t="shared" si="18"/>
        <v>OK</v>
      </c>
    </row>
    <row r="1223" spans="1:4" x14ac:dyDescent="0.2">
      <c r="A1223" s="5">
        <v>1162</v>
      </c>
      <c r="B1223" s="1832">
        <f>'Expenditures 15-22'!C127</f>
        <v>162564</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162564</v>
      </c>
      <c r="C1225" s="2" t="s">
        <v>569</v>
      </c>
      <c r="D1225" s="2" t="str">
        <f t="shared" si="18"/>
        <v>Error?</v>
      </c>
    </row>
    <row r="1226" spans="1:4" x14ac:dyDescent="0.2">
      <c r="A1226" s="5">
        <v>1165</v>
      </c>
      <c r="B1226" s="1832">
        <f>'Expenditures 15-22'!C151</f>
        <v>162564</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8230</v>
      </c>
      <c r="D1229" s="2" t="str">
        <f t="shared" si="18"/>
        <v>Error?</v>
      </c>
    </row>
    <row r="1230" spans="1:4" x14ac:dyDescent="0.2">
      <c r="A1230" s="10">
        <v>1169</v>
      </c>
      <c r="B1230" s="1832"/>
      <c r="D1230" s="2" t="str">
        <f t="shared" si="18"/>
        <v>OK</v>
      </c>
    </row>
    <row r="1231" spans="1:4" x14ac:dyDescent="0.2">
      <c r="A1231" s="5">
        <v>1170</v>
      </c>
      <c r="B1231" s="1832">
        <f>'Expenditures 15-22'!D127</f>
        <v>8230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8230</v>
      </c>
      <c r="C1233" s="2" t="s">
        <v>569</v>
      </c>
      <c r="D1233" s="2" t="str">
        <f t="shared" si="18"/>
        <v>Error?</v>
      </c>
    </row>
    <row r="1234" spans="1:4" x14ac:dyDescent="0.2">
      <c r="A1234" s="5">
        <v>1173</v>
      </c>
      <c r="B1234" s="1832">
        <f>'Expenditures 15-22'!D151</f>
        <v>8230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52462</v>
      </c>
      <c r="D1237" s="2" t="str">
        <f t="shared" si="18"/>
        <v>Error?</v>
      </c>
    </row>
    <row r="1238" spans="1:4" x14ac:dyDescent="0.2">
      <c r="A1238" s="10">
        <v>1177</v>
      </c>
      <c r="B1238" s="1832"/>
      <c r="D1238" s="2" t="str">
        <f t="shared" si="18"/>
        <v>OK</v>
      </c>
    </row>
    <row r="1239" spans="1:4" x14ac:dyDescent="0.2">
      <c r="A1239" s="5">
        <v>1178</v>
      </c>
      <c r="B1239" s="1832">
        <f>'Expenditures 15-22'!E127</f>
        <v>52462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52462</v>
      </c>
      <c r="C1241" s="2" t="s">
        <v>569</v>
      </c>
      <c r="D1241" s="2" t="str">
        <f t="shared" si="18"/>
        <v>Error?</v>
      </c>
    </row>
    <row r="1242" spans="1:4" x14ac:dyDescent="0.2">
      <c r="A1242" s="5">
        <v>1181</v>
      </c>
      <c r="B1242" s="1832">
        <f>'Expenditures 15-22'!E151</f>
        <v>52462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125361</v>
      </c>
      <c r="D1245" s="2" t="str">
        <f t="shared" si="18"/>
        <v>Error?</v>
      </c>
    </row>
    <row r="1246" spans="1:4" x14ac:dyDescent="0.2">
      <c r="A1246" s="10">
        <v>1185</v>
      </c>
      <c r="B1246" s="1832"/>
      <c r="D1246" s="2" t="str">
        <f t="shared" si="18"/>
        <v>OK</v>
      </c>
    </row>
    <row r="1247" spans="1:4" x14ac:dyDescent="0.2">
      <c r="A1247" s="5">
        <v>1186</v>
      </c>
      <c r="B1247" s="1832">
        <f>'Expenditures 15-22'!F127</f>
        <v>125361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125361</v>
      </c>
      <c r="C1249" s="2" t="s">
        <v>569</v>
      </c>
      <c r="D1249" s="2" t="str">
        <f t="shared" si="18"/>
        <v>Error?</v>
      </c>
    </row>
    <row r="1250" spans="1:4" x14ac:dyDescent="0.2">
      <c r="A1250" s="5">
        <v>1189</v>
      </c>
      <c r="B1250" s="1832">
        <f>'Expenditures 15-22'!F151</f>
        <v>125361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309560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309560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309560</v>
      </c>
      <c r="C1258" s="2" t="s">
        <v>569</v>
      </c>
      <c r="D1258" s="2" t="str">
        <f t="shared" si="18"/>
        <v>Error?</v>
      </c>
    </row>
    <row r="1259" spans="1:4" x14ac:dyDescent="0.2">
      <c r="A1259" s="5">
        <v>1198</v>
      </c>
      <c r="B1259" s="1832">
        <f>'Expenditures 15-22'!G151</f>
        <v>309560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309560</v>
      </c>
      <c r="C1275" s="2" t="s">
        <v>569</v>
      </c>
      <c r="D1275" s="2" t="str">
        <f t="shared" si="18"/>
        <v>Error?</v>
      </c>
    </row>
    <row r="1276" spans="1:4" x14ac:dyDescent="0.2">
      <c r="A1276" s="5">
        <v>1215</v>
      </c>
      <c r="B1276" s="1832">
        <f>'Expenditures 15-22'!K124</f>
        <v>348617</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658177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658177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658177</v>
      </c>
      <c r="C1288" s="2" t="s">
        <v>569</v>
      </c>
      <c r="D1288" s="2" t="str">
        <f t="shared" si="19"/>
        <v>Error?</v>
      </c>
    </row>
    <row r="1289" spans="1:4" x14ac:dyDescent="0.2">
      <c r="A1289" s="5">
        <v>1228</v>
      </c>
      <c r="B1289" s="1832">
        <f>'Expenditures 15-22'!K152</f>
        <v>-264589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21151</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527600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548751</v>
      </c>
      <c r="C1317" s="2" t="s">
        <v>569</v>
      </c>
      <c r="D1317" s="2" t="str">
        <f t="shared" si="19"/>
        <v>Error?</v>
      </c>
    </row>
    <row r="1318" spans="1:4" x14ac:dyDescent="0.2">
      <c r="A1318" s="5">
        <v>1257</v>
      </c>
      <c r="B1318" s="1832">
        <f>'Expenditures 15-22'!H174</f>
        <v>548751</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21151</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527600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548751</v>
      </c>
      <c r="C1331" s="2" t="s">
        <v>569</v>
      </c>
      <c r="D1331" s="2" t="str">
        <f t="shared" si="19"/>
        <v>Error?</v>
      </c>
    </row>
    <row r="1332" spans="1:4" x14ac:dyDescent="0.2">
      <c r="A1332" s="5">
        <v>1271</v>
      </c>
      <c r="B1332" s="1832">
        <f>'Expenditures 15-22'!K174</f>
        <v>548751</v>
      </c>
      <c r="C1332" s="2" t="s">
        <v>569</v>
      </c>
      <c r="D1332" s="2" t="str">
        <f t="shared" si="19"/>
        <v>Error?</v>
      </c>
    </row>
    <row r="1333" spans="1:4" x14ac:dyDescent="0.2">
      <c r="A1333" s="5">
        <v>1272</v>
      </c>
      <c r="B1333" s="1832">
        <f>'Expenditures 15-22'!K175</f>
        <v>-23307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11204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11204</v>
      </c>
      <c r="C1339" s="2" t="s">
        <v>569</v>
      </c>
      <c r="D1339" s="2" t="str">
        <f t="shared" si="19"/>
        <v>Error?</v>
      </c>
    </row>
    <row r="1340" spans="1:4" x14ac:dyDescent="0.2">
      <c r="A1340" s="5">
        <v>1279</v>
      </c>
      <c r="B1340" s="1832">
        <f>'Expenditures 15-22'!C210</f>
        <v>11204</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456771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456771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456771</v>
      </c>
      <c r="C1353" s="2" t="s">
        <v>569</v>
      </c>
      <c r="D1353" s="2" t="str">
        <f t="shared" si="20"/>
        <v>Error?</v>
      </c>
    </row>
    <row r="1354" spans="1:4" x14ac:dyDescent="0.2">
      <c r="A1354" s="5">
        <v>1293</v>
      </c>
      <c r="B1354" s="1832">
        <f>'Expenditures 15-22'!F182</f>
        <v>1177</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1177</v>
      </c>
      <c r="C1358" s="2" t="s">
        <v>569</v>
      </c>
      <c r="D1358" s="2" t="str">
        <f t="shared" si="20"/>
        <v>Error?</v>
      </c>
    </row>
    <row r="1359" spans="1:4" x14ac:dyDescent="0.2">
      <c r="A1359" s="5">
        <v>1298</v>
      </c>
      <c r="B1359" s="1832">
        <f>'Expenditures 15-22'!F210</f>
        <v>1177</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469152</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469152</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469152</v>
      </c>
      <c r="C1388" s="2" t="s">
        <v>569</v>
      </c>
      <c r="D1388" s="2" t="str">
        <f t="shared" si="20"/>
        <v>Error?</v>
      </c>
    </row>
    <row r="1389" spans="1:4" x14ac:dyDescent="0.2">
      <c r="A1389" s="5">
        <v>1328</v>
      </c>
      <c r="B1389" s="1832">
        <f>'Expenditures 15-22'!K211</f>
        <v>-27982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590</v>
      </c>
      <c r="D1407" s="2" t="str">
        <f t="shared" ref="D1407:D1470" si="21">IF(ISBLANK(B1407),"OK",IF(A1407-B1407=0,"OK","Error?"))</f>
        <v>Error?</v>
      </c>
    </row>
    <row r="1408" spans="1:4" x14ac:dyDescent="0.2">
      <c r="A1408" s="5">
        <v>1347</v>
      </c>
      <c r="B1408" s="1832">
        <f>'Expenditures 15-22'!D223</f>
        <v>4450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48550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5956</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475</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6431</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1259</v>
      </c>
      <c r="D1422" s="2" t="str">
        <f t="shared" si="21"/>
        <v>Error?</v>
      </c>
    </row>
    <row r="1423" spans="1:4" x14ac:dyDescent="0.2">
      <c r="A1423" s="5">
        <v>1362</v>
      </c>
      <c r="B1423" s="1832">
        <f>'Expenditures 15-22'!D246</f>
        <v>13782</v>
      </c>
      <c r="D1423" s="2" t="str">
        <f t="shared" si="21"/>
        <v>Error?</v>
      </c>
    </row>
    <row r="1424" spans="1:4" x14ac:dyDescent="0.2">
      <c r="A1424" s="5">
        <v>1363</v>
      </c>
      <c r="B1424" s="1832">
        <f>'Expenditures 15-22'!D257</f>
        <v>15041</v>
      </c>
      <c r="C1424" s="2" t="s">
        <v>569</v>
      </c>
      <c r="D1424" s="2" t="str">
        <f t="shared" si="21"/>
        <v>Error?</v>
      </c>
    </row>
    <row r="1425" spans="1:4" x14ac:dyDescent="0.2">
      <c r="A1425" s="5">
        <v>1364</v>
      </c>
      <c r="B1425" s="1832">
        <f>'Expenditures 15-22'!D259</f>
        <v>12651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12651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27464</v>
      </c>
      <c r="D1431" s="2" t="str">
        <f t="shared" si="21"/>
        <v>Error?</v>
      </c>
    </row>
    <row r="1432" spans="1:4" x14ac:dyDescent="0.2">
      <c r="A1432" s="5">
        <v>1371</v>
      </c>
      <c r="B1432" s="1832">
        <f>'Expenditures 15-22'!D267</f>
        <v>3003</v>
      </c>
      <c r="D1432" s="2" t="str">
        <f t="shared" si="21"/>
        <v>Error?</v>
      </c>
    </row>
    <row r="1433" spans="1:4" x14ac:dyDescent="0.2">
      <c r="A1433" s="5">
        <v>1372</v>
      </c>
      <c r="B1433" s="1832">
        <f>'Expenditures 15-22'!D268</f>
        <v>9833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40300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74423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122973</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590</v>
      </c>
      <c r="C1471" s="2" t="s">
        <v>569</v>
      </c>
      <c r="D1471" s="2" t="str">
        <f t="shared" ref="D1471:D1534" si="22">IF(ISBLANK(B1471),"OK",IF(A1471-B1471=0,"OK","Error?"))</f>
        <v>Error?</v>
      </c>
    </row>
    <row r="1472" spans="1:4" x14ac:dyDescent="0.2">
      <c r="A1472" s="5">
        <v>1411</v>
      </c>
      <c r="B1472" s="1832">
        <f>'Expenditures 15-22'!K223</f>
        <v>4450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48550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5956</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475</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6431</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1259</v>
      </c>
      <c r="C1486" s="2" t="s">
        <v>569</v>
      </c>
      <c r="D1486" s="2" t="str">
        <f t="shared" si="22"/>
        <v>Error?</v>
      </c>
    </row>
    <row r="1487" spans="1:4" x14ac:dyDescent="0.2">
      <c r="A1487" s="5">
        <v>1426</v>
      </c>
      <c r="B1487" s="1832">
        <f>'Expenditures 15-22'!K246</f>
        <v>13782</v>
      </c>
      <c r="C1487" s="2" t="s">
        <v>569</v>
      </c>
      <c r="D1487" s="2" t="str">
        <f t="shared" si="22"/>
        <v>Error?</v>
      </c>
    </row>
    <row r="1488" spans="1:4" x14ac:dyDescent="0.2">
      <c r="A1488" s="5">
        <v>1427</v>
      </c>
      <c r="B1488" s="1832">
        <f>'Expenditures 15-22'!K257</f>
        <v>15041</v>
      </c>
      <c r="C1488" s="2" t="s">
        <v>569</v>
      </c>
      <c r="D1488" s="2" t="str">
        <f t="shared" si="22"/>
        <v>Error?</v>
      </c>
    </row>
    <row r="1489" spans="1:4" x14ac:dyDescent="0.2">
      <c r="A1489" s="5">
        <v>1428</v>
      </c>
      <c r="B1489" s="1832">
        <f>'Expenditures 15-22'!K259</f>
        <v>12651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12651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27464</v>
      </c>
      <c r="C1495" s="2" t="s">
        <v>569</v>
      </c>
      <c r="D1495" s="2" t="str">
        <f t="shared" si="22"/>
        <v>Error?</v>
      </c>
    </row>
    <row r="1496" spans="1:4" x14ac:dyDescent="0.2">
      <c r="A1496" s="5">
        <v>1435</v>
      </c>
      <c r="B1496" s="1832">
        <f>'Expenditures 15-22'!K267</f>
        <v>3003</v>
      </c>
      <c r="C1496" s="2" t="s">
        <v>569</v>
      </c>
      <c r="D1496" s="2" t="str">
        <f t="shared" si="22"/>
        <v>Error?</v>
      </c>
    </row>
    <row r="1497" spans="1:4" x14ac:dyDescent="0.2">
      <c r="A1497" s="5">
        <v>1436</v>
      </c>
      <c r="B1497" s="1832">
        <f>'Expenditures 15-22'!K268</f>
        <v>9833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40300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74423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122973</v>
      </c>
      <c r="C1517" s="2" t="s">
        <v>569</v>
      </c>
      <c r="D1517" s="2" t="str">
        <f t="shared" si="22"/>
        <v>Error?</v>
      </c>
    </row>
    <row r="1518" spans="1:4" x14ac:dyDescent="0.2">
      <c r="A1518" s="5">
        <v>1457</v>
      </c>
      <c r="B1518" s="1832">
        <f>'Expenditures 15-22'!K296</f>
        <v>-15630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2340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2340</v>
      </c>
      <c r="C1535" s="2" t="s">
        <v>569</v>
      </c>
      <c r="D1535" s="2" t="str">
        <f t="shared" ref="D1535:D1598" si="23">IF(ISBLANK(B1535),"OK",IF(A1535-B1535=0,"OK","Error?"))</f>
        <v>Error?</v>
      </c>
    </row>
    <row r="1536" spans="1:4" x14ac:dyDescent="0.2">
      <c r="A1536" s="5">
        <v>1475</v>
      </c>
      <c r="B1536" s="1832">
        <f>'Expenditures 15-22'!E312</f>
        <v>2340</v>
      </c>
      <c r="C1536" s="2" t="s">
        <v>569</v>
      </c>
      <c r="D1536" s="2" t="str">
        <f t="shared" si="23"/>
        <v>Error?</v>
      </c>
    </row>
    <row r="1537" spans="1:4" x14ac:dyDescent="0.2">
      <c r="A1537" s="5">
        <v>1476</v>
      </c>
      <c r="B1537" s="1832">
        <f>'Expenditures 15-22'!F301</f>
        <v>17844</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17844</v>
      </c>
      <c r="C1541" s="2" t="s">
        <v>569</v>
      </c>
      <c r="D1541" s="2" t="str">
        <f t="shared" si="23"/>
        <v>Error?</v>
      </c>
    </row>
    <row r="1542" spans="1:4" x14ac:dyDescent="0.2">
      <c r="A1542" s="5">
        <v>1481</v>
      </c>
      <c r="B1542" s="1832">
        <f>'Expenditures 15-22'!F312</f>
        <v>17844</v>
      </c>
      <c r="C1542" s="2" t="s">
        <v>569</v>
      </c>
      <c r="D1542" s="2" t="str">
        <f t="shared" si="23"/>
        <v>Error?</v>
      </c>
    </row>
    <row r="1543" spans="1:4" x14ac:dyDescent="0.2">
      <c r="A1543" s="5">
        <v>1482</v>
      </c>
      <c r="B1543" s="1832">
        <f>'Expenditures 15-22'!G301</f>
        <v>10113</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10113</v>
      </c>
      <c r="C1547" s="2" t="s">
        <v>569</v>
      </c>
      <c r="D1547" s="2" t="str">
        <f t="shared" si="23"/>
        <v>Error?</v>
      </c>
    </row>
    <row r="1548" spans="1:4" x14ac:dyDescent="0.2">
      <c r="A1548" s="5">
        <v>1487</v>
      </c>
      <c r="B1548" s="1832">
        <f>'Expenditures 15-22'!G312</f>
        <v>10113</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30297</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30297</v>
      </c>
      <c r="C1559" s="2" t="s">
        <v>569</v>
      </c>
      <c r="D1559" s="2" t="str">
        <f t="shared" si="23"/>
        <v>Error?</v>
      </c>
    </row>
    <row r="1560" spans="1:4" x14ac:dyDescent="0.2">
      <c r="A1560" s="5">
        <v>1499</v>
      </c>
      <c r="B1560" s="1832">
        <f>'Expenditures 15-22'!K312</f>
        <v>30297</v>
      </c>
      <c r="C1560" s="2" t="s">
        <v>569</v>
      </c>
      <c r="D1560" s="2" t="str">
        <f t="shared" si="23"/>
        <v>Error?</v>
      </c>
    </row>
    <row r="1561" spans="1:4" x14ac:dyDescent="0.2">
      <c r="A1561" s="5">
        <v>1500</v>
      </c>
      <c r="B1561" s="1832">
        <f>'Expenditures 15-22'!K313</f>
        <v>66974</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783502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1157597</v>
      </c>
      <c r="C1630" s="2" t="s">
        <v>569</v>
      </c>
      <c r="D1630" s="2" t="str">
        <f t="shared" si="24"/>
        <v>Error?</v>
      </c>
    </row>
    <row r="1631" spans="1:4" x14ac:dyDescent="0.2">
      <c r="A1631" s="5">
        <v>1570</v>
      </c>
      <c r="B1631" s="1832">
        <f>'Acct Summary 7-8'!D79</f>
        <v>35633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121044</v>
      </c>
      <c r="C1644" s="2" t="s">
        <v>569</v>
      </c>
      <c r="D1644" s="2" t="str">
        <f t="shared" si="24"/>
        <v>Error?</v>
      </c>
    </row>
    <row r="1645" spans="1:4" x14ac:dyDescent="0.2">
      <c r="A1645" s="5">
        <v>1584</v>
      </c>
      <c r="B1645" s="1832">
        <f>'Acct Summary 7-8'!E79</f>
        <v>80362</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57523</v>
      </c>
      <c r="C1658" s="2" t="s">
        <v>569</v>
      </c>
      <c r="D1658" s="2" t="str">
        <f t="shared" si="24"/>
        <v>Error?</v>
      </c>
    </row>
    <row r="1659" spans="1:4" x14ac:dyDescent="0.2">
      <c r="A1659" s="5">
        <v>1598</v>
      </c>
      <c r="B1659" s="1832">
        <f>'Acct Summary 7-8'!F79</f>
        <v>163199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135217</v>
      </c>
      <c r="C1672" s="2" t="s">
        <v>569</v>
      </c>
      <c r="D1672" s="2" t="str">
        <f t="shared" si="25"/>
        <v>Error?</v>
      </c>
    </row>
    <row r="1673" spans="1:4" x14ac:dyDescent="0.2">
      <c r="A1673" s="5">
        <v>1612</v>
      </c>
      <c r="B1673" s="1832">
        <f>'Acct Summary 7-8'!G79</f>
        <v>98953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83323</v>
      </c>
      <c r="C1686" s="2" t="s">
        <v>569</v>
      </c>
      <c r="D1686" s="2" t="str">
        <f t="shared" si="25"/>
        <v>Error?</v>
      </c>
    </row>
    <row r="1687" spans="1:4" x14ac:dyDescent="0.2">
      <c r="A1687" s="5">
        <v>1626</v>
      </c>
      <c r="B1687" s="1832">
        <f>'Acct Summary 7-8'!H79</f>
        <v>106923</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173897</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1217107</v>
      </c>
      <c r="C1744" s="2" t="s">
        <v>569</v>
      </c>
      <c r="D1744" s="2" t="str">
        <f t="shared" si="26"/>
        <v>Error?</v>
      </c>
    </row>
    <row r="1745" spans="1:5" x14ac:dyDescent="0.2">
      <c r="A1745" s="5">
        <v>1684</v>
      </c>
      <c r="B1745" s="1832">
        <f>'Tax Sched 23'!B5</f>
        <v>291174</v>
      </c>
      <c r="C1745" s="2" t="s">
        <v>569</v>
      </c>
      <c r="D1745" s="2" t="str">
        <f t="shared" si="26"/>
        <v>Error?</v>
      </c>
    </row>
    <row r="1746" spans="1:5" x14ac:dyDescent="0.2">
      <c r="A1746" s="5">
        <v>1685</v>
      </c>
      <c r="B1746" s="1832">
        <f>'Tax Sched 23'!B6</f>
        <v>525413</v>
      </c>
      <c r="C1746" s="2" t="s">
        <v>569</v>
      </c>
      <c r="D1746" s="2" t="str">
        <f t="shared" si="26"/>
        <v>Error?</v>
      </c>
    </row>
    <row r="1747" spans="1:5" x14ac:dyDescent="0.2">
      <c r="A1747" s="5">
        <v>1686</v>
      </c>
      <c r="B1747" s="1832">
        <f>'Tax Sched 23'!B7</f>
        <v>116470</v>
      </c>
      <c r="C1747" s="2" t="s">
        <v>569</v>
      </c>
      <c r="D1747" s="2" t="str">
        <f t="shared" si="26"/>
        <v>Error?</v>
      </c>
    </row>
    <row r="1748" spans="1:5" x14ac:dyDescent="0.2">
      <c r="A1748" s="5">
        <v>1687</v>
      </c>
      <c r="B1748" s="1832">
        <f>'Tax Sched 23'!B8</f>
        <v>46917</v>
      </c>
      <c r="C1748" s="2" t="s">
        <v>569</v>
      </c>
      <c r="D1748" s="2" t="str">
        <f t="shared" si="26"/>
        <v>Error?</v>
      </c>
    </row>
    <row r="1749" spans="1:5" x14ac:dyDescent="0.2">
      <c r="A1749" s="5">
        <v>1688</v>
      </c>
      <c r="B1749" s="1832">
        <f>'Tax Sched 23'!B10</f>
        <v>29118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234583</v>
      </c>
      <c r="C1752" s="2" t="s">
        <v>569</v>
      </c>
      <c r="D1752" s="2" t="str">
        <f t="shared" si="26"/>
        <v>Error?</v>
      </c>
    </row>
    <row r="1753" spans="1:5" x14ac:dyDescent="0.2">
      <c r="A1753" s="5">
        <v>1692</v>
      </c>
      <c r="B1753" s="1832">
        <f>'Tax Sched 23'!B12</f>
        <v>29118</v>
      </c>
      <c r="C1753" s="2" t="s">
        <v>569</v>
      </c>
      <c r="D1753" s="2" t="str">
        <f t="shared" si="26"/>
        <v>Error?</v>
      </c>
    </row>
    <row r="1754" spans="1:5" x14ac:dyDescent="0.2">
      <c r="A1754" s="5">
        <v>1693</v>
      </c>
      <c r="B1754" s="1832">
        <f>'Tax Sched 23'!B14</f>
        <v>23293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2569687</v>
      </c>
      <c r="C1759" s="2" t="s">
        <v>569</v>
      </c>
      <c r="D1759" s="2" t="str">
        <f t="shared" si="26"/>
        <v>Error?</v>
      </c>
    </row>
    <row r="1760" spans="1:5" x14ac:dyDescent="0.2">
      <c r="A1760" s="5">
        <v>1699</v>
      </c>
      <c r="B1760" s="1832">
        <f>'Tax Sched 23'!D4</f>
        <v>1217107</v>
      </c>
      <c r="C1760" s="2" t="s">
        <v>569</v>
      </c>
      <c r="D1760" s="2" t="str">
        <f t="shared" si="26"/>
        <v>Error?</v>
      </c>
    </row>
    <row r="1761" spans="1:7" x14ac:dyDescent="0.2">
      <c r="A1761" s="5">
        <v>1700</v>
      </c>
      <c r="B1761" s="1832">
        <f>'Tax Sched 23'!D5</f>
        <v>291174</v>
      </c>
      <c r="C1761" s="2" t="s">
        <v>569</v>
      </c>
      <c r="D1761" s="2" t="str">
        <f t="shared" si="26"/>
        <v>Error?</v>
      </c>
    </row>
    <row r="1762" spans="1:7" s="8" customFormat="1" x14ac:dyDescent="0.2">
      <c r="A1762" s="5">
        <v>1701</v>
      </c>
      <c r="B1762" s="1832">
        <f>'Tax Sched 23'!D6</f>
        <v>525413</v>
      </c>
      <c r="C1762" s="2" t="s">
        <v>569</v>
      </c>
      <c r="D1762" s="2" t="str">
        <f t="shared" si="26"/>
        <v>Error?</v>
      </c>
      <c r="E1762" s="9"/>
      <c r="G1762"/>
    </row>
    <row r="1763" spans="1:7" x14ac:dyDescent="0.2">
      <c r="A1763" s="5">
        <v>1702</v>
      </c>
      <c r="B1763" s="1832">
        <f>'Tax Sched 23'!D7</f>
        <v>116470</v>
      </c>
      <c r="C1763" s="2" t="s">
        <v>569</v>
      </c>
      <c r="D1763" s="2" t="str">
        <f t="shared" si="26"/>
        <v>Error?</v>
      </c>
    </row>
    <row r="1764" spans="1:7" x14ac:dyDescent="0.2">
      <c r="A1764" s="5">
        <v>1703</v>
      </c>
      <c r="B1764" s="1832">
        <f>'Tax Sched 23'!D8</f>
        <v>46917</v>
      </c>
      <c r="C1764" s="2" t="s">
        <v>569</v>
      </c>
      <c r="D1764" s="2" t="str">
        <f t="shared" si="26"/>
        <v>Error?</v>
      </c>
    </row>
    <row r="1765" spans="1:7" x14ac:dyDescent="0.2">
      <c r="A1765" s="5">
        <v>1704</v>
      </c>
      <c r="B1765" s="1832">
        <f>'Tax Sched 23'!D10</f>
        <v>29118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234583</v>
      </c>
      <c r="C1768" s="2" t="s">
        <v>569</v>
      </c>
      <c r="D1768" s="2" t="str">
        <f t="shared" si="26"/>
        <v>Error?</v>
      </c>
    </row>
    <row r="1769" spans="1:7" x14ac:dyDescent="0.2">
      <c r="A1769" s="5">
        <v>1708</v>
      </c>
      <c r="B1769" s="1832">
        <f>'Tax Sched 23'!D12</f>
        <v>29118</v>
      </c>
      <c r="C1769" s="2" t="s">
        <v>569</v>
      </c>
      <c r="D1769" s="2" t="str">
        <f t="shared" si="26"/>
        <v>Error?</v>
      </c>
    </row>
    <row r="1770" spans="1:7" x14ac:dyDescent="0.2">
      <c r="A1770" s="5">
        <v>1709</v>
      </c>
      <c r="B1770" s="1832">
        <f>'Tax Sched 23'!D14</f>
        <v>23293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2569687</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1325435</v>
      </c>
      <c r="C1792" s="2" t="s">
        <v>569</v>
      </c>
      <c r="D1792" s="2" t="str">
        <f t="shared" si="27"/>
        <v>Error?</v>
      </c>
    </row>
    <row r="1793" spans="1:4" x14ac:dyDescent="0.2">
      <c r="A1793" s="5">
        <v>1732</v>
      </c>
      <c r="B1793" s="1832">
        <f>'Tax Sched 23'!F5</f>
        <v>317942</v>
      </c>
      <c r="C1793" s="2" t="s">
        <v>569</v>
      </c>
      <c r="D1793" s="2" t="str">
        <f t="shared" si="27"/>
        <v>Error?</v>
      </c>
    </row>
    <row r="1794" spans="1:4" x14ac:dyDescent="0.2">
      <c r="A1794" s="5">
        <v>1733</v>
      </c>
      <c r="B1794" s="1832">
        <f>'Tax Sched 23'!F6</f>
        <v>564983</v>
      </c>
      <c r="C1794" s="2" t="s">
        <v>569</v>
      </c>
      <c r="D1794" s="2" t="str">
        <f t="shared" si="27"/>
        <v>Error?</v>
      </c>
    </row>
    <row r="1795" spans="1:4" x14ac:dyDescent="0.2">
      <c r="A1795" s="5">
        <v>1734</v>
      </c>
      <c r="B1795" s="1832">
        <f>'Tax Sched 23'!F7</f>
        <v>127177</v>
      </c>
      <c r="C1795" s="2" t="s">
        <v>569</v>
      </c>
      <c r="D1795" s="2" t="str">
        <f t="shared" si="27"/>
        <v>Error?</v>
      </c>
    </row>
    <row r="1796" spans="1:4" x14ac:dyDescent="0.2">
      <c r="A1796" s="5">
        <v>1735</v>
      </c>
      <c r="B1796" s="1832">
        <f>'Tax Sched 23'!F8</f>
        <v>56508</v>
      </c>
      <c r="C1796" s="2" t="s">
        <v>569</v>
      </c>
      <c r="D1796" s="2" t="str">
        <f t="shared" si="27"/>
        <v>Error?</v>
      </c>
    </row>
    <row r="1797" spans="1:4" x14ac:dyDescent="0.2">
      <c r="A1797" s="5">
        <v>1736</v>
      </c>
      <c r="B1797" s="1832">
        <f>'Tax Sched 23'!F10</f>
        <v>31794</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272252</v>
      </c>
      <c r="C1800" s="2" t="s">
        <v>569</v>
      </c>
      <c r="D1800" s="2" t="str">
        <f t="shared" si="27"/>
        <v>Error?</v>
      </c>
    </row>
    <row r="1801" spans="1:4" x14ac:dyDescent="0.2">
      <c r="A1801" s="5">
        <v>1740</v>
      </c>
      <c r="B1801" s="1832">
        <f>'Tax Sched 23'!F12</f>
        <v>31794</v>
      </c>
      <c r="C1801" s="2" t="s">
        <v>569</v>
      </c>
      <c r="D1801" s="2" t="str">
        <f t="shared" si="27"/>
        <v>Error?</v>
      </c>
    </row>
    <row r="1802" spans="1:4" x14ac:dyDescent="0.2">
      <c r="A1802" s="5">
        <v>1741</v>
      </c>
      <c r="B1802" s="1832">
        <f>'Tax Sched 23'!F14</f>
        <v>25435</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2834143</v>
      </c>
      <c r="C1807" s="2" t="s">
        <v>569</v>
      </c>
      <c r="D1807" s="2" t="str">
        <f t="shared" si="27"/>
        <v>Error?</v>
      </c>
    </row>
    <row r="1808" spans="1:4" x14ac:dyDescent="0.2">
      <c r="A1808" s="5">
        <v>1747</v>
      </c>
      <c r="B1808" s="1832">
        <f>'Tax Sched 23'!E4</f>
        <v>1325435</v>
      </c>
      <c r="D1808" s="2" t="str">
        <f t="shared" si="27"/>
        <v>Error?</v>
      </c>
    </row>
    <row r="1809" spans="1:4" x14ac:dyDescent="0.2">
      <c r="A1809" s="5">
        <v>1748</v>
      </c>
      <c r="B1809" s="1832">
        <f>'Tax Sched 23'!E5</f>
        <v>317942</v>
      </c>
      <c r="D1809" s="2" t="str">
        <f t="shared" si="27"/>
        <v>Error?</v>
      </c>
    </row>
    <row r="1810" spans="1:4" x14ac:dyDescent="0.2">
      <c r="A1810" s="5">
        <v>1749</v>
      </c>
      <c r="B1810" s="1832">
        <f>'Tax Sched 23'!E6</f>
        <v>564983</v>
      </c>
      <c r="D1810" s="2" t="str">
        <f t="shared" si="27"/>
        <v>Error?</v>
      </c>
    </row>
    <row r="1811" spans="1:4" x14ac:dyDescent="0.2">
      <c r="A1811" s="5">
        <v>1750</v>
      </c>
      <c r="B1811" s="1832">
        <f>'Tax Sched 23'!E7</f>
        <v>127177</v>
      </c>
      <c r="D1811" s="2" t="str">
        <f t="shared" si="27"/>
        <v>Error?</v>
      </c>
    </row>
    <row r="1812" spans="1:4" x14ac:dyDescent="0.2">
      <c r="A1812" s="5">
        <v>1751</v>
      </c>
      <c r="B1812" s="1832">
        <f>'Tax Sched 23'!E8</f>
        <v>56508</v>
      </c>
      <c r="D1812" s="2" t="str">
        <f t="shared" si="27"/>
        <v>Error?</v>
      </c>
    </row>
    <row r="1813" spans="1:4" x14ac:dyDescent="0.2">
      <c r="A1813" s="5">
        <v>1752</v>
      </c>
      <c r="B1813" s="1832">
        <f>'Tax Sched 23'!E10</f>
        <v>31794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272252</v>
      </c>
      <c r="D1816" s="2" t="str">
        <f t="shared" si="27"/>
        <v>Error?</v>
      </c>
    </row>
    <row r="1817" spans="1:4" x14ac:dyDescent="0.2">
      <c r="A1817" s="5">
        <v>1756</v>
      </c>
      <c r="B1817" s="1832">
        <f>'Tax Sched 23'!E12</f>
        <v>31794</v>
      </c>
      <c r="D1817" s="2" t="str">
        <f t="shared" si="27"/>
        <v>Error?</v>
      </c>
    </row>
    <row r="1818" spans="1:4" x14ac:dyDescent="0.2">
      <c r="A1818" s="5">
        <v>1757</v>
      </c>
      <c r="B1818" s="1832">
        <f>'Tax Sched 23'!E14</f>
        <v>25435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2834143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859600</v>
      </c>
      <c r="C1939" s="2" t="s">
        <v>569</v>
      </c>
      <c r="D1939" s="2" t="str">
        <f t="shared" si="29"/>
        <v>Error?</v>
      </c>
    </row>
    <row r="1940" spans="1:5" x14ac:dyDescent="0.2">
      <c r="A1940" s="5">
        <v>1879</v>
      </c>
      <c r="B1940" s="1832">
        <f>'Short-Term Long-Term Debt 24'!F49</f>
        <v>1821600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23293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23293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23293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27700</v>
      </c>
      <c r="D2008" s="2" t="str">
        <f t="shared" si="30"/>
        <v>Error?</v>
      </c>
    </row>
    <row r="2009" spans="1:4" x14ac:dyDescent="0.2">
      <c r="A2009" s="5">
        <v>1948</v>
      </c>
      <c r="B2009" s="1832">
        <f>'Cap Outlay Deprec 26'!C8</f>
        <v>9007278</v>
      </c>
      <c r="D2009" s="2" t="str">
        <f t="shared" si="30"/>
        <v>Error?</v>
      </c>
    </row>
    <row r="2010" spans="1:4" x14ac:dyDescent="0.2">
      <c r="A2010" s="5">
        <v>1949</v>
      </c>
      <c r="B2010" s="1832">
        <f>'Cap Outlay Deprec 26'!C10</f>
        <v>2454587</v>
      </c>
      <c r="D2010" s="2" t="str">
        <f t="shared" si="30"/>
        <v>Error?</v>
      </c>
    </row>
    <row r="2011" spans="1:4" x14ac:dyDescent="0.2">
      <c r="A2011" s="5">
        <v>1950</v>
      </c>
      <c r="B2011" s="1832">
        <f>'Cap Outlay Deprec 26'!C12</f>
        <v>979911</v>
      </c>
      <c r="D2011" s="2" t="str">
        <f t="shared" si="30"/>
        <v>Error?</v>
      </c>
    </row>
    <row r="2012" spans="1:4" x14ac:dyDescent="0.2">
      <c r="A2012" s="5">
        <v>1951</v>
      </c>
      <c r="B2012" s="1832">
        <f>'Cap Outlay Deprec 26'!C13</f>
        <v>44247</v>
      </c>
      <c r="D2012" s="2" t="str">
        <f t="shared" si="30"/>
        <v>Error?</v>
      </c>
    </row>
    <row r="2013" spans="1:4" x14ac:dyDescent="0.2">
      <c r="A2013" s="5">
        <v>1952</v>
      </c>
      <c r="B2013" s="1832">
        <f>'Cap Outlay Deprec 26'!C16</f>
        <v>13050293</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441462</v>
      </c>
      <c r="D2015" s="2" t="str">
        <f t="shared" si="30"/>
        <v>Error?</v>
      </c>
    </row>
    <row r="2016" spans="1:4" x14ac:dyDescent="0.2">
      <c r="A2016" s="5">
        <v>1955</v>
      </c>
      <c r="B2016" s="1832">
        <f>'Cap Outlay Deprec 26'!D10</f>
        <v>10113</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771675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82742</v>
      </c>
      <c r="D2022" s="2" t="str">
        <f t="shared" si="30"/>
        <v>Error?</v>
      </c>
    </row>
    <row r="2023" spans="1:4" x14ac:dyDescent="0.2">
      <c r="A2023" s="5">
        <v>1962</v>
      </c>
      <c r="B2023" s="1832">
        <f>'Cap Outlay Deprec 26'!E12</f>
        <v>76432</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715091</v>
      </c>
      <c r="C2025" s="2" t="s">
        <v>569</v>
      </c>
      <c r="D2025" s="2" t="str">
        <f t="shared" si="30"/>
        <v>Error?</v>
      </c>
    </row>
    <row r="2026" spans="1:4" x14ac:dyDescent="0.2">
      <c r="A2026" s="5">
        <v>1965</v>
      </c>
      <c r="B2026" s="1832">
        <f>'Cap Outlay Deprec 26'!F5</f>
        <v>27700</v>
      </c>
      <c r="C2026" s="2" t="s">
        <v>569</v>
      </c>
      <c r="D2026" s="2" t="str">
        <f t="shared" si="30"/>
        <v>Error?</v>
      </c>
    </row>
    <row r="2027" spans="1:4" x14ac:dyDescent="0.2">
      <c r="A2027" s="5">
        <v>1966</v>
      </c>
      <c r="B2027" s="1832">
        <f>'Cap Outlay Deprec 26'!F8</f>
        <v>9448740</v>
      </c>
      <c r="C2027" s="2" t="s">
        <v>569</v>
      </c>
      <c r="D2027" s="2" t="str">
        <f t="shared" si="30"/>
        <v>Error?</v>
      </c>
    </row>
    <row r="2028" spans="1:4" x14ac:dyDescent="0.2">
      <c r="A2028" s="5">
        <v>1967</v>
      </c>
      <c r="B2028" s="1832">
        <f>'Cap Outlay Deprec 26'!F10</f>
        <v>2381958</v>
      </c>
      <c r="C2028" s="2" t="s">
        <v>569</v>
      </c>
      <c r="D2028" s="2" t="str">
        <f t="shared" si="30"/>
        <v>Error?</v>
      </c>
    </row>
    <row r="2029" spans="1:4" x14ac:dyDescent="0.2">
      <c r="A2029" s="5">
        <v>1968</v>
      </c>
      <c r="B2029" s="1832">
        <f>'Cap Outlay Deprec 26'!F12</f>
        <v>903479</v>
      </c>
      <c r="C2029" s="2" t="s">
        <v>569</v>
      </c>
      <c r="D2029" s="2" t="str">
        <f t="shared" si="30"/>
        <v>Error?</v>
      </c>
    </row>
    <row r="2030" spans="1:4" x14ac:dyDescent="0.2">
      <c r="A2030" s="5">
        <v>1969</v>
      </c>
      <c r="B2030" s="1832">
        <f>'Cap Outlay Deprec 26'!F13</f>
        <v>44247</v>
      </c>
      <c r="C2030" s="2" t="s">
        <v>569</v>
      </c>
      <c r="D2030" s="2" t="str">
        <f t="shared" si="30"/>
        <v>Error?</v>
      </c>
    </row>
    <row r="2031" spans="1:4" x14ac:dyDescent="0.2">
      <c r="A2031" s="5">
        <v>1970</v>
      </c>
      <c r="B2031" s="1832">
        <f>'Cap Outlay Deprec 26'!F16</f>
        <v>13106877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3972096</v>
      </c>
      <c r="D2033" s="2" t="str">
        <f t="shared" si="30"/>
        <v>Error?</v>
      </c>
    </row>
    <row r="2034" spans="1:4" x14ac:dyDescent="0.2">
      <c r="A2034" s="5">
        <v>1973</v>
      </c>
      <c r="B2034" s="1832">
        <f>'Cap Outlay Deprec 26'!H10</f>
        <v>1162837</v>
      </c>
      <c r="D2034" s="2" t="str">
        <f t="shared" si="30"/>
        <v>Error?</v>
      </c>
    </row>
    <row r="2035" spans="1:4" x14ac:dyDescent="0.2">
      <c r="A2035" s="5">
        <v>1974</v>
      </c>
      <c r="B2035" s="1832">
        <f>'Cap Outlay Deprec 26'!H12</f>
        <v>794715</v>
      </c>
      <c r="D2035" s="2" t="str">
        <f t="shared" si="30"/>
        <v>Error?</v>
      </c>
    </row>
    <row r="2036" spans="1:4" x14ac:dyDescent="0.2">
      <c r="A2036" s="5">
        <v>1975</v>
      </c>
      <c r="B2036" s="1832">
        <f>'Cap Outlay Deprec 26'!H13</f>
        <v>44247</v>
      </c>
      <c r="D2036" s="2" t="str">
        <f t="shared" si="30"/>
        <v>Error?</v>
      </c>
    </row>
    <row r="2037" spans="1:4" x14ac:dyDescent="0.2">
      <c r="A2037" s="5">
        <v>1976</v>
      </c>
      <c r="B2037" s="1832">
        <f>'Cap Outlay Deprec 26'!H16</f>
        <v>6365324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136153</v>
      </c>
      <c r="D2039" s="2" t="str">
        <f t="shared" si="30"/>
        <v>Error?</v>
      </c>
    </row>
    <row r="2040" spans="1:4" x14ac:dyDescent="0.2">
      <c r="A2040" s="5">
        <v>1979</v>
      </c>
      <c r="B2040" s="1832">
        <f>'Cap Outlay Deprec 26'!I10</f>
        <v>114500</v>
      </c>
      <c r="D2040" s="2" t="str">
        <f t="shared" si="30"/>
        <v>Error?</v>
      </c>
    </row>
    <row r="2041" spans="1:4" x14ac:dyDescent="0.2">
      <c r="A2041" s="5">
        <v>1980</v>
      </c>
      <c r="B2041" s="1832">
        <f>'Cap Outlay Deprec 26'!I12</f>
        <v>25529</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294330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82742</v>
      </c>
      <c r="D2046" s="2" t="str">
        <f t="shared" si="30"/>
        <v>Error?</v>
      </c>
    </row>
    <row r="2047" spans="1:4" x14ac:dyDescent="0.2">
      <c r="A2047" s="5">
        <v>1986</v>
      </c>
      <c r="B2047" s="1832">
        <f>'Cap Outlay Deprec 26'!J12</f>
        <v>76432</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273629</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4108249</v>
      </c>
      <c r="C2051" s="2" t="s">
        <v>569</v>
      </c>
      <c r="D2051" s="2" t="str">
        <f t="shared" si="31"/>
        <v>Error?</v>
      </c>
    </row>
    <row r="2052" spans="1:4" x14ac:dyDescent="0.2">
      <c r="A2052" s="5">
        <v>1991</v>
      </c>
      <c r="B2052" s="1832">
        <f>'Cap Outlay Deprec 26'!K10</f>
        <v>1194595</v>
      </c>
      <c r="C2052" s="2" t="s">
        <v>569</v>
      </c>
      <c r="D2052" s="2" t="str">
        <f t="shared" si="31"/>
        <v>Error?</v>
      </c>
    </row>
    <row r="2053" spans="1:4" x14ac:dyDescent="0.2">
      <c r="A2053" s="5">
        <v>1992</v>
      </c>
      <c r="B2053" s="1832">
        <f>'Cap Outlay Deprec 26'!K12</f>
        <v>743812</v>
      </c>
      <c r="C2053" s="2" t="s">
        <v>569</v>
      </c>
      <c r="D2053" s="2" t="str">
        <f t="shared" si="31"/>
        <v>Error?</v>
      </c>
    </row>
    <row r="2054" spans="1:4" x14ac:dyDescent="0.2">
      <c r="A2054" s="5">
        <v>1993</v>
      </c>
      <c r="B2054" s="1832">
        <f>'Cap Outlay Deprec 26'!K13</f>
        <v>44247</v>
      </c>
      <c r="C2054" s="2" t="s">
        <v>569</v>
      </c>
      <c r="D2054" s="2" t="str">
        <f t="shared" si="31"/>
        <v>Error?</v>
      </c>
    </row>
    <row r="2055" spans="1:4" x14ac:dyDescent="0.2">
      <c r="A2055" s="5">
        <v>1994</v>
      </c>
      <c r="B2055" s="1832">
        <f>'Cap Outlay Deprec 26'!K16</f>
        <v>6386025</v>
      </c>
      <c r="C2055" s="2" t="s">
        <v>569</v>
      </c>
      <c r="D2055" s="2" t="str">
        <f t="shared" si="31"/>
        <v>Error?</v>
      </c>
    </row>
    <row r="2056" spans="1:4" x14ac:dyDescent="0.2">
      <c r="A2056" s="5">
        <v>1995</v>
      </c>
      <c r="B2056" s="1832">
        <f>'Cap Outlay Deprec 26'!L5</f>
        <v>27700</v>
      </c>
      <c r="C2056" s="2" t="s">
        <v>569</v>
      </c>
      <c r="D2056" s="2" t="str">
        <f t="shared" si="31"/>
        <v>Error?</v>
      </c>
    </row>
    <row r="2057" spans="1:4" x14ac:dyDescent="0.2">
      <c r="A2057" s="5">
        <v>1996</v>
      </c>
      <c r="B2057" s="1832">
        <f>'Cap Outlay Deprec 26'!L8</f>
        <v>5340491</v>
      </c>
      <c r="C2057" s="2" t="s">
        <v>569</v>
      </c>
      <c r="D2057" s="2" t="str">
        <f t="shared" si="31"/>
        <v>Error?</v>
      </c>
    </row>
    <row r="2058" spans="1:4" x14ac:dyDescent="0.2">
      <c r="A2058" s="5">
        <v>1997</v>
      </c>
      <c r="B2058" s="1832">
        <f>'Cap Outlay Deprec 26'!L10</f>
        <v>1187363</v>
      </c>
      <c r="C2058" s="2" t="s">
        <v>569</v>
      </c>
      <c r="D2058" s="2" t="str">
        <f t="shared" si="31"/>
        <v>Error?</v>
      </c>
    </row>
    <row r="2059" spans="1:4" x14ac:dyDescent="0.2">
      <c r="A2059" s="5">
        <v>1998</v>
      </c>
      <c r="B2059" s="1832">
        <f>'Cap Outlay Deprec 26'!L12</f>
        <v>159667</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6720852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279068</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279068</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350000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83323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57523</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173897</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1746500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910133</v>
      </c>
      <c r="C2553" s="2" t="s">
        <v>569</v>
      </c>
      <c r="D2553" s="2" t="str">
        <f t="shared" si="38"/>
        <v>Error?</v>
      </c>
    </row>
    <row r="2554" spans="1:4" x14ac:dyDescent="0.2">
      <c r="A2554" s="5">
        <v>2493</v>
      </c>
      <c r="B2554" s="1832">
        <f>'Acct Summary 7-8'!C7</f>
        <v>616003</v>
      </c>
      <c r="C2554" s="2" t="s">
        <v>569</v>
      </c>
      <c r="D2554" s="2" t="str">
        <f t="shared" si="38"/>
        <v>Error?</v>
      </c>
    </row>
    <row r="2555" spans="1:4" x14ac:dyDescent="0.2">
      <c r="A2555" s="5">
        <v>2494</v>
      </c>
      <c r="B2555" s="1832">
        <f>'Acct Summary 7-8'!C8</f>
        <v>3272636</v>
      </c>
      <c r="C2555" s="2" t="s">
        <v>569</v>
      </c>
      <c r="D2555" s="2" t="str">
        <f t="shared" si="38"/>
        <v>Error?</v>
      </c>
    </row>
    <row r="2556" spans="1:4" x14ac:dyDescent="0.2">
      <c r="A2556" s="5">
        <v>2495</v>
      </c>
      <c r="B2556" s="1832">
        <f>'Acct Summary 7-8'!C12</f>
        <v>1815198</v>
      </c>
      <c r="C2556" s="2" t="s">
        <v>569</v>
      </c>
      <c r="D2556" s="2" t="str">
        <f t="shared" si="38"/>
        <v>Error?</v>
      </c>
    </row>
    <row r="2557" spans="1:4" x14ac:dyDescent="0.2">
      <c r="A2557" s="5">
        <v>2496</v>
      </c>
      <c r="B2557" s="1832">
        <f>'Acct Summary 7-8'!C13</f>
        <v>804275</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279068</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2898541</v>
      </c>
      <c r="C2561" s="2" t="s">
        <v>569</v>
      </c>
      <c r="D2561" s="2" t="str">
        <f t="shared" si="39"/>
        <v>Error?</v>
      </c>
    </row>
    <row r="2562" spans="1:4" x14ac:dyDescent="0.2">
      <c r="A2562" s="5">
        <v>2501</v>
      </c>
      <c r="B2562" s="1832">
        <f>'Acct Summary 7-8'!C20</f>
        <v>374095</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343588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393588</v>
      </c>
      <c r="C2568" s="2" t="s">
        <v>569</v>
      </c>
      <c r="D2568" s="2" t="str">
        <f t="shared" si="39"/>
        <v>Error?</v>
      </c>
    </row>
    <row r="2569" spans="1:4" x14ac:dyDescent="0.2">
      <c r="A2569" s="5">
        <v>2508</v>
      </c>
      <c r="B2569" s="1832">
        <f>'Acct Summary 7-8'!D13</f>
        <v>658177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658177</v>
      </c>
      <c r="C2573" s="2" t="s">
        <v>569</v>
      </c>
      <c r="D2573" s="2" t="str">
        <f t="shared" si="39"/>
        <v>Error?</v>
      </c>
    </row>
    <row r="2574" spans="1:4" x14ac:dyDescent="0.2">
      <c r="A2574" s="5">
        <v>2513</v>
      </c>
      <c r="B2574" s="1832">
        <f>'Acct Summary 7-8'!D20</f>
        <v>-264589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118430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322740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441170</v>
      </c>
      <c r="C2595" s="2" t="s">
        <v>569</v>
      </c>
      <c r="D2595" s="2" t="str">
        <f t="shared" si="39"/>
        <v>Error?</v>
      </c>
    </row>
    <row r="2596" spans="1:4" x14ac:dyDescent="0.2">
      <c r="A2596" s="5">
        <v>2535</v>
      </c>
      <c r="B2596" s="1832">
        <f>'Acct Summary 7-8'!F13</f>
        <v>469152</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469152</v>
      </c>
      <c r="C2600" s="2" t="s">
        <v>569</v>
      </c>
      <c r="D2600" s="2" t="str">
        <f t="shared" si="39"/>
        <v>Error?</v>
      </c>
    </row>
    <row r="2601" spans="1:4" x14ac:dyDescent="0.2">
      <c r="A2601" s="5">
        <v>2540</v>
      </c>
      <c r="B2601" s="1832">
        <f>'Acct Summary 7-8'!F20</f>
        <v>-27982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107343</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107343</v>
      </c>
      <c r="C2606" s="2" t="s">
        <v>569</v>
      </c>
      <c r="D2606" s="2" t="str">
        <f t="shared" si="39"/>
        <v>Error?</v>
      </c>
    </row>
    <row r="2607" spans="1:4" x14ac:dyDescent="0.2">
      <c r="A2607" s="5">
        <v>2546</v>
      </c>
      <c r="B2607" s="1832">
        <f>'Acct Summary 7-8'!G12</f>
        <v>48550</v>
      </c>
      <c r="C2607" s="2" t="s">
        <v>569</v>
      </c>
      <c r="D2607" s="2" t="str">
        <f t="shared" si="39"/>
        <v>Error?</v>
      </c>
    </row>
    <row r="2608" spans="1:4" x14ac:dyDescent="0.2">
      <c r="A2608" s="5">
        <v>2547</v>
      </c>
      <c r="B2608" s="1832">
        <f>'Acct Summary 7-8'!G13</f>
        <v>74423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122973</v>
      </c>
      <c r="C2612" s="2" t="s">
        <v>569</v>
      </c>
      <c r="D2612" s="2" t="str">
        <f t="shared" si="39"/>
        <v>Error?</v>
      </c>
    </row>
    <row r="2613" spans="1:4" x14ac:dyDescent="0.2">
      <c r="A2613" s="5">
        <v>2552</v>
      </c>
      <c r="B2613" s="1832">
        <f>'Acct Summary 7-8'!G20</f>
        <v>-15630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525444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525444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548751</v>
      </c>
      <c r="C2634" s="2" t="s">
        <v>569</v>
      </c>
      <c r="D2634" s="2" t="str">
        <f t="shared" si="40"/>
        <v>Error?</v>
      </c>
    </row>
    <row r="2635" spans="1:4" x14ac:dyDescent="0.2">
      <c r="A2635" s="5">
        <v>2574</v>
      </c>
      <c r="B2635" s="1832">
        <f>'Acct Summary 7-8'!E17</f>
        <v>548751</v>
      </c>
      <c r="C2635" s="2" t="s">
        <v>569</v>
      </c>
      <c r="D2635" s="2" t="str">
        <f t="shared" si="40"/>
        <v>Error?</v>
      </c>
    </row>
    <row r="2636" spans="1:4" x14ac:dyDescent="0.2">
      <c r="A2636" s="5">
        <v>2575</v>
      </c>
      <c r="B2636" s="1832">
        <f>'Acct Summary 7-8'!E20</f>
        <v>-23307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97271</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97271</v>
      </c>
      <c r="C2658" s="2" t="s">
        <v>569</v>
      </c>
      <c r="D2658" s="2" t="str">
        <f t="shared" si="40"/>
        <v>Error?</v>
      </c>
    </row>
    <row r="2659" spans="1:4" x14ac:dyDescent="0.2">
      <c r="A2659" s="5">
        <v>2598</v>
      </c>
      <c r="B2659" s="1832">
        <f>'Acct Summary 7-8'!H13</f>
        <v>30297</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30297</v>
      </c>
      <c r="C2661" s="2" t="s">
        <v>569</v>
      </c>
      <c r="D2661" s="2" t="str">
        <f t="shared" si="40"/>
        <v>Error?</v>
      </c>
    </row>
    <row r="2662" spans="1:4" x14ac:dyDescent="0.2">
      <c r="A2662" s="5">
        <v>2601</v>
      </c>
      <c r="B2662" s="1832">
        <f>'Acct Summary 7-8'!H20</f>
        <v>66974</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2167387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55743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2167387</v>
      </c>
      <c r="D2912" s="2" t="str">
        <f t="shared" si="44"/>
        <v>Error?</v>
      </c>
    </row>
    <row r="2913" spans="1:4" x14ac:dyDescent="0.2">
      <c r="A2913" s="5">
        <v>2852</v>
      </c>
      <c r="B2913" s="1832">
        <f>'Assets-Liab 5-6'!I41</f>
        <v>2167387</v>
      </c>
      <c r="C2913" s="2" t="s">
        <v>569</v>
      </c>
      <c r="D2913" s="2" t="str">
        <f t="shared" si="44"/>
        <v>Error?</v>
      </c>
    </row>
    <row r="2914" spans="1:4" x14ac:dyDescent="0.2">
      <c r="A2914" s="5">
        <v>2853</v>
      </c>
      <c r="B2914" s="1832">
        <f>'Assets-Liab 5-6'!L33</f>
        <v>55743</v>
      </c>
      <c r="D2914" s="2" t="str">
        <f t="shared" si="44"/>
        <v>Error?</v>
      </c>
    </row>
    <row r="2915" spans="1:4" x14ac:dyDescent="0.2">
      <c r="A2915" s="10">
        <v>2854</v>
      </c>
      <c r="B2915" s="1832"/>
      <c r="D2915" s="2" t="str">
        <f t="shared" si="44"/>
        <v>OK</v>
      </c>
    </row>
    <row r="2916" spans="1:4" x14ac:dyDescent="0.2">
      <c r="A2916" s="5">
        <v>2855</v>
      </c>
      <c r="B2916" s="1832">
        <f>'Assets-Liab 5-6'!L34</f>
        <v>55743</v>
      </c>
      <c r="C2916" s="2" t="s">
        <v>569</v>
      </c>
      <c r="D2916" s="2" t="str">
        <f t="shared" si="44"/>
        <v>Error?</v>
      </c>
    </row>
    <row r="2917" spans="1:4" x14ac:dyDescent="0.2">
      <c r="A2917" s="5">
        <v>2856</v>
      </c>
      <c r="B2917" s="1832">
        <f>'Assets-Liab 5-6'!L41</f>
        <v>55743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270922</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8146</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270922</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8146</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136987</v>
      </c>
      <c r="D3055" s="2" t="str">
        <f t="shared" si="46"/>
        <v>Error?</v>
      </c>
    </row>
    <row r="3056" spans="1:4" x14ac:dyDescent="0.2">
      <c r="A3056" s="5">
        <v>2995</v>
      </c>
      <c r="B3056" s="1832">
        <f>'Expenditures 15-22'!D10</f>
        <v>13542</v>
      </c>
      <c r="D3056" s="2" t="str">
        <f t="shared" si="46"/>
        <v>Error?</v>
      </c>
    </row>
    <row r="3057" spans="1:4" x14ac:dyDescent="0.2">
      <c r="A3057" s="5">
        <v>2996</v>
      </c>
      <c r="B3057" s="1832">
        <f>'Expenditures 15-22'!E10</f>
        <v>24259</v>
      </c>
      <c r="D3057" s="2" t="str">
        <f t="shared" si="46"/>
        <v>Error?</v>
      </c>
    </row>
    <row r="3058" spans="1:4" x14ac:dyDescent="0.2">
      <c r="A3058" s="5">
        <v>2997</v>
      </c>
      <c r="B3058" s="1832">
        <f>'Expenditures 15-22'!F10</f>
        <v>34064</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219603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419</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32193</v>
      </c>
      <c r="C3225" s="2" t="s">
        <v>569</v>
      </c>
      <c r="D3225" s="2" t="str">
        <f t="shared" si="49"/>
        <v>Error?</v>
      </c>
    </row>
    <row r="3226" spans="1:4" x14ac:dyDescent="0.2">
      <c r="A3226" s="5">
        <v>3165</v>
      </c>
      <c r="B3226" s="1832">
        <f>'Acct Summary 7-8'!I8</f>
        <v>32193</v>
      </c>
      <c r="C3226" s="2" t="s">
        <v>569</v>
      </c>
      <c r="D3226" s="2" t="str">
        <f t="shared" si="49"/>
        <v>Error?</v>
      </c>
    </row>
    <row r="3227" spans="1:4" x14ac:dyDescent="0.2">
      <c r="A3227" s="5">
        <v>3166</v>
      </c>
      <c r="B3227" s="1832">
        <f>'Acct Summary 7-8'!I20</f>
        <v>32193</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374095</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350000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350000</v>
      </c>
      <c r="C3238" s="2" t="s">
        <v>569</v>
      </c>
      <c r="D3238" s="2" t="str">
        <f t="shared" si="49"/>
        <v>Error?</v>
      </c>
    </row>
    <row r="3239" spans="1:4" x14ac:dyDescent="0.2">
      <c r="A3239" s="5">
        <v>3178</v>
      </c>
      <c r="B3239" s="1832">
        <f>'Acct Summary 7-8'!D78</f>
        <v>85411</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-27982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-15630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41468</v>
      </c>
      <c r="C3274" s="2" t="s">
        <v>569</v>
      </c>
      <c r="D3274" s="2" t="str">
        <f t="shared" si="50"/>
        <v>Error?</v>
      </c>
    </row>
    <row r="3275" spans="1:4" x14ac:dyDescent="0.2">
      <c r="A3275" s="5">
        <v>3214</v>
      </c>
      <c r="B3275" s="1832">
        <f>'Acct Summary 7-8'!E75</f>
        <v>41000</v>
      </c>
      <c r="D3275" s="2" t="str">
        <f t="shared" si="50"/>
        <v>Error?</v>
      </c>
    </row>
    <row r="3276" spans="1:4" x14ac:dyDescent="0.2">
      <c r="A3276" s="5">
        <v>3215</v>
      </c>
      <c r="B3276" s="1832">
        <f>'Acct Summary 7-8'!E76</f>
        <v>41000</v>
      </c>
      <c r="C3276" s="2" t="s">
        <v>569</v>
      </c>
      <c r="D3276" s="2" t="str">
        <f t="shared" si="50"/>
        <v>Error?</v>
      </c>
    </row>
    <row r="3277" spans="1:4" x14ac:dyDescent="0.2">
      <c r="A3277" s="5">
        <v>3216</v>
      </c>
      <c r="B3277" s="1832">
        <f>'Acct Summary 7-8'!E77</f>
        <v>468</v>
      </c>
      <c r="C3277" s="2" t="s">
        <v>569</v>
      </c>
      <c r="D3277" s="2" t="str">
        <f t="shared" si="50"/>
        <v>Error?</v>
      </c>
    </row>
    <row r="3278" spans="1:4" x14ac:dyDescent="0.2">
      <c r="A3278" s="5">
        <v>3217</v>
      </c>
      <c r="B3278" s="1832">
        <f>'Acct Summary 7-8'!E78</f>
        <v>-22839</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66974</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1821181</v>
      </c>
      <c r="C3317" s="2" t="s">
        <v>569</v>
      </c>
      <c r="D3317" s="2" t="str">
        <f t="shared" si="50"/>
        <v>Error?</v>
      </c>
    </row>
    <row r="3318" spans="1:4" x14ac:dyDescent="0.2">
      <c r="A3318" s="5">
        <v>3257</v>
      </c>
      <c r="B3318" s="1832">
        <f>'Acct Summary 7-8'!I76</f>
        <v>350000</v>
      </c>
      <c r="C3318" s="2" t="s">
        <v>569</v>
      </c>
      <c r="D3318" s="2" t="str">
        <f t="shared" si="50"/>
        <v>Error?</v>
      </c>
    </row>
    <row r="3319" spans="1:4" x14ac:dyDescent="0.2">
      <c r="A3319" s="5">
        <v>3258</v>
      </c>
      <c r="B3319" s="1832">
        <f>'Acct Summary 7-8'!I77</f>
        <v>1471181</v>
      </c>
      <c r="C3319" s="2" t="s">
        <v>569</v>
      </c>
      <c r="D3319" s="2" t="str">
        <f t="shared" si="50"/>
        <v>Error?</v>
      </c>
    </row>
    <row r="3320" spans="1:4" x14ac:dyDescent="0.2">
      <c r="A3320" s="5">
        <v>3259</v>
      </c>
      <c r="B3320" s="1832">
        <f>'Acct Summary 7-8'!I78</f>
        <v>1503374</v>
      </c>
      <c r="C3320" s="2" t="s">
        <v>569</v>
      </c>
      <c r="D3320" s="2" t="str">
        <f t="shared" si="50"/>
        <v>Error?</v>
      </c>
    </row>
    <row r="3321" spans="1:4" x14ac:dyDescent="0.2">
      <c r="A3321" s="5">
        <v>3260</v>
      </c>
      <c r="B3321" s="1832">
        <f>'Acct Summary 7-8'!I79</f>
        <v>664013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2167387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223049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12115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65050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300214</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20298</v>
      </c>
      <c r="D3387" s="2" t="str">
        <f t="shared" si="51"/>
        <v>Error?</v>
      </c>
    </row>
    <row r="3388" spans="1:4" x14ac:dyDescent="0.2">
      <c r="A3388" s="5">
        <v>3327</v>
      </c>
      <c r="B3388" s="1832">
        <f>'Expenditures 15-22'!D217</f>
        <v>23212</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20298</v>
      </c>
      <c r="C3390" s="2" t="s">
        <v>569</v>
      </c>
      <c r="D3390" s="2" t="str">
        <f t="shared" si="51"/>
        <v>Error?</v>
      </c>
    </row>
    <row r="3391" spans="1:4" x14ac:dyDescent="0.2">
      <c r="A3391" s="5">
        <v>3330</v>
      </c>
      <c r="B3391" s="1832">
        <f>'Expenditures 15-22'!K217</f>
        <v>23212</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1157597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121044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57523</v>
      </c>
      <c r="D3417" s="2" t="str">
        <f t="shared" si="52"/>
        <v>Error?</v>
      </c>
    </row>
    <row r="3418" spans="1:4" x14ac:dyDescent="0.2">
      <c r="A3418" s="10">
        <v>3357</v>
      </c>
      <c r="B3418" s="1832"/>
      <c r="D3418" s="2" t="str">
        <f t="shared" si="52"/>
        <v>OK</v>
      </c>
    </row>
    <row r="3419" spans="1:4" x14ac:dyDescent="0.2">
      <c r="A3419" s="5">
        <v>3358</v>
      </c>
      <c r="B3419" s="1832">
        <f>'Assets-Liab 5-6'!F4</f>
        <v>135217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83323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173897</v>
      </c>
      <c r="D3425" s="2" t="str">
        <f t="shared" si="52"/>
        <v>Error?</v>
      </c>
    </row>
    <row r="3426" spans="1:4" x14ac:dyDescent="0.2">
      <c r="A3426" s="10">
        <v>3365</v>
      </c>
      <c r="B3426" s="1832"/>
      <c r="D3426" s="2" t="str">
        <f t="shared" si="52"/>
        <v>OK</v>
      </c>
    </row>
    <row r="3427" spans="1:4" x14ac:dyDescent="0.2">
      <c r="A3427" s="5">
        <v>3366</v>
      </c>
      <c r="B3427" s="1832">
        <f>'Assets-Liab 5-6'!I4</f>
        <v>2167387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55743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56494</v>
      </c>
      <c r="C3446" s="2" t="s">
        <v>569</v>
      </c>
      <c r="D3446" s="2" t="str">
        <f t="shared" si="52"/>
        <v>Error?</v>
      </c>
    </row>
    <row r="3447" spans="1:4" x14ac:dyDescent="0.2">
      <c r="A3447" s="5">
        <v>3386</v>
      </c>
      <c r="B3447" s="1832">
        <f>'Tax Sched 23'!D16</f>
        <v>56494</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77056</v>
      </c>
      <c r="C3449" s="2" t="s">
        <v>569</v>
      </c>
      <c r="D3449" s="2" t="str">
        <f t="shared" si="52"/>
        <v>Error?</v>
      </c>
    </row>
    <row r="3450" spans="1:4" x14ac:dyDescent="0.2">
      <c r="A3450" s="5">
        <v>3389</v>
      </c>
      <c r="B3450" s="1832">
        <f>'Tax Sched 23'!E16</f>
        <v>77056</v>
      </c>
      <c r="D3450" s="2" t="str">
        <f t="shared" si="52"/>
        <v>Error?</v>
      </c>
    </row>
    <row r="3451" spans="1:4" x14ac:dyDescent="0.2">
      <c r="A3451" s="5">
        <v>3390</v>
      </c>
      <c r="B3451" s="1832">
        <f>'Cap Outlay Deprec 26'!C15</f>
        <v>125942</v>
      </c>
      <c r="D3451" s="2" t="str">
        <f t="shared" si="52"/>
        <v>Error?</v>
      </c>
    </row>
    <row r="3452" spans="1:4" x14ac:dyDescent="0.2">
      <c r="A3452" s="5">
        <v>3391</v>
      </c>
      <c r="B3452" s="1832">
        <f>'Cap Outlay Deprec 26'!D15</f>
        <v>315520</v>
      </c>
      <c r="D3452" s="2" t="str">
        <f t="shared" si="52"/>
        <v>Error?</v>
      </c>
    </row>
    <row r="3453" spans="1:4" x14ac:dyDescent="0.2">
      <c r="A3453" s="5">
        <v>3392</v>
      </c>
      <c r="B3453" s="1832">
        <f>'Cap Outlay Deprec 26'!E15</f>
        <v>441462</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88773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88773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88773</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88773</v>
      </c>
      <c r="C3568" s="2" t="s">
        <v>569</v>
      </c>
      <c r="D3568" s="2" t="str">
        <f t="shared" si="54"/>
        <v>Error?</v>
      </c>
    </row>
    <row r="3569" spans="1:4" x14ac:dyDescent="0.2">
      <c r="A3569" s="5">
        <v>3508</v>
      </c>
      <c r="B3569" s="1832">
        <f>'Acct Summary 7-8'!K4</f>
        <v>29415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29415</v>
      </c>
      <c r="C3571" s="2" t="s">
        <v>569</v>
      </c>
      <c r="D3571" s="2" t="str">
        <f t="shared" si="54"/>
        <v>Error?</v>
      </c>
    </row>
    <row r="3572" spans="1:4" x14ac:dyDescent="0.2">
      <c r="A3572" s="5">
        <v>3511</v>
      </c>
      <c r="B3572" s="1832">
        <f>'Acct Summary 7-8'!K13</f>
        <v>17978</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17978</v>
      </c>
      <c r="C3575" s="2" t="s">
        <v>569</v>
      </c>
      <c r="D3575" s="2" t="str">
        <f t="shared" si="54"/>
        <v>Error?</v>
      </c>
    </row>
    <row r="3576" spans="1:4" x14ac:dyDescent="0.2">
      <c r="A3576" s="5">
        <v>3515</v>
      </c>
      <c r="B3576" s="1832">
        <f>'Acct Summary 7-8'!K20</f>
        <v>11437</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11437</v>
      </c>
      <c r="C3588" s="2" t="s">
        <v>569</v>
      </c>
      <c r="D3588" s="2" t="str">
        <f t="shared" si="55"/>
        <v>Error?</v>
      </c>
    </row>
    <row r="3589" spans="1:4" x14ac:dyDescent="0.2">
      <c r="A3589" s="5">
        <v>3528</v>
      </c>
      <c r="B3589" s="1832">
        <f>'Acct Summary 7-8'!K79</f>
        <v>77336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88773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8302</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8302</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8302</v>
      </c>
      <c r="C3635" s="2" t="s">
        <v>569</v>
      </c>
      <c r="D3635" s="2" t="str">
        <f t="shared" si="55"/>
        <v>Error?</v>
      </c>
    </row>
    <row r="3636" spans="1:4" x14ac:dyDescent="0.2">
      <c r="A3636" s="5">
        <v>3575</v>
      </c>
      <c r="B3636" s="1832">
        <f>'Expenditures 15-22'!E367</f>
        <v>8302</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5096</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5096</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5096</v>
      </c>
      <c r="C3642" s="2" t="s">
        <v>569</v>
      </c>
      <c r="D3642" s="2" t="str">
        <f t="shared" si="55"/>
        <v>Error?</v>
      </c>
    </row>
    <row r="3643" spans="1:4" x14ac:dyDescent="0.2">
      <c r="A3643" s="5">
        <v>3582</v>
      </c>
      <c r="B3643" s="1832">
        <f>'Expenditures 15-22'!F367</f>
        <v>5096</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4580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4580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4580</v>
      </c>
      <c r="C3649" s="2" t="s">
        <v>569</v>
      </c>
      <c r="D3649" s="2" t="str">
        <f t="shared" si="56"/>
        <v>Error?</v>
      </c>
    </row>
    <row r="3650" spans="1:4" x14ac:dyDescent="0.2">
      <c r="A3650" s="5">
        <v>3589</v>
      </c>
      <c r="B3650" s="1832">
        <f>'Expenditures 15-22'!G367</f>
        <v>4580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17978</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17978</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17978</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17978</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11437</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81802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3767</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3767</v>
      </c>
      <c r="D4111" s="2" t="str">
        <f t="shared" si="63"/>
        <v>Error?</v>
      </c>
    </row>
    <row r="4112" spans="1:4" x14ac:dyDescent="0.2">
      <c r="A4112" s="10">
        <v>4051</v>
      </c>
      <c r="B4112" s="1832"/>
      <c r="D4112" s="2" t="str">
        <f t="shared" si="63"/>
        <v>OK</v>
      </c>
    </row>
    <row r="4113" spans="1:4" x14ac:dyDescent="0.2">
      <c r="A4113" s="5">
        <v>4052</v>
      </c>
      <c r="B4113" s="1832">
        <f>'Acct Summary 7-8'!C9</f>
        <v>18877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3291513</v>
      </c>
      <c r="C4122" s="2" t="s">
        <v>569</v>
      </c>
      <c r="D4122" s="2" t="str">
        <f t="shared" si="63"/>
        <v>Error?</v>
      </c>
    </row>
    <row r="4123" spans="1:4" x14ac:dyDescent="0.2">
      <c r="A4123" s="5">
        <v>4062</v>
      </c>
      <c r="B4123" s="1832">
        <f>'Acct Summary 7-8'!D10</f>
        <v>393588</v>
      </c>
      <c r="C4123" s="2" t="s">
        <v>569</v>
      </c>
      <c r="D4123" s="2" t="str">
        <f t="shared" si="63"/>
        <v>Error?</v>
      </c>
    </row>
    <row r="4124" spans="1:4" x14ac:dyDescent="0.2">
      <c r="A4124" s="5">
        <v>4063</v>
      </c>
      <c r="B4124" s="1832">
        <f>'Acct Summary 7-8'!E10</f>
        <v>525444</v>
      </c>
      <c r="C4124" s="2" t="s">
        <v>569</v>
      </c>
      <c r="D4124" s="2" t="str">
        <f t="shared" si="63"/>
        <v>Error?</v>
      </c>
    </row>
    <row r="4125" spans="1:4" x14ac:dyDescent="0.2">
      <c r="A4125" s="5">
        <v>4064</v>
      </c>
      <c r="B4125" s="1832">
        <f>'Acct Summary 7-8'!F10</f>
        <v>441170</v>
      </c>
      <c r="C4125" s="2" t="s">
        <v>569</v>
      </c>
      <c r="D4125" s="2" t="str">
        <f t="shared" si="63"/>
        <v>Error?</v>
      </c>
    </row>
    <row r="4126" spans="1:4" x14ac:dyDescent="0.2">
      <c r="A4126" s="5">
        <v>4065</v>
      </c>
      <c r="B4126" s="1832">
        <f>'Acct Summary 7-8'!G10</f>
        <v>107343</v>
      </c>
      <c r="C4126" s="2" t="s">
        <v>569</v>
      </c>
      <c r="D4126" s="2" t="str">
        <f t="shared" si="63"/>
        <v>Error?</v>
      </c>
    </row>
    <row r="4127" spans="1:4" x14ac:dyDescent="0.2">
      <c r="A4127" s="5">
        <v>4066</v>
      </c>
      <c r="B4127" s="1832">
        <f>'Acct Summary 7-8'!H10</f>
        <v>97271</v>
      </c>
      <c r="C4127" s="2" t="s">
        <v>569</v>
      </c>
      <c r="D4127" s="2" t="str">
        <f t="shared" si="63"/>
        <v>Error?</v>
      </c>
    </row>
    <row r="4128" spans="1:4" x14ac:dyDescent="0.2">
      <c r="A4128" s="5">
        <v>4067</v>
      </c>
      <c r="B4128" s="1832">
        <f>'Acct Summary 7-8'!I10</f>
        <v>32193</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29415</v>
      </c>
      <c r="C4130" s="2" t="s">
        <v>569</v>
      </c>
      <c r="D4130" s="2" t="str">
        <f t="shared" si="63"/>
        <v>Error?</v>
      </c>
    </row>
    <row r="4131" spans="1:4" x14ac:dyDescent="0.2">
      <c r="A4131" s="5">
        <v>4070</v>
      </c>
      <c r="B4131" s="1832">
        <f>'Acct Summary 7-8'!C18</f>
        <v>18877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2917418</v>
      </c>
      <c r="C4136" s="2" t="s">
        <v>569</v>
      </c>
      <c r="D4136" s="2" t="str">
        <f t="shared" si="63"/>
        <v>Error?</v>
      </c>
    </row>
    <row r="4137" spans="1:4" x14ac:dyDescent="0.2">
      <c r="A4137" s="5">
        <v>4076</v>
      </c>
      <c r="B4137" s="1832">
        <f>'Acct Summary 7-8'!D19</f>
        <v>658177</v>
      </c>
      <c r="C4137" s="2" t="s">
        <v>569</v>
      </c>
      <c r="D4137" s="2" t="str">
        <f t="shared" si="63"/>
        <v>Error?</v>
      </c>
    </row>
    <row r="4138" spans="1:4" x14ac:dyDescent="0.2">
      <c r="A4138" s="5">
        <v>4077</v>
      </c>
      <c r="B4138" s="1832">
        <f>'Acct Summary 7-8'!E19</f>
        <v>548751</v>
      </c>
      <c r="C4138" s="2" t="s">
        <v>569</v>
      </c>
      <c r="D4138" s="2" t="str">
        <f t="shared" si="63"/>
        <v>Error?</v>
      </c>
    </row>
    <row r="4139" spans="1:4" x14ac:dyDescent="0.2">
      <c r="A4139" s="5">
        <v>4078</v>
      </c>
      <c r="B4139" s="1832">
        <f>'Acct Summary 7-8'!F19</f>
        <v>469152</v>
      </c>
      <c r="C4139" s="2" t="s">
        <v>569</v>
      </c>
      <c r="D4139" s="2" t="str">
        <f t="shared" si="63"/>
        <v>Error?</v>
      </c>
    </row>
    <row r="4140" spans="1:4" x14ac:dyDescent="0.2">
      <c r="A4140" s="5">
        <v>4079</v>
      </c>
      <c r="B4140" s="1832">
        <f>'Acct Summary 7-8'!G19</f>
        <v>122973</v>
      </c>
      <c r="C4140" s="2" t="s">
        <v>569</v>
      </c>
      <c r="D4140" s="2" t="str">
        <f t="shared" si="63"/>
        <v>Error?</v>
      </c>
    </row>
    <row r="4141" spans="1:4" x14ac:dyDescent="0.2">
      <c r="A4141" s="5">
        <v>4080</v>
      </c>
      <c r="B4141" s="1832">
        <f>'Acct Summary 7-8'!H19</f>
        <v>30297</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17978</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2153600</v>
      </c>
      <c r="C4171" s="2" t="s">
        <v>569</v>
      </c>
      <c r="D4171" s="2" t="str">
        <f t="shared" si="64"/>
        <v>Error?</v>
      </c>
    </row>
    <row r="4172" spans="1:4" x14ac:dyDescent="0.2">
      <c r="A4172" s="5">
        <v>4111</v>
      </c>
      <c r="B4172" s="1832">
        <f>'Short-Term Long-Term Debt 24'!J49</f>
        <v>2096077</v>
      </c>
      <c r="C4172" s="2" t="s">
        <v>569</v>
      </c>
      <c r="D4172" s="2" t="str">
        <f t="shared" si="64"/>
        <v>Error?</v>
      </c>
    </row>
    <row r="4173" spans="1:4" x14ac:dyDescent="0.2">
      <c r="A4173" s="5">
        <v>4112</v>
      </c>
      <c r="B4173" s="1832">
        <f>'Short-Term Long-Term Debt 24'!H49</f>
        <v>527600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2084.4</v>
      </c>
      <c r="C4265" s="2" t="s">
        <v>569</v>
      </c>
      <c r="D4265" s="2" t="str">
        <f t="shared" si="65"/>
        <v>Error?</v>
      </c>
      <c r="E4265" s="125"/>
    </row>
    <row r="4266" spans="1:5" x14ac:dyDescent="0.2">
      <c r="A4266" s="12">
        <v>4205</v>
      </c>
      <c r="B4266" s="1832">
        <f>('FP Info 3'!F10)*100000</f>
        <v>50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2334</v>
      </c>
      <c r="C4268" s="2" t="s">
        <v>569</v>
      </c>
      <c r="D4268" s="2" t="str">
        <f t="shared" si="65"/>
        <v>Error?</v>
      </c>
    </row>
    <row r="4269" spans="1:5" x14ac:dyDescent="0.2">
      <c r="A4269" s="12">
        <v>4208</v>
      </c>
      <c r="B4269" s="1832">
        <f>'FP Info 3'!J16</f>
        <v>3581245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5513</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22060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23547</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27655</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16860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14890</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8526</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63588474</v>
      </c>
      <c r="D4995" s="2" t="str">
        <f t="shared" si="77"/>
        <v>Error?</v>
      </c>
    </row>
    <row r="4996" spans="1:4" x14ac:dyDescent="0.2">
      <c r="A4996" s="12">
        <v>4935</v>
      </c>
      <c r="B4996" s="1832">
        <f>'FP Info 3'!H31</f>
        <v>8775209.4120000005</v>
      </c>
      <c r="D4996" s="2" t="str">
        <f t="shared" si="77"/>
        <v>Error?</v>
      </c>
    </row>
    <row r="4997" spans="1:4" x14ac:dyDescent="0.2">
      <c r="A4997" s="12">
        <v>4936</v>
      </c>
      <c r="B4997" s="1832">
        <f>'FP Info 3'!H37</f>
        <v>2153600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1217107</v>
      </c>
      <c r="D5061" s="2" t="str">
        <f t="shared" si="78"/>
        <v>Error?</v>
      </c>
    </row>
    <row r="5062" spans="1:4" x14ac:dyDescent="0.2">
      <c r="A5062" s="10">
        <v>5001</v>
      </c>
      <c r="B5062" s="1832"/>
      <c r="D5062" s="2" t="str">
        <f t="shared" si="78"/>
        <v>OK</v>
      </c>
    </row>
    <row r="5063" spans="1:4" x14ac:dyDescent="0.2">
      <c r="A5063" s="5">
        <v>5002</v>
      </c>
      <c r="B5063" s="1832">
        <f>'Revenues 9-14'!C7</f>
        <v>23293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1240400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447820</v>
      </c>
      <c r="D5069" s="2" t="str">
        <f t="shared" si="78"/>
        <v>Error?</v>
      </c>
    </row>
    <row r="5070" spans="1:4" x14ac:dyDescent="0.2">
      <c r="A5070" s="5">
        <v>5009</v>
      </c>
      <c r="B5070" s="1832">
        <f>'Revenues 9-14'!C17</f>
        <v>996</v>
      </c>
      <c r="D5070" s="2" t="str">
        <f t="shared" si="78"/>
        <v>Error?</v>
      </c>
    </row>
    <row r="5071" spans="1:4" x14ac:dyDescent="0.2">
      <c r="A5071" s="5">
        <v>5010</v>
      </c>
      <c r="B5071" s="1832">
        <f>'Revenues 9-14'!C18</f>
        <v>448816</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16893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16893</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2553</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2553</v>
      </c>
      <c r="C5096" s="2" t="s">
        <v>569</v>
      </c>
      <c r="D5096" s="2" t="str">
        <f t="shared" si="78"/>
        <v>Error?</v>
      </c>
    </row>
    <row r="5097" spans="1:4" x14ac:dyDescent="0.2">
      <c r="A5097" s="5">
        <v>5036</v>
      </c>
      <c r="B5097" s="1832">
        <f>'Revenues 9-14'!C77</f>
        <v>4190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4190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14561</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2227</v>
      </c>
      <c r="D5119" s="2" t="str">
        <f t="shared" ref="D5119:D5182" si="79">IF(ISBLANK(B5119),"OK",IF(A5119-B5119=0,"OK","Error?"))</f>
        <v>Error?</v>
      </c>
    </row>
    <row r="5120" spans="1:4" x14ac:dyDescent="0.2">
      <c r="A5120" s="5">
        <v>5059</v>
      </c>
      <c r="B5120" s="1832">
        <f>'Revenues 9-14'!C108</f>
        <v>33648</v>
      </c>
      <c r="C5120" s="2" t="s">
        <v>569</v>
      </c>
      <c r="D5120" s="2" t="str">
        <f t="shared" si="79"/>
        <v>Error?</v>
      </c>
    </row>
    <row r="5121" spans="1:4" x14ac:dyDescent="0.2">
      <c r="A5121" s="5">
        <v>5060</v>
      </c>
      <c r="B5121" s="1832">
        <f>'Revenues 9-14'!C109</f>
        <v>1746500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881843</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881843</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2821</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2821</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4804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2725</v>
      </c>
      <c r="D5167" s="2" t="str">
        <f t="shared" si="79"/>
        <v>Error?</v>
      </c>
    </row>
    <row r="5168" spans="1:4" x14ac:dyDescent="0.2">
      <c r="A5168" s="5">
        <v>5107</v>
      </c>
      <c r="B5168" s="1832">
        <f>'Revenues 9-14'!C148</f>
        <v>3050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28290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910133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103981</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45690</v>
      </c>
      <c r="D5241" s="2" t="str">
        <f t="shared" si="80"/>
        <v>Error?</v>
      </c>
    </row>
    <row r="5242" spans="1:4" x14ac:dyDescent="0.2">
      <c r="A5242" s="5">
        <v>5181</v>
      </c>
      <c r="B5242" s="1832">
        <f>'Revenues 9-14'!C194</f>
        <v>28312</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177983</v>
      </c>
      <c r="C5246" s="2" t="s">
        <v>569</v>
      </c>
      <c r="D5246" s="2" t="str">
        <f t="shared" si="80"/>
        <v>Error?</v>
      </c>
    </row>
    <row r="5247" spans="1:4" x14ac:dyDescent="0.2">
      <c r="A5247" s="5">
        <v>5186</v>
      </c>
      <c r="B5247" s="1832">
        <f>'Revenues 9-14'!C200</f>
        <v>255559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23547</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255559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7110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88050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95160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616003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616003</v>
      </c>
      <c r="C5326" s="2" t="s">
        <v>569</v>
      </c>
      <c r="D5326" s="2" t="str">
        <f t="shared" si="82"/>
        <v>Error?</v>
      </c>
    </row>
    <row r="5327" spans="1:5" x14ac:dyDescent="0.2">
      <c r="A5327" s="5">
        <v>5266</v>
      </c>
      <c r="B5327" s="1832">
        <f>'Revenues 9-14'!C268</f>
        <v>3272636</v>
      </c>
      <c r="C5327" s="2" t="s">
        <v>569</v>
      </c>
      <c r="D5327" s="2" t="str">
        <f t="shared" si="82"/>
        <v>Error?</v>
      </c>
    </row>
    <row r="5328" spans="1:5" x14ac:dyDescent="0.2">
      <c r="A5328" s="5">
        <v>5267</v>
      </c>
      <c r="B5328" s="1832">
        <f>'Revenues 9-14'!D5</f>
        <v>291174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291174</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30000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30000</v>
      </c>
      <c r="C5339" s="2" t="s">
        <v>569</v>
      </c>
      <c r="D5339" s="2" t="str">
        <f t="shared" si="82"/>
        <v>Error?</v>
      </c>
    </row>
    <row r="5340" spans="1:4" x14ac:dyDescent="0.2">
      <c r="A5340" s="5">
        <v>5279</v>
      </c>
      <c r="B5340" s="1832">
        <f>'Revenues 9-14'!D65</f>
        <v>344</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344</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746</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21324</v>
      </c>
      <c r="D5354" s="2" t="str">
        <f t="shared" si="82"/>
        <v>Error?</v>
      </c>
    </row>
    <row r="5355" spans="1:4" x14ac:dyDescent="0.2">
      <c r="A5355" s="5">
        <v>5294</v>
      </c>
      <c r="B5355" s="1832">
        <f>'Revenues 9-14'!D108</f>
        <v>22070</v>
      </c>
      <c r="C5355" s="2" t="s">
        <v>569</v>
      </c>
      <c r="D5355" s="2" t="str">
        <f t="shared" si="82"/>
        <v>Error?</v>
      </c>
    </row>
    <row r="5356" spans="1:4" x14ac:dyDescent="0.2">
      <c r="A5356" s="5">
        <v>5295</v>
      </c>
      <c r="B5356" s="1832">
        <f>'Revenues 9-14'!D109</f>
        <v>343588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393588</v>
      </c>
      <c r="C5508" s="2" t="s">
        <v>569</v>
      </c>
      <c r="D5508" s="2" t="str">
        <f t="shared" si="85"/>
        <v>Error?</v>
      </c>
    </row>
    <row r="5509" spans="1:4" x14ac:dyDescent="0.2">
      <c r="A5509" s="5">
        <v>5448</v>
      </c>
      <c r="B5509" s="1832">
        <f>'Revenues 9-14'!E5</f>
        <v>525413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525413</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31</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31</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525444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525444</v>
      </c>
      <c r="C5552" s="2" t="s">
        <v>569</v>
      </c>
      <c r="D5552" s="2" t="str">
        <f t="shared" si="85"/>
        <v>Error?</v>
      </c>
    </row>
    <row r="5553" spans="1:4" x14ac:dyDescent="0.2">
      <c r="A5553" s="5">
        <v>5492</v>
      </c>
      <c r="B5553" s="1832">
        <f>'Revenues 9-14'!F5</f>
        <v>116470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116470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1960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1960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118430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209158</v>
      </c>
      <c r="D5615" s="2" t="str">
        <f t="shared" si="86"/>
        <v>Error?</v>
      </c>
    </row>
    <row r="5616" spans="1:4" x14ac:dyDescent="0.2">
      <c r="A5616" s="10">
        <v>5555</v>
      </c>
      <c r="B5616" s="1832"/>
      <c r="D5616" s="2" t="str">
        <f t="shared" si="86"/>
        <v>OK</v>
      </c>
    </row>
    <row r="5617" spans="1:5" x14ac:dyDescent="0.2">
      <c r="A5617" s="5">
        <v>5556</v>
      </c>
      <c r="B5617" s="1832">
        <f>'Revenues 9-14'!F153</f>
        <v>113582</v>
      </c>
      <c r="D5617" s="2" t="str">
        <f t="shared" si="86"/>
        <v>Error?</v>
      </c>
    </row>
    <row r="5618" spans="1:5" x14ac:dyDescent="0.2">
      <c r="A5618" s="5">
        <v>5557</v>
      </c>
      <c r="B5618" s="1832">
        <f>'Revenues 9-14'!F155</f>
        <v>322740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322740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322740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441170</v>
      </c>
      <c r="C5720" s="2" t="s">
        <v>569</v>
      </c>
      <c r="D5720" s="2" t="str">
        <f t="shared" si="88"/>
        <v>Error?</v>
      </c>
    </row>
    <row r="5721" spans="1:4" x14ac:dyDescent="0.2">
      <c r="A5721" s="5">
        <v>5660</v>
      </c>
      <c r="B5721" s="1832">
        <f>'Revenues 9-14'!G5</f>
        <v>46917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56494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103411</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2750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2750</v>
      </c>
      <c r="C5730" s="2" t="s">
        <v>569</v>
      </c>
      <c r="D5730" s="2" t="str">
        <f t="shared" si="88"/>
        <v>Error?</v>
      </c>
    </row>
    <row r="5731" spans="1:4" x14ac:dyDescent="0.2">
      <c r="A5731" s="5">
        <v>5670</v>
      </c>
      <c r="B5731" s="1832">
        <f>'Revenues 9-14'!G65</f>
        <v>1182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1182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107343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29</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29</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97242</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97271</v>
      </c>
      <c r="C5915" s="2" t="s">
        <v>569</v>
      </c>
      <c r="D5915" s="2" t="str">
        <f t="shared" si="91"/>
        <v>Error?</v>
      </c>
    </row>
    <row r="5916" spans="1:4" x14ac:dyDescent="0.2">
      <c r="A5916" s="5">
        <v>5855</v>
      </c>
      <c r="B5916" s="1832">
        <f>'Revenues 9-14'!I5</f>
        <v>29118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29118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3075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3075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32193</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29118</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29118</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297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297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29415</v>
      </c>
      <c r="C6023" s="2" t="s">
        <v>569</v>
      </c>
      <c r="D6023" s="2" t="str">
        <f t="shared" si="93"/>
        <v>Error?</v>
      </c>
    </row>
    <row r="6024" spans="1:5" x14ac:dyDescent="0.2">
      <c r="A6024" s="5">
        <v>5963</v>
      </c>
      <c r="B6024" s="1832">
        <f>'Revenues 9-14'!G109</f>
        <v>107343</v>
      </c>
      <c r="C6024" s="2" t="s">
        <v>569</v>
      </c>
      <c r="D6024" s="2" t="str">
        <f t="shared" si="93"/>
        <v>Error?</v>
      </c>
    </row>
    <row r="6025" spans="1:5" x14ac:dyDescent="0.2">
      <c r="A6025" s="5">
        <v>5964</v>
      </c>
      <c r="B6025" s="1832">
        <f>'Revenues 9-14'!H109</f>
        <v>97271</v>
      </c>
      <c r="C6025" s="2" t="s">
        <v>569</v>
      </c>
      <c r="D6025" s="2" t="str">
        <f t="shared" si="93"/>
        <v>Error?</v>
      </c>
    </row>
    <row r="6026" spans="1:5" x14ac:dyDescent="0.2">
      <c r="A6026" s="5">
        <v>5965</v>
      </c>
      <c r="B6026" s="1832">
        <f>'Revenues 9-14'!I109</f>
        <v>32193</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29415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14714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277.60000000000002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38624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38624</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38624</v>
      </c>
      <c r="D6216" s="2" t="str">
        <f t="shared" si="96"/>
        <v>Error?</v>
      </c>
      <c r="E6216" s="2" t="s">
        <v>189</v>
      </c>
    </row>
    <row r="6217" spans="1:5" x14ac:dyDescent="0.2">
      <c r="A6217">
        <v>6156</v>
      </c>
      <c r="B6217" s="1832">
        <f>'Assets-Liab 5-6'!J4</f>
        <v>38624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235702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235702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235702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197620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197620</v>
      </c>
      <c r="D6229" s="2" t="str">
        <f t="shared" si="96"/>
        <v>Error?</v>
      </c>
      <c r="E6229" s="2" t="s">
        <v>189</v>
      </c>
    </row>
    <row r="6230" spans="1:5" x14ac:dyDescent="0.2">
      <c r="A6230">
        <v>6169</v>
      </c>
      <c r="B6230" s="1832">
        <f>'Acct Summary 7-8'!J20</f>
        <v>38082</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38082</v>
      </c>
      <c r="D6263" s="2" t="str">
        <f t="shared" si="96"/>
        <v>Error?</v>
      </c>
      <c r="E6263" s="2" t="s">
        <v>189</v>
      </c>
    </row>
    <row r="6264" spans="1:5" x14ac:dyDescent="0.2">
      <c r="A6264">
        <v>6203</v>
      </c>
      <c r="B6264" s="1832">
        <f>'Acct Summary 7-8'!J79</f>
        <v>542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38624</v>
      </c>
      <c r="D6266" s="2" t="str">
        <f t="shared" si="96"/>
        <v>Error?</v>
      </c>
      <c r="E6266" s="2" t="s">
        <v>189</v>
      </c>
    </row>
    <row r="6267" spans="1:5" x14ac:dyDescent="0.2">
      <c r="A6267">
        <v>6206</v>
      </c>
      <c r="B6267" s="1832">
        <f>'Acct Summary 7-8'!C82</f>
        <v>374095</v>
      </c>
      <c r="D6267" s="2" t="str">
        <f t="shared" si="96"/>
        <v>Error?</v>
      </c>
      <c r="E6267" s="2" t="s">
        <v>189</v>
      </c>
    </row>
    <row r="6268" spans="1:5" x14ac:dyDescent="0.2">
      <c r="A6268">
        <v>6207</v>
      </c>
      <c r="B6268" s="1832">
        <f>'Acct Summary 7-8'!D82</f>
        <v>85411</v>
      </c>
      <c r="D6268" s="2" t="str">
        <f t="shared" si="96"/>
        <v>Error?</v>
      </c>
      <c r="E6268" s="2" t="s">
        <v>189</v>
      </c>
    </row>
    <row r="6269" spans="1:5" x14ac:dyDescent="0.2">
      <c r="A6269">
        <v>6208</v>
      </c>
      <c r="B6269" s="1832">
        <f>'Acct Summary 7-8'!E82</f>
        <v>-22839</v>
      </c>
      <c r="D6269" s="2" t="str">
        <f t="shared" si="96"/>
        <v>Error?</v>
      </c>
      <c r="E6269" s="2" t="s">
        <v>189</v>
      </c>
    </row>
    <row r="6270" spans="1:5" x14ac:dyDescent="0.2">
      <c r="A6270">
        <v>6209</v>
      </c>
      <c r="B6270" s="1832">
        <f>'Acct Summary 7-8'!F82</f>
        <v>-27982</v>
      </c>
      <c r="D6270" s="2" t="str">
        <f t="shared" si="96"/>
        <v>Error?</v>
      </c>
      <c r="E6270" s="2" t="s">
        <v>189</v>
      </c>
    </row>
    <row r="6271" spans="1:5" x14ac:dyDescent="0.2">
      <c r="A6271">
        <v>6210</v>
      </c>
      <c r="B6271" s="1832">
        <f>'Acct Summary 7-8'!G82</f>
        <v>-15630</v>
      </c>
      <c r="D6271" s="2" t="str">
        <f t="shared" ref="D6271:D6334" si="97">IF(ISBLANK(B6271),"OK",IF(A6271-B6271=0,"OK","Error?"))</f>
        <v>Error?</v>
      </c>
      <c r="E6271" s="2" t="s">
        <v>189</v>
      </c>
    </row>
    <row r="6272" spans="1:5" x14ac:dyDescent="0.2">
      <c r="A6272">
        <v>6211</v>
      </c>
      <c r="B6272" s="1832">
        <f>'Acct Summary 7-8'!H82</f>
        <v>66974</v>
      </c>
      <c r="D6272" s="2" t="str">
        <f t="shared" si="97"/>
        <v>Error?</v>
      </c>
      <c r="E6272" s="2" t="s">
        <v>189</v>
      </c>
    </row>
    <row r="6273" spans="1:5" x14ac:dyDescent="0.2">
      <c r="A6273">
        <v>6212</v>
      </c>
      <c r="B6273" s="1832">
        <f>'Acct Summary 7-8'!I82</f>
        <v>1503374</v>
      </c>
      <c r="D6273" s="2" t="str">
        <f t="shared" si="97"/>
        <v>Error?</v>
      </c>
      <c r="E6273" s="2" t="s">
        <v>189</v>
      </c>
    </row>
    <row r="6274" spans="1:5" x14ac:dyDescent="0.2">
      <c r="A6274">
        <v>6213</v>
      </c>
      <c r="B6274" s="1832">
        <f>'Acct Summary 7-8'!J82</f>
        <v>38082</v>
      </c>
      <c r="D6274" s="2" t="str">
        <f t="shared" si="97"/>
        <v>Error?</v>
      </c>
      <c r="E6274" s="2" t="s">
        <v>189</v>
      </c>
    </row>
    <row r="6275" spans="1:5" x14ac:dyDescent="0.2">
      <c r="A6275">
        <v>6214</v>
      </c>
      <c r="B6275" s="1832">
        <f>'Acct Summary 7-8'!K82</f>
        <v>11437</v>
      </c>
      <c r="D6275" s="2" t="str">
        <f t="shared" si="97"/>
        <v>Error?</v>
      </c>
      <c r="E6275" s="2" t="s">
        <v>189</v>
      </c>
    </row>
    <row r="6276" spans="1:5" x14ac:dyDescent="0.2">
      <c r="A6276">
        <v>6215</v>
      </c>
      <c r="B6276" s="1832">
        <f>'Acct Summary 7-8'!C83</f>
        <v>0.3231651429642613</v>
      </c>
      <c r="D6276" s="2" t="str">
        <f t="shared" si="97"/>
        <v>Error?</v>
      </c>
      <c r="E6276" s="2" t="s">
        <v>189</v>
      </c>
    </row>
    <row r="6277" spans="1:5" x14ac:dyDescent="0.2">
      <c r="A6277">
        <v>6216</v>
      </c>
      <c r="B6277" s="1832">
        <f>'Acct Summary 7-8'!D83</f>
        <v>0.70561944416906253</v>
      </c>
      <c r="D6277" s="2" t="str">
        <f t="shared" si="97"/>
        <v>Error?</v>
      </c>
      <c r="E6277" s="2" t="s">
        <v>189</v>
      </c>
    </row>
    <row r="6278" spans="1:5" x14ac:dyDescent="0.2">
      <c r="A6278">
        <v>6217</v>
      </c>
      <c r="B6278" s="1832">
        <f>'Acct Summary 7-8'!E83</f>
        <v>-0.39704118352658935</v>
      </c>
      <c r="D6278" s="2" t="str">
        <f t="shared" si="97"/>
        <v>Error?</v>
      </c>
      <c r="E6278" s="2" t="s">
        <v>189</v>
      </c>
    </row>
    <row r="6279" spans="1:5" x14ac:dyDescent="0.2">
      <c r="A6279">
        <v>6218</v>
      </c>
      <c r="B6279" s="1832">
        <f>'Acct Summary 7-8'!F83</f>
        <v>-0.20694143487875044</v>
      </c>
      <c r="D6279" s="2" t="str">
        <f t="shared" si="97"/>
        <v>Error?</v>
      </c>
      <c r="E6279" s="2" t="s">
        <v>189</v>
      </c>
    </row>
    <row r="6280" spans="1:5" x14ac:dyDescent="0.2">
      <c r="A6280">
        <v>6219</v>
      </c>
      <c r="B6280" s="1832">
        <f>'Acct Summary 7-8'!G83</f>
        <v>-0.18758326032428022</v>
      </c>
      <c r="D6280" s="2" t="str">
        <f t="shared" si="97"/>
        <v>Error?</v>
      </c>
      <c r="E6280" s="2" t="s">
        <v>189</v>
      </c>
    </row>
    <row r="6281" spans="1:5" x14ac:dyDescent="0.2">
      <c r="A6281">
        <v>6220</v>
      </c>
      <c r="B6281" s="1832">
        <f>'Acct Summary 7-8'!H83</f>
        <v>0.38513602879865666</v>
      </c>
      <c r="D6281" s="2" t="str">
        <f t="shared" si="97"/>
        <v>Error?</v>
      </c>
      <c r="E6281" s="2" t="s">
        <v>189</v>
      </c>
    </row>
    <row r="6282" spans="1:5" x14ac:dyDescent="0.2">
      <c r="A6282">
        <v>6221</v>
      </c>
      <c r="B6282" s="1832">
        <f>'Acct Summary 7-8'!I83</f>
        <v>0.69363431634498129</v>
      </c>
      <c r="D6282" s="2" t="str">
        <f t="shared" si="97"/>
        <v>Error?</v>
      </c>
      <c r="E6282" s="2" t="s">
        <v>189</v>
      </c>
    </row>
    <row r="6283" spans="1:5" x14ac:dyDescent="0.2">
      <c r="A6283">
        <v>6222</v>
      </c>
      <c r="B6283" s="1832">
        <f>'Acct Summary 7-8'!J83</f>
        <v>0.98596727423363717</v>
      </c>
      <c r="D6283" s="2" t="str">
        <f t="shared" si="97"/>
        <v>Error?</v>
      </c>
      <c r="E6283" s="2" t="s">
        <v>189</v>
      </c>
    </row>
    <row r="6284" spans="1:5" x14ac:dyDescent="0.2">
      <c r="A6284">
        <v>6223</v>
      </c>
      <c r="B6284" s="1832">
        <f>'Acct Summary 7-8'!K83</f>
        <v>0.12883421761121061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234583</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234583</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614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614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505</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505</v>
      </c>
      <c r="D6351" s="2" t="str">
        <f t="shared" si="98"/>
        <v>Error?</v>
      </c>
      <c r="E6351" s="2" t="s">
        <v>189</v>
      </c>
    </row>
    <row r="6352" spans="1:5" x14ac:dyDescent="0.2">
      <c r="A6352">
        <v>6291</v>
      </c>
      <c r="B6352" s="1832">
        <f>'Revenues 9-14'!J109</f>
        <v>235702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4804</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10751</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1513</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10751</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10751</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197620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235702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11949</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11949</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1401</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1401</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50051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50051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16456</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16456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117763</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117763</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197620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197620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197620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197620</v>
      </c>
      <c r="D7224" s="2" t="str">
        <f t="shared" si="111"/>
        <v>Error?</v>
      </c>
    </row>
    <row r="7225" spans="1:4" x14ac:dyDescent="0.2">
      <c r="A7225">
        <v>7164</v>
      </c>
      <c r="B7225" s="1832">
        <f>'Expenditures 15-22'!K343</f>
        <v>38082</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487</v>
      </c>
      <c r="D7264" s="2" t="str">
        <f t="shared" si="112"/>
        <v>Error?</v>
      </c>
    </row>
    <row r="7265" spans="1:5" x14ac:dyDescent="0.2">
      <c r="A7265">
        <f t="shared" si="113"/>
        <v>7204</v>
      </c>
      <c r="B7265" s="1832">
        <f>'Expenditures 15-22'!E17</f>
        <v>446</v>
      </c>
      <c r="D7265" s="2" t="str">
        <f t="shared" si="112"/>
        <v>Error?</v>
      </c>
    </row>
    <row r="7266" spans="1:5" x14ac:dyDescent="0.2">
      <c r="A7266">
        <f t="shared" si="113"/>
        <v>7205</v>
      </c>
      <c r="B7266" s="1832">
        <f>'Expenditures 15-22'!F17</f>
        <v>580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410628</v>
      </c>
      <c r="D7615" s="2" t="str">
        <f t="shared" ref="D7615:D7678" si="124">IF(ISBLANK(B7615),"OK",IF(A7615-B7615=0,"OK","Error?"))</f>
        <v>Error?</v>
      </c>
      <c r="E7615" s="2" t="s">
        <v>19</v>
      </c>
    </row>
    <row r="7616" spans="1:5" x14ac:dyDescent="0.2">
      <c r="A7616">
        <f t="shared" si="123"/>
        <v>7555</v>
      </c>
      <c r="B7616" s="1832">
        <f>'Cap Outlay Deprec 26'!D14</f>
        <v>4580</v>
      </c>
      <c r="D7616" s="2" t="str">
        <f t="shared" si="124"/>
        <v>Error?</v>
      </c>
      <c r="E7616" s="2" t="s">
        <v>19</v>
      </c>
    </row>
    <row r="7617" spans="1:5" x14ac:dyDescent="0.2">
      <c r="A7617">
        <f t="shared" si="123"/>
        <v>7556</v>
      </c>
      <c r="B7617" s="1832">
        <f>'Cap Outlay Deprec 26'!E14</f>
        <v>114455</v>
      </c>
      <c r="D7617" s="2" t="str">
        <f t="shared" si="124"/>
        <v>Error?</v>
      </c>
      <c r="E7617" s="2" t="s">
        <v>19</v>
      </c>
    </row>
    <row r="7618" spans="1:5" x14ac:dyDescent="0.2">
      <c r="A7618">
        <f t="shared" si="123"/>
        <v>7557</v>
      </c>
      <c r="B7618" s="1832">
        <f>'Cap Outlay Deprec 26'!F14</f>
        <v>300753</v>
      </c>
      <c r="D7618" s="2" t="str">
        <f t="shared" si="124"/>
        <v>Error?</v>
      </c>
      <c r="E7618" s="2" t="s">
        <v>19</v>
      </c>
    </row>
    <row r="7619" spans="1:5" x14ac:dyDescent="0.2">
      <c r="A7619">
        <f t="shared" si="123"/>
        <v>7558</v>
      </c>
      <c r="B7619" s="1832">
        <f>'Cap Outlay Deprec 26'!H14</f>
        <v>391429</v>
      </c>
      <c r="D7619" s="2" t="str">
        <f t="shared" si="124"/>
        <v>Error?</v>
      </c>
      <c r="E7619" s="2" t="s">
        <v>19</v>
      </c>
    </row>
    <row r="7620" spans="1:5" x14ac:dyDescent="0.2">
      <c r="A7620">
        <f t="shared" si="123"/>
        <v>7559</v>
      </c>
      <c r="B7620" s="1832">
        <f>'Cap Outlay Deprec 26'!I14</f>
        <v>18148</v>
      </c>
      <c r="D7620" s="2" t="str">
        <f t="shared" si="124"/>
        <v>Error?</v>
      </c>
      <c r="E7620" s="2" t="s">
        <v>19</v>
      </c>
    </row>
    <row r="7621" spans="1:5" x14ac:dyDescent="0.2">
      <c r="A7621">
        <f t="shared" si="123"/>
        <v>7560</v>
      </c>
      <c r="B7621" s="1832">
        <f>'Cap Outlay Deprec 26'!J14</f>
        <v>114455</v>
      </c>
      <c r="D7621" s="2" t="str">
        <f t="shared" si="124"/>
        <v>Error?</v>
      </c>
      <c r="E7621" s="2" t="s">
        <v>19</v>
      </c>
    </row>
    <row r="7622" spans="1:5" x14ac:dyDescent="0.2">
      <c r="A7622">
        <f t="shared" si="123"/>
        <v>7561</v>
      </c>
      <c r="B7622" s="1832">
        <f>'Cap Outlay Deprec 26'!K14</f>
        <v>295122</v>
      </c>
      <c r="D7622" s="2" t="str">
        <f t="shared" si="124"/>
        <v>Error?</v>
      </c>
      <c r="E7622" s="2" t="s">
        <v>19</v>
      </c>
    </row>
    <row r="7623" spans="1:5" x14ac:dyDescent="0.2">
      <c r="A7623">
        <f t="shared" si="123"/>
        <v>7562</v>
      </c>
      <c r="B7623" s="1832">
        <f>'Cap Outlay Deprec 26'!L14</f>
        <v>5631</v>
      </c>
      <c r="D7623" s="2" t="str">
        <f t="shared" si="124"/>
        <v>Error?</v>
      </c>
      <c r="E7623" s="2" t="s">
        <v>19</v>
      </c>
    </row>
    <row r="7624" spans="1:5" x14ac:dyDescent="0.2">
      <c r="A7624">
        <f t="shared" si="123"/>
        <v>7563</v>
      </c>
      <c r="B7624" s="1832">
        <f>'Cap Outlay Deprec 26'!F17</f>
        <v>10751</v>
      </c>
      <c r="D7624" s="2" t="str">
        <f t="shared" si="124"/>
        <v>Error?</v>
      </c>
      <c r="E7624" s="2" t="s">
        <v>19</v>
      </c>
    </row>
    <row r="7625" spans="1:5" x14ac:dyDescent="0.2">
      <c r="A7625">
        <f t="shared" si="123"/>
        <v>7564</v>
      </c>
      <c r="B7625" s="1832">
        <f>'Cap Outlay Deprec 26'!I17</f>
        <v>1075.0999999999999</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295405.09999999998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106923</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29</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97242</v>
      </c>
      <c r="D7713" s="2" t="str">
        <f t="shared" si="126"/>
        <v>Error?</v>
      </c>
      <c r="E7713" s="2" t="s">
        <v>822</v>
      </c>
    </row>
    <row r="7714" spans="1:6" x14ac:dyDescent="0.2">
      <c r="A7714">
        <v>7653</v>
      </c>
      <c r="B7714" s="1832">
        <f>'Rest Tax Levies-Tort Im 25'!K9</f>
        <v>3050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97271</v>
      </c>
      <c r="D7718" s="2" t="str">
        <f t="shared" si="126"/>
        <v>Error?</v>
      </c>
      <c r="E7718" s="2" t="s">
        <v>822</v>
      </c>
    </row>
    <row r="7719" spans="1:6" x14ac:dyDescent="0.2">
      <c r="A7719">
        <v>7658</v>
      </c>
      <c r="B7719" s="1832">
        <f>'Rest Tax Levies-Tort Im 25'!K12</f>
        <v>3050</v>
      </c>
      <c r="D7719" s="2" t="str">
        <f t="shared" si="126"/>
        <v>Error?</v>
      </c>
      <c r="E7719" s="2" t="s">
        <v>822</v>
      </c>
    </row>
    <row r="7720" spans="1:6" x14ac:dyDescent="0.2">
      <c r="A7720">
        <v>7659</v>
      </c>
      <c r="B7720" s="1832">
        <f>'Rest Tax Levies-Tort Im 25'!H14</f>
        <v>23293</v>
      </c>
      <c r="D7720" s="2" t="str">
        <f t="shared" si="126"/>
        <v>Error?</v>
      </c>
      <c r="E7720" s="2" t="s">
        <v>822</v>
      </c>
    </row>
    <row r="7721" spans="1:6" x14ac:dyDescent="0.2">
      <c r="A7721">
        <v>7660</v>
      </c>
      <c r="B7721" s="1832">
        <f>'Rest Tax Levies-Tort Im 25'!K14</f>
        <v>3050</v>
      </c>
      <c r="D7721" s="2" t="str">
        <f t="shared" si="126"/>
        <v>Error?</v>
      </c>
      <c r="E7721" s="2" t="s">
        <v>822</v>
      </c>
    </row>
    <row r="7722" spans="1:6" x14ac:dyDescent="0.2">
      <c r="A7722">
        <v>7661</v>
      </c>
      <c r="B7722" s="1832">
        <f>'Rest Tax Levies-Tort Im 25'!J15</f>
        <v>30297</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30297</v>
      </c>
      <c r="D7730" s="2" t="str">
        <f t="shared" si="126"/>
        <v>Error?</v>
      </c>
      <c r="E7730" s="2" t="s">
        <v>822</v>
      </c>
    </row>
    <row r="7731" spans="1:6" x14ac:dyDescent="0.2">
      <c r="A7731">
        <v>7670</v>
      </c>
      <c r="B7731" s="1832">
        <f>'Revenues 9-14'!H103</f>
        <v>97242</v>
      </c>
      <c r="D7731" s="2" t="str">
        <f t="shared" si="126"/>
        <v>Error?</v>
      </c>
      <c r="E7731" s="2" t="s">
        <v>822</v>
      </c>
    </row>
    <row r="7732" spans="1:6" x14ac:dyDescent="0.2">
      <c r="A7732">
        <v>7671</v>
      </c>
      <c r="B7732" s="1832">
        <f>'Rest Tax Levies-Tort Im 25'!J24</f>
        <v>173897</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173897</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350000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3050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2808300</v>
      </c>
      <c r="D7817" s="2" t="str">
        <f t="shared" si="128"/>
        <v>Error?</v>
      </c>
      <c r="E7817" s="4" t="s">
        <v>1966</v>
      </c>
    </row>
    <row r="7818" spans="1:5" x14ac:dyDescent="0.2">
      <c r="A7818">
        <v>7757</v>
      </c>
      <c r="B7818" s="1832">
        <f>'PCTC-OEPP 27-28'!F172</f>
        <v>132147</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-414255</v>
      </c>
      <c r="D7820" s="2" t="str">
        <f t="shared" si="128"/>
        <v>Error?</v>
      </c>
    </row>
    <row r="7821" spans="1:5" x14ac:dyDescent="0.2">
      <c r="A7821">
        <v>7760</v>
      </c>
      <c r="B7821" s="1832">
        <f>'ICR Computation 30'!G40</f>
        <v>-414255</v>
      </c>
      <c r="D7821" s="2" t="str">
        <f t="shared" si="128"/>
        <v>Error?</v>
      </c>
    </row>
    <row r="7822" spans="1:5" x14ac:dyDescent="0.2">
      <c r="A7822" s="1">
        <v>7761</v>
      </c>
      <c r="B7822" s="1832">
        <f>'PCTC-OEPP 27-28'!F14</f>
        <v>4895214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1126979</v>
      </c>
      <c r="D7834" s="2" t="str">
        <f t="shared" si="129"/>
        <v>Error?</v>
      </c>
      <c r="E7834" s="4" t="s">
        <v>1998</v>
      </c>
    </row>
    <row r="7835" spans="1:5" x14ac:dyDescent="0.2">
      <c r="A7835">
        <v>7774</v>
      </c>
      <c r="B7835" s="1832">
        <f>'PCTC-OEPP 27-28'!F78</f>
        <v>3768235</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13574.333573487031</v>
      </c>
      <c r="D7837" s="2" t="str">
        <f t="shared" si="129"/>
        <v>Error?</v>
      </c>
      <c r="E7837" s="4" t="s">
        <v>1998</v>
      </c>
    </row>
    <row r="7838" spans="1:5" x14ac:dyDescent="0.2">
      <c r="A7838">
        <v>7777</v>
      </c>
      <c r="B7838" s="1832">
        <f>'PCTC-OEPP 27-28'!F96</f>
        <v>4190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16860</v>
      </c>
      <c r="D7841" s="2" t="str">
        <f t="shared" si="129"/>
        <v>Error?</v>
      </c>
      <c r="E7841" s="4" t="s">
        <v>1998</v>
      </c>
    </row>
    <row r="7842" spans="1:5" x14ac:dyDescent="0.2">
      <c r="A7842">
        <v>7781</v>
      </c>
      <c r="B7842" s="1832">
        <f>'PCTC-OEPP 27-28'!F106</f>
        <v>2821</v>
      </c>
      <c r="D7842" s="2" t="str">
        <f t="shared" si="129"/>
        <v>Error?</v>
      </c>
      <c r="E7842" s="4" t="s">
        <v>1998</v>
      </c>
    </row>
    <row r="7843" spans="1:5" x14ac:dyDescent="0.2">
      <c r="A7843">
        <v>7782</v>
      </c>
      <c r="B7843" s="1832">
        <f>'PCTC-OEPP 27-28'!F107</f>
        <v>4804</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3050</v>
      </c>
      <c r="D7846" s="2" t="str">
        <f t="shared" si="129"/>
        <v>Error?</v>
      </c>
      <c r="E7846" s="4" t="s">
        <v>1998</v>
      </c>
    </row>
    <row r="7847" spans="1:5" x14ac:dyDescent="0.2">
      <c r="A7847">
        <v>7786</v>
      </c>
      <c r="B7847" s="1832">
        <f>'PCTC-OEPP 27-28'!F112</f>
        <v>322740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64890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177983</v>
      </c>
      <c r="D7858" s="2" t="str">
        <f t="shared" si="129"/>
        <v>Error?</v>
      </c>
      <c r="E7858" s="4" t="s">
        <v>1998</v>
      </c>
    </row>
    <row r="7859" spans="1:5" x14ac:dyDescent="0.2">
      <c r="A7859">
        <v>7798</v>
      </c>
      <c r="B7859" s="1832">
        <f>'PCTC-OEPP 27-28'!F127</f>
        <v>255559</v>
      </c>
      <c r="D7859" s="2" t="str">
        <f t="shared" si="129"/>
        <v>Error?</v>
      </c>
      <c r="E7859" s="4" t="s">
        <v>1998</v>
      </c>
    </row>
    <row r="7860" spans="1:5" x14ac:dyDescent="0.2">
      <c r="A7860">
        <v>7799</v>
      </c>
      <c r="B7860" s="1832">
        <f>'PCTC-OEPP 27-28'!F128</f>
        <v>23547</v>
      </c>
      <c r="D7860" s="2" t="str">
        <f t="shared" si="129"/>
        <v>Error?</v>
      </c>
      <c r="E7860" s="4" t="s">
        <v>1998</v>
      </c>
    </row>
    <row r="7861" spans="1:5" x14ac:dyDescent="0.2">
      <c r="A7861">
        <v>7800</v>
      </c>
      <c r="B7861" s="1832">
        <f>'PCTC-OEPP 27-28'!F129</f>
        <v>88050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27655</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5513</v>
      </c>
      <c r="D7874" s="2" t="str">
        <f t="shared" si="129"/>
        <v>Error?</v>
      </c>
      <c r="E7874" s="4" t="s">
        <v>1998</v>
      </c>
    </row>
    <row r="7875" spans="1:5" x14ac:dyDescent="0.2">
      <c r="A7875">
        <v>7814</v>
      </c>
      <c r="B7875" s="1832">
        <f>'PCTC-OEPP 27-28'!F170</f>
        <v>22060</v>
      </c>
      <c r="D7875" s="2" t="str">
        <f t="shared" si="129"/>
        <v>Error?</v>
      </c>
      <c r="E7875" s="4" t="s">
        <v>1998</v>
      </c>
    </row>
    <row r="7876" spans="1:5" x14ac:dyDescent="0.2">
      <c r="A7876">
        <v>7815</v>
      </c>
      <c r="B7876" s="1832">
        <f>'PCTC-OEPP 27-28'!F171</f>
        <v>8526</v>
      </c>
      <c r="D7876" s="2" t="str">
        <f t="shared" si="129"/>
        <v>Error?</v>
      </c>
      <c r="E7876" s="4" t="s">
        <v>1998</v>
      </c>
    </row>
    <row r="7877" spans="1:5" x14ac:dyDescent="0.2">
      <c r="A7877">
        <v>7816</v>
      </c>
      <c r="B7877" s="1832">
        <f>'PCTC-OEPP 27-28'!F175</f>
        <v>1165673</v>
      </c>
      <c r="D7877" s="2" t="str">
        <f t="shared" si="129"/>
        <v>Error?</v>
      </c>
      <c r="E7877" s="4" t="s">
        <v>1998</v>
      </c>
    </row>
    <row r="7878" spans="1:5" x14ac:dyDescent="0.2">
      <c r="A7878">
        <v>7817</v>
      </c>
      <c r="B7878" s="1832">
        <f>'PCTC-OEPP 27-28'!F176</f>
        <v>2602562</v>
      </c>
      <c r="D7878" s="2" t="str">
        <f t="shared" si="129"/>
        <v>Error?</v>
      </c>
      <c r="E7878" s="4" t="s">
        <v>1998</v>
      </c>
    </row>
    <row r="7879" spans="1:5" x14ac:dyDescent="0.2">
      <c r="A7879">
        <v>7818</v>
      </c>
      <c r="B7879" s="1832">
        <f>'PCTC-OEPP 27-28'!F178</f>
        <v>2897967.1</v>
      </c>
      <c r="D7879" s="2" t="str">
        <f t="shared" si="129"/>
        <v>Error?</v>
      </c>
      <c r="E7879" s="4" t="s">
        <v>1998</v>
      </c>
    </row>
    <row r="7880" spans="1:5" x14ac:dyDescent="0.2">
      <c r="A7880">
        <v>7819</v>
      </c>
      <c r="B7880" s="1832">
        <f>'PCTC-OEPP 27-28'!F180</f>
        <v>10439.362752161383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Shawnee CUSD 84</v>
      </c>
      <c r="B7" s="2516"/>
      <c r="C7" s="2516"/>
      <c r="D7" s="2554"/>
      <c r="E7" s="2555">
        <f>COVER!A13</f>
        <v>30091084026</v>
      </c>
      <c r="F7" s="2556"/>
      <c r="G7" s="2522" t="str">
        <f>COVER!T23</f>
        <v>066-005023</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BEUSSINK HICKAM &amp; KOCHEL PC</v>
      </c>
      <c r="H9" s="2529"/>
      <c r="I9" s="2529"/>
      <c r="J9" s="2529"/>
      <c r="K9" s="2529"/>
      <c r="L9" s="2530"/>
    </row>
    <row r="10" spans="1:29" ht="13.5" customHeight="1" x14ac:dyDescent="0.2">
      <c r="A10" s="2512" t="str">
        <f>COVER!A38</f>
        <v>SHELLY CLOVER-HILL</v>
      </c>
      <c r="B10" s="2513"/>
      <c r="C10" s="2513"/>
      <c r="D10" s="2513"/>
      <c r="E10" s="2513"/>
      <c r="F10" s="2514"/>
      <c r="G10" s="2528" t="str">
        <f>COVER!T17</f>
        <v>139 W VIENNA ST - PO BOX 556</v>
      </c>
      <c r="H10" s="2541"/>
      <c r="I10" s="2541"/>
      <c r="J10" s="2541"/>
      <c r="K10" s="2541"/>
      <c r="L10" s="2542"/>
    </row>
    <row r="11" spans="1:29" ht="13.5" customHeight="1" x14ac:dyDescent="0.2">
      <c r="A11" s="963" t="s">
        <v>1502</v>
      </c>
      <c r="B11" s="964"/>
      <c r="C11" s="965"/>
      <c r="D11" s="970"/>
      <c r="E11" s="965"/>
      <c r="F11" s="969"/>
      <c r="G11" s="2528" t="str">
        <f>COVER!T19</f>
        <v>ANNA</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shickam@frontier.com</v>
      </c>
      <c r="J13" s="2550"/>
      <c r="K13" s="2550"/>
      <c r="L13" s="2551"/>
    </row>
    <row r="14" spans="1:29" ht="13.5" customHeight="1" x14ac:dyDescent="0.2">
      <c r="A14" s="2528" t="str">
        <f>COVER!A19</f>
        <v>3365 STATE HWY 3 NORTH</v>
      </c>
      <c r="B14" s="2541"/>
      <c r="C14" s="2541"/>
      <c r="D14" s="2541"/>
      <c r="E14" s="2541"/>
      <c r="F14" s="2542"/>
      <c r="G14" s="974" t="s">
        <v>1175</v>
      </c>
      <c r="H14" s="972"/>
      <c r="I14" s="972"/>
      <c r="J14" s="972"/>
      <c r="K14" s="972"/>
      <c r="L14" s="973"/>
    </row>
    <row r="15" spans="1:29" ht="13.5" customHeight="1" x14ac:dyDescent="0.2">
      <c r="A15" s="2528" t="str">
        <f>COVER!A21</f>
        <v>WOLF LAKE</v>
      </c>
      <c r="B15" s="2541"/>
      <c r="C15" s="2541"/>
      <c r="D15" s="2541"/>
      <c r="E15" s="2541"/>
      <c r="F15" s="2542"/>
      <c r="G15" s="2538" t="str">
        <f>COVER!T15</f>
        <v>SCOTT A HICKAM CPA</v>
      </c>
      <c r="H15" s="2539"/>
      <c r="I15" s="2539"/>
      <c r="J15" s="2539"/>
      <c r="K15" s="2539"/>
      <c r="L15" s="2540"/>
    </row>
    <row r="16" spans="1:29" ht="12.2" customHeight="1" x14ac:dyDescent="0.2">
      <c r="A16" s="2518">
        <f>COVER!A25</f>
        <v>62998</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618-833-2721</v>
      </c>
      <c r="H18" s="2516"/>
      <c r="I18" s="2516"/>
      <c r="J18" s="2516"/>
      <c r="K18" s="2515" t="str">
        <f>COVER!X21</f>
        <v>618-833-7077</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Shawnee CUSD 84</v>
      </c>
      <c r="B1" s="2558"/>
      <c r="C1" s="2558"/>
      <c r="D1" s="2558"/>
    </row>
    <row r="2" spans="1:11" s="991" customFormat="1" ht="12.75" x14ac:dyDescent="0.2">
      <c r="A2" s="2559">
        <f>'Single Audit Cover'!E7</f>
        <v>30091084026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Shawnee CUSD 84</v>
      </c>
      <c r="B1" s="2562"/>
      <c r="C1" s="2562"/>
      <c r="D1" s="2562"/>
      <c r="E1" s="2562"/>
    </row>
    <row r="2" spans="1:5" x14ac:dyDescent="0.2">
      <c r="A2" s="2563">
        <f>'Single Audit Cover'!E7</f>
        <v>30091084026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616003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14714</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-22060</v>
      </c>
    </row>
    <row r="19" spans="1:4" ht="13.5" thickBot="1" x14ac:dyDescent="0.25">
      <c r="A19" s="1041" t="s">
        <v>1224</v>
      </c>
      <c r="D19" s="1042">
        <f>SUM(D10:D17)</f>
        <v>608657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608657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608657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Shawnee CUSD 84</v>
      </c>
      <c r="C1" s="2566"/>
      <c r="D1" s="2566"/>
      <c r="E1" s="2566"/>
      <c r="F1" s="2566"/>
      <c r="G1" s="2566"/>
      <c r="H1" s="2566"/>
      <c r="I1" s="2566"/>
      <c r="J1" s="2566"/>
      <c r="K1" s="2566"/>
      <c r="L1" s="2566"/>
      <c r="M1" s="2566"/>
    </row>
    <row r="2" spans="2:14" ht="15" x14ac:dyDescent="0.2">
      <c r="B2" s="2567">
        <f>'Single Audit Cover'!E7</f>
        <v>30091084026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Shawnee CUSD 84</v>
      </c>
      <c r="B1" s="2571"/>
      <c r="C1" s="2571"/>
      <c r="D1" s="2571"/>
      <c r="E1" s="2571"/>
      <c r="F1" s="2571"/>
    </row>
    <row r="2" spans="1:7" ht="13.5" customHeight="1" x14ac:dyDescent="0.2">
      <c r="A2" s="2567">
        <f>'Single Audit Cover'!E7</f>
        <v>30091084026</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Shawnee CUSD 84</v>
      </c>
      <c r="C1" s="2587"/>
      <c r="D1" s="2587"/>
      <c r="E1" s="2587"/>
      <c r="F1" s="2587"/>
      <c r="G1" s="2587"/>
      <c r="H1" s="2587"/>
      <c r="I1" s="2587"/>
      <c r="J1" s="1178"/>
    </row>
    <row r="2" spans="2:10" s="295" customFormat="1" ht="12.75" customHeight="1" x14ac:dyDescent="0.2">
      <c r="B2" s="2588">
        <f>'Single Audit Cover'!E7</f>
        <v>30091084026</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7" t="str">
        <f>"Total Federal Expenditures for 7/1/"&amp;MID('AFR20'!E2,3,2)-1&amp;"-6/30/"&amp;MID('AFR20'!E2,3,2)</f>
        <v>Total Federal Expenditures for 7/1/19-6/30/20</v>
      </c>
      <c r="C45" s="1918"/>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Shawnee CUSD 84</v>
      </c>
      <c r="C1" s="2586"/>
      <c r="D1" s="2586"/>
      <c r="E1" s="2586"/>
      <c r="F1" s="2586"/>
      <c r="G1" s="2586"/>
      <c r="H1" s="2586"/>
      <c r="I1" s="2586"/>
      <c r="J1" s="2586"/>
      <c r="K1" s="2586"/>
      <c r="L1" s="1144"/>
      <c r="M1" s="1144"/>
    </row>
    <row r="2" spans="1:13" ht="12" customHeight="1" x14ac:dyDescent="0.2">
      <c r="B2" s="2588">
        <f>'Single Audit Cover'!E7</f>
        <v>30091084026</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Shawnee CUSD 84</v>
      </c>
      <c r="C1" s="2613"/>
      <c r="D1" s="2613"/>
      <c r="E1" s="2613"/>
      <c r="F1" s="2613"/>
      <c r="G1" s="2613"/>
      <c r="H1" s="2613"/>
      <c r="I1" s="2613"/>
      <c r="J1" s="2613"/>
      <c r="K1" s="2613"/>
      <c r="L1" s="1221"/>
    </row>
    <row r="2" spans="1:12" ht="12.75" customHeight="1" x14ac:dyDescent="0.2">
      <c r="B2" s="2614">
        <f>'Single Audit Cover'!E7</f>
        <v>30091084026</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Shawnee CUSD 84</v>
      </c>
      <c r="C1" s="2586"/>
      <c r="D1" s="2586"/>
      <c r="E1" s="1240"/>
    </row>
    <row r="2" spans="2:5" s="1058" customFormat="1" ht="12.75" customHeight="1" x14ac:dyDescent="0.2">
      <c r="B2" s="2588">
        <f>'Single Audit Cover'!E7</f>
        <v>30091084026</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schemas.microsoft.com/office/2006/documentManagement/types"/>
    <ds:schemaRef ds:uri="6ce3111e-7420-4802-b50a-75d4e9a0b980"/>
    <ds:schemaRef ds:uri="http://schemas.microsoft.com/office/2006/metadata/properties"/>
    <ds:schemaRef ds:uri="http://www.w3.org/XML/1998/namespace"/>
    <ds:schemaRef ds:uri="http://schemas.openxmlformats.org/package/2006/metadata/core-properties"/>
    <ds:schemaRef ds:uri="4d435f69-8686-490b-bd6d-b153bf22ab50"/>
    <ds:schemaRef ds:uri="http://purl.org/dc/terms/"/>
    <ds:schemaRef ds:uri="http://purl.org/dc/dcmitype/"/>
    <ds:schemaRef ds:uri="http://purl.org/dc/elements/1.1/"/>
    <ds:schemaRef ds:uri="http://schemas.microsoft.com/office/infopath/2007/PartnerControls"/>
    <ds:schemaRef ds:uri="d21dc803-237d-4c68-8692-8d731fd29118"/>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2021-01-19T07:55:05Z</cp:lastPrinted>
  <dcterms:created xsi:type="dcterms:W3CDTF">2003-10-29T19:06:34Z</dcterms:created>
  <dcterms:modified xsi:type="dcterms:W3CDTF">2021-01-26T17:28:46Z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