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41DA9F3-EC33-49C7-B1DB-828C75039773}"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1" sheetId="179" r:id="rId28"/>
    <sheet name="SEFA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14">'Contracts Paid in CY 29'!$A$1:$F$30</definedName>
    <definedName name="_xlnm.Print_Area" localSheetId="15">'ICR Computation 30'!$A$1:$G$47</definedName>
    <definedName name="_xlnm.Print_Area" localSheetId="29">'SEFA NOTES'!$A$1:$F$52</definedName>
    <definedName name="_xlnm.Print_Area" localSheetId="26">'SEFA Reconcile'!$A$1:$E$49</definedName>
    <definedName name="_xlnm.Print_Area" localSheetId="27">SEFA1!$C$1:$N$48</definedName>
    <definedName name="_xlnm.Print_Area" localSheetId="30">'SF&amp;QC Sec-1'!$A$1:$J$63</definedName>
    <definedName name="_xlnm.Print_Area" localSheetId="32">'SF&amp;QC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27">#REF!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27">#REF!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27">#REF!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27">#REF!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27">#REF!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8" i="179" l="1"/>
  <c r="M21" i="179"/>
  <c r="K25" i="185"/>
  <c r="J26" i="185"/>
  <c r="I26" i="185"/>
  <c r="H26" i="185"/>
  <c r="G26" i="185"/>
  <c r="F26" i="185"/>
  <c r="E26" i="185"/>
  <c r="D26" i="185"/>
  <c r="L28" i="179"/>
  <c r="K28" i="179"/>
  <c r="J28" i="179"/>
  <c r="I28" i="179"/>
  <c r="H28" i="179"/>
  <c r="G28" i="179"/>
  <c r="F28" i="179"/>
  <c r="L24" i="179"/>
  <c r="K24" i="179"/>
  <c r="J24" i="179"/>
  <c r="I24" i="179"/>
  <c r="H24" i="179"/>
  <c r="M24" i="179" s="1"/>
  <c r="G24" i="179"/>
  <c r="F24" i="179"/>
  <c r="L21" i="179"/>
  <c r="K21" i="179"/>
  <c r="J21" i="179"/>
  <c r="I21" i="179"/>
  <c r="H21" i="179"/>
  <c r="G21" i="179"/>
  <c r="F21" i="179"/>
  <c r="L18" i="179"/>
  <c r="L29" i="179" s="1"/>
  <c r="K18" i="179"/>
  <c r="J18" i="179"/>
  <c r="J29" i="179" s="1"/>
  <c r="I18" i="179"/>
  <c r="H18" i="179"/>
  <c r="M18" i="179" s="1"/>
  <c r="G18" i="179"/>
  <c r="F18" i="179"/>
  <c r="F29" i="179" s="1"/>
  <c r="L16" i="179"/>
  <c r="K16" i="179"/>
  <c r="K29" i="179" s="1"/>
  <c r="J16" i="179"/>
  <c r="I16" i="179"/>
  <c r="I29" i="179" s="1"/>
  <c r="H16" i="179"/>
  <c r="M16" i="179" s="1"/>
  <c r="G16" i="179"/>
  <c r="G29" i="179" s="1"/>
  <c r="F16" i="179"/>
  <c r="H29" i="179" l="1"/>
  <c r="K26" i="185"/>
  <c r="M29" i="179"/>
  <c r="K28" i="185"/>
  <c r="J20" i="185"/>
  <c r="J29" i="185" s="1"/>
  <c r="I20" i="185"/>
  <c r="I29" i="185" s="1"/>
  <c r="H20" i="185"/>
  <c r="H29" i="185" s="1"/>
  <c r="G20" i="185"/>
  <c r="G29" i="185" s="1"/>
  <c r="F20" i="185"/>
  <c r="F29" i="185" s="1"/>
  <c r="E20" i="185"/>
  <c r="E29" i="185" s="1"/>
  <c r="D20" i="185"/>
  <c r="D29" i="185" s="1"/>
  <c r="M25" i="179"/>
  <c r="M13" i="179"/>
  <c r="M14" i="179"/>
  <c r="M15" i="179"/>
  <c r="K24" i="185" l="1"/>
  <c r="K20" i="185"/>
  <c r="K18" i="185"/>
  <c r="K17" i="185"/>
  <c r="K16" i="185"/>
  <c r="K15" i="185"/>
  <c r="K14" i="185"/>
  <c r="K13" i="185"/>
  <c r="K11" i="185"/>
  <c r="K29" i="185" l="1"/>
  <c r="M19" i="3"/>
  <c r="F5" i="29" l="1"/>
  <c r="F7" i="29"/>
  <c r="G7" i="29"/>
  <c r="F124" i="29"/>
  <c r="E124" i="29"/>
  <c r="E12" i="11"/>
  <c r="D5" i="29" l="1"/>
  <c r="C4" i="3"/>
  <c r="F63" i="29"/>
  <c r="D55" i="29"/>
  <c r="D40" i="29"/>
  <c r="D37" i="29"/>
  <c r="D14" i="29"/>
  <c r="F10" i="29"/>
  <c r="D10" i="29"/>
  <c r="C10" i="29"/>
  <c r="D8" i="29"/>
  <c r="E7" i="29"/>
  <c r="D7" i="29"/>
  <c r="C7" i="29"/>
  <c r="J31" i="8"/>
  <c r="L10" i="37"/>
  <c r="H10" i="37"/>
  <c r="F10" i="37"/>
  <c r="D10" i="37"/>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H9" i="179"/>
  <c r="I8" i="179"/>
  <c r="K8" i="179"/>
  <c r="J9" i="179"/>
  <c r="G9" i="179"/>
  <c r="F9" i="179"/>
  <c r="A4" i="169"/>
  <c r="A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C4" i="179" l="1"/>
  <c r="D17" i="171" l="1"/>
  <c r="M27" i="179" l="1"/>
  <c r="M26" i="179"/>
  <c r="M23" i="179"/>
  <c r="M22" i="179"/>
  <c r="M20" i="179"/>
  <c r="M19" i="179"/>
  <c r="M17" i="179"/>
  <c r="D14" i="171" l="1"/>
  <c r="D12" i="171"/>
  <c r="A10" i="169"/>
  <c r="A16" i="169"/>
  <c r="A15" i="169"/>
  <c r="A14" i="169"/>
  <c r="K18" i="169"/>
  <c r="G18" i="169"/>
  <c r="G15" i="169"/>
  <c r="I13" i="169"/>
  <c r="G11" i="169"/>
  <c r="G10" i="169"/>
  <c r="G9" i="169"/>
  <c r="G7" i="169"/>
  <c r="E7" i="169"/>
  <c r="A7" i="169"/>
  <c r="A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C2" i="179" l="1"/>
  <c r="A2" i="185"/>
  <c r="B2" i="177"/>
  <c r="A2" i="170"/>
  <c r="B2" i="174"/>
  <c r="A2" i="173"/>
  <c r="A1" i="171"/>
  <c r="C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G33" i="108"/>
  <c r="E17" i="184"/>
  <c r="H17" i="184" s="1"/>
  <c r="D31" i="108"/>
  <c r="E16" i="184"/>
  <c r="H16" i="184" s="1"/>
  <c r="G30" i="108"/>
  <c r="E19" i="184"/>
  <c r="H12" i="184"/>
  <c r="F34" i="34"/>
  <c r="B7826" i="106" s="1"/>
  <c r="D7826" i="106" s="1"/>
  <c r="B7153" i="106"/>
  <c r="D7153" i="106" s="1"/>
  <c r="E60" i="184"/>
  <c r="N60" i="184" s="1"/>
  <c r="B7135" i="106"/>
  <c r="D7135" i="106" s="1"/>
  <c r="E58" i="184"/>
  <c r="D69" i="36"/>
  <c r="H28" i="118"/>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H19" i="184"/>
  <c r="L20" i="184" s="1"/>
  <c r="B1381" i="106"/>
  <c r="D1381" i="106" s="1"/>
  <c r="F41" i="108"/>
  <c r="G43" i="108" s="1"/>
  <c r="N58" i="184"/>
  <c r="N68" i="184" s="1"/>
  <c r="E68" i="184"/>
  <c r="E367" i="29"/>
  <c r="B3635" i="106"/>
  <c r="B6216" i="106"/>
  <c r="D6216" i="106" s="1"/>
  <c r="B5527" i="106"/>
  <c r="D5527" i="106" s="1"/>
  <c r="L16" i="11"/>
  <c r="B2061" i="106" s="1"/>
  <c r="D2061" i="106" s="1"/>
  <c r="H77" i="4"/>
  <c r="B3299" i="106" s="1"/>
  <c r="D3299" i="106" s="1"/>
  <c r="K77" i="4"/>
  <c r="B3587" i="106" s="1"/>
  <c r="D358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77" i="34" l="1"/>
  <c r="J20" i="4"/>
  <c r="J19" i="4"/>
  <c r="B6229" i="106" s="1"/>
  <c r="D6229" i="106" s="1"/>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<sst xmlns="http://schemas.openxmlformats.org/spreadsheetml/2006/main" count="5358" uniqueCount="2131">
  <si>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</si>
  <si>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</si>
  <si>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</si>
  <si>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</si>
  <si>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</si>
  <si>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</si>
  <si>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</si>
  <si>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</si>
  <si>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</si>
  <si>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</si>
  <si>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</si>
  <si>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</si>
  <si>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</si>
  <si>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</si>
  <si>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</si>
  <si>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</si>
  <si>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</si>
  <si>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</si>
  <si>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</si>
  <si>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</si>
  <si>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</si>
  <si>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</si>
  <si>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</si>
  <si>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</si>
  <si>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</si>
  <si>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</si>
  <si>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</si>
  <si>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</si>
  <si>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</si>
  <si>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</si>
  <si>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</si>
  <si>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</si>
  <si>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</si>
  <si>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</si>
  <si>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</si>
  <si>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</si>
  <si>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</si>
  <si>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</si>
  <si>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</si>
  <si>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</si>
  <si>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</si>
  <si>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</si>
  <si>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</si>
  <si>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</si>
  <si>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</si>
  <si>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</si>
  <si>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</si>
  <si>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</si>
  <si>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</si>
  <si>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</si>
  <si>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</si>
  <si>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</si>
  <si>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</si>
  <si>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</si>
  <si>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</si>
  <si>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</si>
  <si>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</si>
  <si>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</si>
  <si>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</si>
  <si>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</si>
  <si>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</si>
  <si>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</si>
  <si>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</si>
  <si>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</si>
  <si>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</si>
  <si>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</si>
  <si>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</si>
  <si>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</si>
  <si>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</si>
  <si>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</si>
  <si>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</si>
  <si>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</si>
  <si>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</si>
  <si>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</si>
  <si>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</si>
  <si>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</si>
  <si>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</si>
  <si>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</si>
  <si>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</si>
  <si>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</si>
  <si>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</si>
  <si>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</si>
  <si>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</si>
  <si>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</si>
  <si>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</si>
  <si>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</si>
  <si>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</si>
  <si>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</si>
  <si>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</si>
  <si>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</si>
  <si>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</si>
  <si>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</si>
  <si>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</si>
  <si>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</si>
  <si>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</si>
  <si>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</si>
  <si>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</si>
  <si>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</si>
  <si>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</si>
  <si>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</si>
  <si>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</si>
  <si>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</si>
  <si>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</si>
  <si>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</si>
  <si>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</si>
  <si>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</si>
  <si>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</si>
  <si>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</si>
  <si>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</si>
  <si>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</si>
  <si>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</si>
  <si>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</si>
  <si>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</si>
  <si>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</si>
  <si>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</si>
  <si>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</si>
  <si>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</si>
  <si>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</si>
  <si>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</si>
  <si>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</si>
  <si>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</si>
  <si>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</si>
  <si>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</si>
  <si>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</si>
  <si>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</si>
  <si>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</si>
  <si>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</si>
  <si>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</si>
  <si>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</si>
  <si>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</si>
  <si>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</si>
  <si>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</si>
  <si>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</si>
  <si>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</si>
  <si>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</si>
  <si>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</si>
  <si>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</si>
  <si>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</si>
  <si>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</si>
  <si>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</si>
  <si>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</si>
  <si>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</si>
  <si>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</si>
  <si>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</si>
  <si>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</si>
  <si>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</si>
  <si>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</si>
  <si>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</si>
  <si>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</si>
  <si>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</si>
  <si>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</si>
  <si>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</si>
  <si>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</si>
  <si>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</si>
  <si>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</si>
  <si>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</si>
  <si>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</si>
  <si>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</si>
  <si>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</si>
  <si>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</si>
  <si>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</si>
  <si>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</si>
  <si>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</si>
  <si>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</si>
  <si>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</si>
  <si>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</si>
  <si>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</si>
  <si>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</si>
  <si>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</si>
  <si>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</si>
  <si>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</si>
  <si>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</si>
  <si>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</si>
  <si>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</si>
  <si>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</si>
  <si>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</si>
  <si>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</si>
  <si>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</si>
  <si>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</si>
  <si>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</si>
  <si>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</si>
  <si>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</si>
  <si>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</si>
  <si>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</si>
  <si>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</si>
  <si>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</si>
  <si>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</si>
  <si>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</si>
  <si>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</si>
  <si>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</si>
  <si>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</si>
  <si>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</si>
  <si>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</si>
  <si>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</si>
  <si>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</si>
  <si>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</si>
  <si>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</si>
  <si>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</si>
  <si>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</si>
  <si>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</si>
  <si>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</si>
  <si>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</si>
  <si>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</si>
  <si>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</si>
  <si>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</si>
  <si>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</si>
  <si>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</si>
  <si>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</si>
  <si>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</si>
  <si>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</si>
  <si>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</si>
  <si>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</si>
  <si>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</si>
  <si>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</si>
  <si>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</si>
  <si>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</si>
  <si>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</si>
  <si>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</si>
  <si>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</si>
  <si>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</si>
  <si>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</si>
  <si>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</si>
  <si>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</si>
  <si>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</si>
  <si>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</si>
  <si>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</si>
  <si>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</si>
  <si>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</si>
  <si>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</si>
  <si>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</si>
  <si>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</si>
  <si>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</si>
  <si>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</si>
  <si>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</si>
  <si>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</si>
  <si>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</si>
  <si>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</si>
  <si>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</si>
  <si>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</si>
  <si>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</si>
  <si>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</si>
  <si>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</si>
  <si>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</si>
  <si>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</si>
  <si>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</si>
  <si>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</si>
  <si>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</si>
  <si>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</si>
  <si>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</si>
  <si>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</si>
  <si>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</si>
  <si>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</si>
  <si>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</si>
  <si>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</si>
  <si>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</si>
  <si>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</si>
  <si>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</si>
  <si>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</si>
  <si>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</si>
  <si>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</si>
  <si>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</si>
  <si>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</si>
  <si>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</si>
  <si>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</si>
  <si>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</si>
  <si>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</si>
  <si>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</si>
  <si>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</si>
  <si>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</si>
  <si>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</si>
  <si>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</si>
  <si>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</si>
  <si>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</si>
  <si>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</si>
  <si>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</si>
  <si>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</si>
  <si>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</si>
  <si>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</si>
  <si>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</si>
  <si>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</si>
  <si>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</si>
  <si>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</si>
  <si>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</si>
  <si>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</si>
  <si>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</si>
  <si>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</si>
  <si>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</si>
  <si>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</si>
  <si>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</si>
  <si>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</si>
  <si>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</si>
  <si>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</si>
  <si>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</si>
  <si>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</si>
  <si>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</si>
  <si>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</si>
  <si>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</si>
  <si>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</si>
  <si>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</si>
  <si>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</si>
  <si>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</si>
  <si>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</si>
  <si>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</si>
  <si>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</si>
  <si>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</si>
  <si>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</si>
  <si>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</si>
  <si>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</si>
  <si>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</si>
  <si>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</si>
  <si>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</si>
  <si>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</si>
  <si>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</si>
  <si>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</si>
  <si>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</si>
  <si>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</si>
  <si>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</si>
  <si>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</si>
  <si>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</si>
  <si>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</si>
  <si>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</si>
  <si>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</si>
  <si>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</si>
  <si>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</si>
  <si>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</si>
  <si>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</si>
  <si>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</si>
  <si>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</si>
  <si>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</si>
  <si>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</si>
  <si>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</si>
  <si>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</si>
  <si>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</si>
  <si>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</si>
  <si>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</si>
  <si>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</si>
  <si>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</si>
  <si>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</si>
  <si>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</si>
  <si>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</si>
  <si>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</si>
  <si>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</si>
  <si>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</si>
  <si>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</si>
  <si>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</si>
  <si>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</si>
  <si>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</si>
  <si>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</si>
  <si>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</si>
  <si>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</si>
  <si>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</si>
  <si>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</si>
  <si>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</si>
  <si>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</si>
  <si>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</si>
  <si>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</si>
  <si>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</si>
  <si>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</si>
  <si>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</si>
  <si>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</si>
  <si>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</si>
  <si>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</si>
  <si>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</si>
  <si>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</si>
  <si>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</si>
  <si>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</si>
  <si>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</si>
  <si>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</si>
  <si>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</si>
  <si>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</si>
  <si>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</si>
  <si>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</si>
  <si>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</si>
  <si>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</si>
  <si>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</si>
  <si>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</si>
  <si>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</si>
  <si>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</si>
  <si>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</si>
  <si>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</si>
  <si>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</si>
  <si>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</si>
  <si>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</si>
  <si>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</si>
  <si>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</si>
  <si>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</si>
  <si>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</si>
  <si>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</si>
  <si>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</si>
  <si>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</si>
  <si>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</si>
  <si>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</si>
  <si>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</si>
  <si>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</si>
  <si>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</si>
  <si>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</si>
  <si>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</si>
  <si>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</si>
  <si>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</si>
  <si>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</si>
  <si>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</si>
  <si>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</si>
  <si>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</si>
  <si>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</si>
  <si>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</si>
  <si>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</si>
  <si>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</si>
  <si>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</si>
  <si>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</si>
  <si>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</si>
  <si>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</si>
  <si>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</si>
  <si>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</si>
  <si>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</si>
  <si>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</si>
  <si>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</si>
  <si>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</si>
  <si>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</si>
  <si>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</si>
  <si>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</si>
  <si>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</si>
  <si>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</si>
  <si>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</si>
  <si>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</si>
  <si>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</si>
  <si>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</si>
  <si>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</si>
  <si>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</si>
  <si>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</si>
  <si>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</si>
  <si>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</si>
  <si>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</si>
  <si>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</si>
  <si>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</si>
  <si>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</si>
  <si>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</si>
  <si>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</si>
  <si>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</si>
  <si>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</si>
  <si>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</si>
  <si>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</si>
  <si>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</si>
  <si>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</si>
  <si>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</si>
  <si>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</si>
  <si>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</si>
  <si>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</si>
  <si>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</si>
  <si>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</si>
  <si>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</si>
  <si>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</si>
  <si>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</si>
  <si>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</si>
  <si>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</si>
  <si>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</si>
  <si>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</si>
  <si>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</si>
  <si>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</si>
  <si>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</si>
  <si>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</si>
  <si>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</si>
  <si>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</si>
  <si>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</si>
  <si>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</si>
  <si>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</si>
  <si>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</si>
  <si>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</si>
  <si>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</si>
  <si>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</si>
  <si>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</si>
  <si>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</si>
  <si>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</si>
  <si>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</si>
  <si>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</si>
  <si>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</si>
  <si>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</si>
  <si>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</si>
  <si>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</si>
  <si>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</si>
  <si>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</si>
  <si>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</si>
  <si>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</si>
  <si>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</si>
  <si>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</si>
  <si>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</si>
  <si>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</si>
  <si>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</si>
  <si>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</si>
  <si>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</si>
  <si>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</si>
  <si>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</si>
  <si>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</si>
  <si>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</si>
  <si>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</si>
  <si>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</si>
  <si>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</si>
  <si>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</si>
  <si>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</si>
  <si>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</si>
  <si>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</si>
  <si>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</si>
  <si>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</si>
  <si>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</si>
  <si>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</si>
  <si>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</si>
  <si>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</si>
  <si>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</si>
  <si>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</si>
  <si>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</si>
  <si>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</si>
  <si>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</si>
  <si>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</si>
  <si>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</si>
  <si>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</si>
  <si>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</si>
  <si>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</si>
  <si>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</si>
  <si>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</si>
  <si>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</si>
  <si>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</si>
  <si>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</si>
  <si>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</si>
  <si>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</si>
  <si>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</si>
  <si>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</si>
  <si>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</si>
  <si>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</si>
  <si>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</si>
  <si>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</si>
  <si>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</si>
  <si>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</si>
  <si>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</si>
  <si>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</si>
  <si>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</si>
  <si>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</si>
  <si>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</si>
  <si>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</si>
  <si>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</si>
  <si>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</si>
  <si>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</si>
  <si>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</si>
  <si>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</si>
  <si>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</si>
  <si>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</si>
  <si>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</si>
  <si>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</si>
  <si>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</si>
  <si>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</si>
  <si>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</si>
  <si>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</si>
  <si>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</si>
  <si>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</si>
  <si>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</si>
  <si>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</si>
  <si>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</si>
  <si>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</si>
  <si>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</si>
  <si>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</si>
  <si>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</si>
  <si>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</si>
  <si>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</si>
  <si>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</si>
  <si>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</si>
  <si>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</si>
  <si>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</si>
  <si>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</si>
  <si>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</si>
  <si>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</si>
  <si>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</si>
  <si>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</si>
  <si>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</si>
  <si>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</si>
  <si>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</si>
  <si>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</si>
  <si>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</si>
  <si>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</si>
  <si>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</si>
  <si>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</si>
  <si>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</si>
  <si>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</si>
  <si>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</si>
  <si>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</si>
  <si>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</si>
  <si>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</si>
  <si>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</si>
  <si>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</si>
  <si>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</si>
  <si>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</si>
  <si>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</si>
  <si>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</si>
  <si>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</si>
  <si>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</si>
  <si>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</si>
  <si>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</si>
  <si>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</si>
  <si>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</si>
  <si>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</si>
  <si>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</si>
  <si>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</si>
  <si>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</si>
  <si>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</si>
  <si>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</si>
  <si>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</si>
  <si>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</si>
  <si>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</si>
  <si>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</si>
  <si>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</si>
  <si>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</si>
  <si>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</si>
  <si>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</si>
  <si>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</si>
  <si>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</si>
  <si>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</si>
  <si>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</si>
  <si>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</si>
  <si>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</si>
  <si>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</si>
  <si>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</si>
  <si>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</si>
  <si>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</si>
  <si>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</si>
  <si>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</si>
  <si>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</si>
  <si>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</si>
  <si>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</si>
  <si>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</si>
  <si>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</si>
  <si>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</si>
  <si>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</si>
  <si>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</si>
  <si>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</si>
  <si>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</si>
  <si>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</si>
  <si>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</si>
  <si>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</si>
  <si>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</si>
  <si>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</si>
  <si>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</si>
  <si>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</si>
  <si>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</si>
  <si>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</si>
  <si>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</si>
  <si>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</si>
  <si>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</si>
  <si>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</si>
  <si>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</si>
  <si>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</si>
  <si>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</si>
  <si>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</si>
  <si>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</si>
  <si>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</si>
  <si>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</si>
  <si>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</si>
  <si>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</si>
  <si>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</si>
  <si>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</si>
  <si>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</si>
  <si>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</si>
  <si>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</si>
  <si>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</si>
  <si>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</si>
  <si>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</si>
  <si>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</si>
  <si>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</si>
  <si>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</si>
  <si>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</si>
  <si>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</si>
  <si>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</si>
  <si>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</si>
  <si>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</si>
  <si>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</si>
  <si>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</si>
  <si>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</si>
  <si>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</si>
  <si>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</si>
  <si>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</si>
  <si>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</si>
  <si>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</si>
  <si>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</si>
  <si>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</si>
  <si>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</si>
  <si>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</si>
  <si>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</si>
  <si>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</si>
  <si>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</si>
  <si>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</si>
  <si>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</si>
  <si>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</si>
  <si>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</si>
  <si>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</si>
  <si>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</si>
  <si>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</si>
  <si>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</si>
  <si>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</si>
  <si>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</si>
  <si>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</si>
  <si>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</si>
  <si>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</si>
  <si>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</si>
  <si>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</si>
  <si>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</si>
  <si>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</si>
  <si>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</si>
  <si>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</si>
  <si>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</si>
  <si>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</si>
  <si>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</si>
  <si>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</si>
  <si>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</si>
  <si>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</si>
  <si>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</si>
  <si>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</si>
  <si>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</si>
  <si>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</si>
  <si>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</si>
  <si>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</si>
  <si>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</si>
  <si>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</si>
  <si>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</si>
  <si>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</si>
  <si>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</si>
  <si>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</si>
  <si>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</si>
  <si>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</si>
  <si>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</si>
  <si>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</si>
  <si>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</si>
  <si>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</si>
  <si>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</si>
  <si>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</si>
  <si>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</si>
  <si>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</si>
  <si>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</si>
  <si>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</si>
  <si>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</si>
  <si>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</si>
  <si>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</si>
  <si>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</si>
  <si>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</si>
  <si>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</si>
  <si>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</si>
  <si>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</si>
  <si>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</si>
  <si>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</si>
  <si>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</si>
  <si>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</si>
  <si>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</si>
  <si>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</si>
  <si>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</si>
  <si>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</si>
  <si>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</si>
  <si>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</si>
  <si>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</si>
  <si>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</si>
  <si>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</si>
  <si>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</si>
  <si>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</si>
  <si>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</si>
  <si>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</si>
  <si>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</si>
  <si>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</si>
  <si>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</si>
  <si>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</si>
  <si>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</si>
  <si>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</si>
  <si>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</si>
  <si>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</si>
  <si>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</si>
  <si>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</si>
  <si>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</si>
  <si>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</si>
  <si>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</si>
  <si>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</si>
  <si>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</si>
  <si>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</si>
  <si>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</si>
  <si>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</si>
  <si>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</si>
  <si>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</si>
  <si>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</si>
  <si>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</si>
  <si>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</si>
  <si>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</si>
  <si>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</si>
  <si>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</si>
  <si>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</si>
  <si>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</si>
  <si>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</si>
  <si>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</si>
  <si>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</si>
  <si>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</si>
  <si>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</si>
  <si>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</si>
  <si>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</si>
  <si>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</si>
  <si>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</si>
  <si>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</si>
  <si>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</si>
  <si>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</si>
  <si>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</si>
  <si>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</si>
  <si>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</si>
  <si>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</si>
  <si>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</si>
  <si>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</si>
  <si>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</si>
  <si>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</si>
  <si>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</si>
  <si>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</si>
  <si>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</si>
  <si>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</si>
  <si>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</si>
  <si>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</si>
  <si>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</si>
  <si>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</si>
  <si>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</si>
  <si>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</si>
  <si>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</si>
  <si>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</si>
  <si>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</si>
  <si>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</si>
  <si>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</si>
  <si>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</si>
  <si>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</si>
  <si>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</si>
  <si>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</si>
  <si>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</si>
  <si>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</si>
  <si>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</si>
  <si>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</si>
  <si>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</si>
  <si>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</si>
  <si>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</si>
  <si>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</si>
  <si>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</si>
  <si>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</si>
  <si>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</si>
  <si>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</si>
  <si>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</si>
  <si>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</si>
  <si>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</si>
  <si>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</si>
  <si>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</si>
  <si>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</si>
  <si>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</si>
  <si>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</si>
  <si>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</si>
  <si>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</si>
  <si>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</si>
  <si>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</si>
  <si>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</si>
  <si>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</si>
  <si>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</si>
  <si>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</si>
  <si>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</si>
  <si>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</si>
  <si>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</si>
  <si>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</si>
  <si>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</si>
  <si>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</si>
  <si>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</si>
  <si>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</si>
  <si>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</si>
  <si>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</si>
  <si>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</si>
  <si>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</si>
  <si>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</si>
  <si>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</si>
  <si>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</si>
  <si>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</si>
  <si>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</si>
  <si>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</si>
  <si>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</si>
  <si>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</si>
  <si>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</si>
  <si>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</si>
  <si>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</si>
  <si>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</si>
  <si>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</si>
  <si>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</si>
  <si>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</si>
  <si>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</si>
  <si>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</si>
  <si>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</si>
  <si>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</si>
  <si>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</si>
  <si>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</si>
  <si>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</si>
  <si>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</si>
  <si>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</si>
  <si>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</si>
  <si>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</si>
  <si>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</si>
  <si>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</si>
  <si>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</si>
  <si>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</si>
  <si>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</si>
  <si>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</si>
  <si>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</si>
  <si>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</si>
  <si>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</si>
  <si>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</si>
  <si>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</si>
  <si>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</si>
  <si>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</si>
  <si>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</si>
  <si>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</si>
  <si>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</si>
  <si>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</si>
  <si>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</si>
  <si>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</si>
  <si>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</si>
  <si>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</si>
  <si>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</si>
  <si>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</si>
  <si>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</si>
  <si>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</si>
  <si>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</si>
  <si>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</si>
  <si>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</si>
  <si>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</si>
  <si>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</si>
  <si>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</si>
  <si>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</si>
  <si>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</si>
  <si>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</si>
  <si>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</si>
  <si>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</si>
  <si>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</si>
  <si>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</si>
  <si>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</si>
  <si>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</si>
  <si>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</si>
  <si>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</si>
  <si>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</si>
  <si>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</si>
  <si>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</si>
  <si>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</si>
  <si>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</si>
  <si>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</si>
  <si>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</si>
  <si>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</si>
  <si>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</si>
  <si>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</si>
  <si>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</si>
  <si>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</si>
  <si>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</si>
  <si>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</si>
  <si>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</si>
  <si>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</si>
  <si>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</si>
  <si>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</si>
  <si>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</si>
  <si>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</si>
  <si>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</si>
  <si>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</si>
  <si>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</si>
  <si>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</si>
  <si>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</si>
  <si>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</si>
  <si>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</si>
  <si>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</si>
  <si>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</si>
  <si>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</si>
  <si>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</si>
  <si>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</si>
  <si>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</si>
  <si>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</si>
  <si>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</si>
  <si>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</si>
  <si>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</si>
  <si>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</si>
  <si>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</si>
  <si>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</si>
  <si>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</si>
  <si>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</si>
  <si>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</si>
  <si>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</si>
  <si>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</si>
  <si>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</si>
  <si>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</si>
  <si>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</si>
  <si>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</si>
  <si>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</si>
  <si>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</si>
  <si>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</si>
  <si>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</si>
  <si>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</si>
  <si>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</si>
  <si>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</si>
  <si>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</si>
  <si>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</si>
  <si>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</si>
  <si>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</si>
  <si>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</si>
  <si>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</si>
  <si>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</si>
  <si>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</si>
  <si>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</si>
  <si>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</si>
  <si>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</si>
  <si>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</si>
  <si>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</si>
  <si>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</si>
  <si>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</si>
  <si>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</si>
  <si>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</si>
  <si>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</si>
  <si>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</si>
  <si>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</si>
  <si>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</si>
  <si>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</si>
  <si>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</si>
  <si>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</si>
  <si>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</si>
  <si>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</si>
  <si>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</si>
  <si>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</si>
  <si>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</si>
  <si>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</si>
  <si>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</si>
  <si>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</si>
  <si>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</si>
  <si>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</si>
  <si>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</si>
  <si>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</si>
  <si>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</si>
  <si>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</si>
  <si>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</si>
  <si>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</si>
  <si>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</si>
  <si>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</si>
  <si>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</si>
  <si>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</si>
  <si>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</si>
  <si>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</si>
  <si>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</si>
  <si>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</si>
  <si>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</si>
  <si>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</si>
  <si>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</si>
  <si>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</si>
  <si>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</si>
  <si>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</si>
  <si>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</si>
  <si>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</si>
  <si>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</si>
  <si>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</si>
  <si>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</si>
  <si>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</si>
  <si>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</si>
  <si>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</si>
  <si>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</si>
  <si>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</si>
  <si>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</si>
  <si>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</si>
  <si>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</si>
  <si>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</si>
  <si>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</si>
  <si>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</si>
  <si>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</si>
  <si>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</si>
  <si>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</si>
  <si>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</si>
  <si>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</si>
  <si>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</si>
  <si>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</si>
  <si>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</si>
  <si>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</si>
  <si>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</si>
  <si>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</si>
  <si>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</si>
  <si>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</si>
  <si>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</si>
  <si>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</si>
  <si>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</si>
  <si>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</si>
  <si>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</si>
  <si>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</si>
  <si>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</si>
  <si>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</si>
  <si>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</si>
  <si>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</si>
  <si>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</si>
  <si>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</si>
  <si>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</si>
  <si>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</si>
  <si>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</si>
  <si>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</si>
  <si>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</si>
  <si>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</si>
  <si>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</si>
  <si>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</si>
  <si>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</si>
  <si>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</si>
  <si>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</si>
  <si>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</si>
  <si>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</si>
  <si>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</si>
  <si>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</si>
  <si>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</si>
  <si>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</si>
  <si>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</si>
  <si>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</si>
  <si>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</si>
  <si>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</si>
  <si>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</si>
  <si>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</si>
  <si>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</si>
  <si>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</si>
  <si>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</si>
  <si>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</si>
  <si>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</si>
  <si>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</si>
  <si>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</si>
  <si>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</si>
  <si>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</si>
  <si>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</si>
  <si>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</si>
  <si>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</si>
  <si>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</si>
  <si>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</si>
  <si>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</si>
  <si>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</si>
  <si>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</si>
  <si>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</si>
  <si>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</si>
  <si>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</si>
  <si>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</si>
  <si>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</si>
  <si>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</si>
  <si>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</si>
  <si>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</si>
  <si>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</si>
  <si>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</si>
  <si>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</si>
  <si>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</si>
  <si>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</si>
  <si>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</si>
  <si>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</si>
  <si>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</si>
  <si>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</si>
  <si>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</si>
  <si>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</si>
  <si>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</si>
  <si>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</si>
  <si>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</si>
  <si>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</si>
  <si>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</si>
  <si>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</si>
  <si>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</si>
  <si>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</si>
  <si>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</si>
  <si>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</si>
  <si>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</si>
  <si>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</si>
  <si>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</si>
  <si>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</si>
  <si>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</si>
  <si>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</si>
  <si>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</si>
  <si>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</si>
  <si>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</si>
  <si>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</si>
  <si>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</si>
  <si>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</si>
  <si>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</si>
  <si>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</si>
  <si>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</si>
  <si>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</si>
  <si>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</si>
  <si>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</si>
  <si>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</si>
  <si>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</si>
  <si>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</si>
  <si>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</si>
  <si>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</si>
  <si>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</si>
  <si>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</si>
  <si>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</si>
  <si>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</si>
  <si>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</si>
  <si>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</si>
  <si>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</si>
  <si>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</si>
  <si>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</si>
  <si>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</si>
  <si>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</si>
  <si>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</si>
  <si>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</si>
  <si>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</si>
  <si>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</si>
  <si>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</si>
  <si>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</si>
  <si>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</si>
  <si>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</si>
  <si>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</si>
  <si>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</si>
  <si>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</si>
  <si>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</si>
  <si>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</si>
  <si>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</si>
  <si>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</si>
  <si>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</si>
  <si>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</si>
  <si>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</si>
  <si>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</si>
  <si>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</si>
  <si>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</si>
  <si>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</si>
  <si>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</si>
  <si>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</si>
  <si>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</si>
  <si>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</si>
  <si>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</si>
  <si>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</si>
  <si>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</si>
  <si>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</si>
  <si>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</si>
  <si>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</si>
  <si>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</si>
  <si>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</si>
  <si>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</si>
  <si>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</si>
  <si>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</si>
  <si>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</si>
  <si>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</si>
  <si>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</si>
  <si>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</si>
  <si>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</si>
  <si>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</si>
  <si>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</si>
  <si>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</si>
  <si>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</si>
  <si>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</si>
  <si>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</si>
  <si>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</si>
  <si>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</si>
  <si>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</si>
  <si>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</si>
  <si>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</si>
  <si>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</si>
  <si>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</si>
  <si>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</si>
  <si>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</si>
  <si>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</si>
  <si>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</si>
  <si>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</si>
  <si>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</si>
  <si>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</si>
  <si>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</si>
  <si>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</si>
  <si>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</si>
  <si>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</si>
  <si>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</si>
  <si>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</si>
  <si>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</si>
  <si>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</si>
  <si>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</si>
  <si>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</si>
  <si>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</si>
  <si>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</si>
  <si>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</si>
  <si>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</si>
  <si>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</si>
  <si>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</si>
  <si>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</si>
  <si>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</si>
  <si>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</si>
  <si>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</si>
  <si>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</si>
  <si>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</si>
  <si>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</si>
  <si>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</si>
  <si>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</si>
  <si>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</si>
  <si>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</si>
  <si>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</si>
  <si>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</si>
  <si>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</si>
  <si>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</si>
  <si>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</si>
  <si>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</si>
  <si>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</si>
  <si>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</si>
  <si>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</si>
  <si>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</si>
  <si>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</si>
  <si>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</si>
  <si>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</si>
  <si>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</si>
  <si>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</si>
  <si>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</si>
  <si>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</si>
  <si>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</si>
  <si>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</si>
  <si>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</si>
  <si>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</si>
  <si>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</si>
  <si>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</si>
  <si>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</si>
  <si>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</si>
  <si>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</si>
  <si>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</si>
  <si>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</si>
  <si>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</si>
  <si>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</si>
  <si>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</si>
  <si>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</si>
  <si>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</si>
  <si>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</si>
  <si>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</si>
  <si>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</si>
  <si>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</si>
  <si>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</si>
  <si>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</si>
  <si>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</si>
  <si>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</si>
  <si>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</si>
  <si>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</si>
  <si>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</si>
  <si>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</si>
  <si>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</si>
  <si>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</si>
  <si>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</si>
  <si>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</si>
  <si>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</si>
  <si>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</si>
  <si>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</si>
  <si>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</si>
  <si>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</si>
  <si>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</si>
  <si>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</si>
  <si>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</si>
  <si>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</si>
  <si>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</si>
  <si>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</si>
  <si>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</si>
  <si>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</si>
  <si>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</si>
  <si>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</si>
  <si>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</si>
  <si>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</si>
  <si>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</si>
  <si>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</si>
  <si>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</si>
  <si>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</si>
  <si>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</si>
  <si>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</si>
  <si>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</si>
  <si>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</si>
  <si>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</si>
  <si>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</si>
  <si>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</si>
  <si>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</si>
  <si>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</si>
  <si>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</si>
  <si>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</si>
  <si>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</si>
  <si>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</si>
  <si>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</si>
  <si>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</si>
  <si>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</si>
  <si>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</si>
  <si>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</si>
  <si>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</si>
  <si>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</si>
  <si>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</si>
  <si>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</si>
  <si>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</si>
  <si>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</si>
  <si>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</si>
  <si>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</si>
  <si>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</si>
  <si>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</si>
  <si>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</si>
  <si>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</si>
  <si>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</si>
  <si>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</si>
  <si>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</si>
  <si>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</si>
  <si>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</si>
  <si>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</si>
  <si>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</si>
  <si>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</si>
  <si>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</si>
  <si>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</si>
  <si>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</si>
  <si>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</si>
  <si>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</si>
  <si>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</si>
  <si>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</si>
  <si>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</si>
  <si>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</si>
  <si>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</si>
  <si>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</si>
  <si>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</si>
  <si>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</si>
  <si>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</si>
  <si>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</si>
  <si>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</si>
  <si>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</si>
  <si>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</si>
  <si>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</si>
  <si>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</si>
  <si>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</si>
  <si>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</si>
  <si>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</si>
  <si>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</si>
  <si>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</si>
  <si>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</si>
  <si>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</si>
  <si>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</si>
  <si>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</si>
  <si>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</si>
  <si>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</si>
  <si>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</si>
  <si>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</si>
  <si>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</si>
  <si>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</si>
  <si>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</si>
  <si>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</si>
  <si>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</si>
  <si>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</si>
  <si>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</si>
  <si>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</si>
  <si>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</si>
  <si>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</si>
  <si>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</si>
  <si>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</si>
  <si>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</si>
  <si>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</si>
  <si>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</si>
  <si>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</si>
  <si>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</si>
  <si>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</si>
  <si>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</si>
  <si>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</si>
  <si>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</si>
  <si>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</si>
  <si>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</si>
  <si>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</si>
  <si>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</si>
  <si>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</si>
  <si>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</si>
  <si>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</si>
  <si>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</si>
  <si>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</si>
  <si>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</si>
  <si>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</si>
  <si>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</si>
  <si>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</si>
  <si>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</si>
  <si>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</si>
  <si>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</si>
  <si>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</si>
  <si>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</si>
  <si>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</si>
  <si>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</si>
  <si>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</si>
  <si>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</si>
  <si>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</si>
  <si>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</si>
  <si>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</si>
  <si>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</si>
  <si>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</si>
  <si>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</si>
  <si>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</si>
  <si>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</si>
  <si>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</si>
  <si>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</si>
  <si>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</si>
  <si>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</si>
  <si>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</si>
  <si>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</si>
  <si>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</si>
  <si>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</si>
  <si>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</si>
  <si>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</si>
  <si>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</si>
  <si>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</si>
  <si>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</si>
  <si>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</si>
  <si>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</si>
  <si>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</si>
  <si>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</si>
  <si>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</si>
  <si>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</si>
  <si>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</si>
  <si>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</si>
  <si>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</si>
  <si>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</si>
  <si>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</si>
  <si>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</si>
  <si>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</si>
  <si>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</si>
  <si>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</si>
  <si>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</si>
  <si>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</si>
  <si>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</si>
  <si>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</si>
  <si>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</si>
  <si>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</si>
  <si>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</si>
  <si>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</si>
  <si>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</si>
  <si>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</si>
  <si>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</si>
  <si>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</si>
  <si>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</si>
  <si>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</si>
  <si>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</si>
  <si>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</si>
  <si>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</si>
  <si>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</si>
  <si>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</si>
  <si>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</si>
  <si>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</si>
  <si>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</si>
  <si>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</si>
  <si>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</si>
  <si>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</si>
  <si>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</si>
  <si>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</si>
  <si>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</si>
  <si>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</si>
  <si>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</si>
  <si>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</si>
  <si>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</si>
  <si>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</si>
  <si>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</si>
  <si>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</si>
  <si>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</si>
  <si>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</si>
  <si>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</si>
  <si>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</si>
  <si>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</si>
  <si>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</si>
  <si>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</si>
  <si>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</si>
  <si>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</si>
  <si>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</si>
  <si>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</si>
  <si>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</si>
  <si>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</si>
  <si>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</si>
  <si>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</si>
  <si>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</si>
  <si>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</si>
  <si>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</si>
  <si>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</si>
  <si>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</si>
  <si>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</si>
  <si>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</si>
  <si>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</si>
  <si>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</si>
  <si>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</si>
  <si>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</si>
  <si>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</si>
  <si>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</si>
  <si>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</si>
  <si>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</si>
  <si>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</si>
  <si>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</si>
  <si>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</si>
  <si>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</si>
  <si>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</si>
  <si>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</si>
  <si>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</si>
  <si>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</si>
  <si>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</si>
  <si>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</si>
  <si>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</si>
  <si>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</si>
  <si>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</si>
  <si>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</si>
  <si>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</si>
  <si>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</si>
  <si>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</si>
  <si>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</si>
  <si>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</si>
  <si>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</si>
  <si>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</si>
  <si>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</si>
  <si>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</si>
  <si>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</si>
  <si>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</si>
  <si>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</si>
  <si>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</si>
  <si>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</si>
  <si>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</si>
  <si>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</si>
  <si>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</si>
  <si>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</si>
  <si>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</si>
  <si>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</si>
  <si>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</si>
  <si>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</si>
  <si>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</si>
  <si>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</si>
  <si>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</si>
  <si>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</si>
  <si>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</si>
  <si>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</si>
  <si>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</si>
  <si>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</si>
  <si>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</si>
  <si>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</si>
  <si>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</si>
  <si>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</si>
  <si>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</si>
  <si>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</si>
  <si>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</si>
  <si>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</si>
  <si>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</si>
  <si>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</si>
  <si>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</si>
  <si>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</si>
  <si>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</si>
  <si>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</si>
  <si>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</si>
  <si>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</si>
  <si>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</si>
  <si>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</si>
  <si>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</si>
  <si>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</si>
  <si>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</si>
  <si>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</si>
  <si>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</si>
  <si>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</si>
  <si>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</si>
  <si>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</si>
  <si>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</si>
  <si>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</si>
  <si>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</si>
  <si>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</si>
  <si>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</si>
  <si>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</si>
  <si>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</si>
  <si>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</si>
  <si>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</si>
  <si>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</si>
  <si>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</si>
  <si>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</si>
  <si>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</si>
  <si>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</si>
  <si>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</si>
  <si>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</si>
  <si>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</si>
  <si>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</si>
  <si>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</si>
  <si>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</si>
  <si>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</si>
  <si>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</si>
  <si>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</si>
  <si>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</si>
  <si>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</si>
  <si>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</si>
  <si>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</si>
  <si>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</si>
  <si>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</si>
  <si>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</si>
  <si>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</si>
  <si>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</si>
  <si>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</si>
  <si>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</si>
  <si>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</si>
  <si>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</si>
  <si>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</si>
  <si>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</si>
  <si>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</si>
  <si>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</si>
  <si>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</si>
  <si>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</si>
  <si>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</si>
  <si>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</si>
  <si>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</si>
  <si>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</si>
  <si>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</si>
  <si>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</si>
  <si>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</si>
  <si>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</si>
  <si>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</si>
  <si>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</si>
  <si>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</si>
  <si>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</si>
  <si>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</si>
  <si>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</si>
  <si>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</si>
  <si>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</si>
  <si>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</si>
  <si>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</si>
  <si>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</si>
  <si>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</si>
  <si>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</si>
  <si>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</si>
  <si>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</si>
  <si>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</si>
  <si>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</si>
  <si>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</si>
  <si>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</si>
  <si>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</si>
  <si>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</si>
  <si>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</si>
  <si>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</si>
  <si>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</si>
  <si>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</si>
  <si>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</si>
  <si>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</si>
  <si>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</si>
  <si>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</si>
  <si>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</si>
  <si>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</si>
  <si>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</si>
  <si>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</si>
  <si>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</si>
  <si>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</si>
  <si>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</si>
  <si>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</si>
  <si>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</si>
  <si>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</si>
  <si>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</si>
  <si>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</si>
  <si>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</si>
  <si>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</si>
  <si>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</si>
  <si>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</si>
  <si>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</si>
  <si>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</si>
  <si>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</si>
  <si>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</si>
  <si>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</si>
  <si>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</si>
  <si>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</si>
  <si>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</si>
  <si>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</si>
  <si>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</si>
  <si>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</si>
  <si>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</si>
  <si>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</si>
  <si>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</si>
  <si>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</si>
  <si>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</si>
  <si>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</si>
  <si>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</si>
  <si>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</si>
  <si>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</si>
  <si>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</si>
  <si>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</si>
  <si>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</si>
  <si>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</si>
  <si>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</si>
  <si>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</si>
  <si>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</si>
  <si>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</si>
  <si>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</si>
  <si>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</si>
  <si>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</si>
  <si>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</si>
  <si>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</si>
  <si>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</si>
  <si>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</si>
  <si>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</si>
  <si>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</si>
  <si>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</si>
  <si>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</si>
  <si>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</si>
  <si>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</si>
  <si>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</si>
  <si>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</si>
  <si>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</si>
  <si>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</si>
  <si>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</si>
  <si>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</si>
  <si>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</si>
  <si>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</si>
  <si>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</si>
  <si>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</si>
  <si>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</si>
  <si>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</si>
  <si>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</si>
  <si>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</si>
  <si>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</si>
  <si>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</si>
  <si>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</si>
  <si>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</si>
  <si>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</si>
  <si>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</si>
  <si>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</si>
  <si>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</si>
  <si>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</si>
  <si>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</si>
  <si>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</si>
  <si>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</si>
  <si>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</si>
  <si>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</si>
  <si>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</si>
  <si>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</si>
  <si>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</si>
  <si>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</si>
  <si>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</si>
  <si>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</si>
  <si>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</si>
  <si>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</si>
  <si>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</si>
  <si>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</si>
  <si>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</si>
  <si>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</si>
  <si>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</si>
  <si>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</si>
  <si>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</si>
  <si>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</si>
  <si>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</si>
  <si>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</si>
  <si>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</si>
  <si>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</si>
  <si>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</si>
  <si>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</si>
  <si>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</si>
  <si>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</si>
  <si>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</si>
  <si>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</si>
  <si>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</si>
  <si>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</si>
  <si>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</si>
  <si>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</si>
  <si>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</si>
  <si>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</si>
  <si>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</si>
  <si>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</si>
  <si>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</si>
  <si>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</si>
  <si>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</si>
  <si>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</si>
  <si>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</si>
  <si>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</si>
  <si>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</si>
  <si>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</si>
  <si>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</si>
  <si>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</si>
  <si>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</si>
  <si>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</si>
  <si>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</si>
  <si>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</si>
  <si>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</si>
  <si>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</si>
  <si>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</si>
  <si>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</si>
  <si>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</si>
  <si>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</si>
  <si>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</si>
  <si>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</si>
  <si>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</si>
  <si>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</si>
  <si>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</si>
  <si>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</si>
  <si>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</si>
  <si>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</si>
  <si>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</si>
  <si>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</si>
  <si>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</si>
  <si>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</si>
  <si>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</si>
  <si>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</si>
  <si>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</si>
  <si>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</si>
  <si>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</si>
  <si>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</si>
  <si>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</si>
  <si>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</si>
  <si>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</si>
  <si>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</si>
  <si>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</si>
  <si>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</si>
  <si>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</si>
  <si>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</si>
  <si>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</si>
  <si>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</si>
  <si>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</si>
  <si>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</si>
  <si>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</si>
  <si>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</si>
  <si>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</si>
  <si>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</si>
  <si>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</si>
  <si>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</si>
  <si>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</si>
  <si>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</si>
  <si>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</si>
  <si>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</si>
  <si>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</si>
  <si>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</si>
  <si>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</si>
  <si>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</si>
  <si>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</si>
  <si>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</si>
  <si>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</si>
  <si>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</si>
  <si>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</si>
  <si>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</si>
  <si>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</si>
  <si>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</si>
  <si>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</si>
  <si>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</si>
  <si>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</si>
  <si>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</si>
  <si>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</si>
  <si>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</si>
  <si>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</si>
  <si>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</si>
  <si>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</si>
  <si>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</si>
  <si>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</si>
  <si>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</si>
  <si>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</si>
  <si>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</si>
  <si>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</si>
  <si>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</si>
  <si>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</si>
  <si>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</si>
  <si>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</si>
  <si>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</si>
  <si>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</si>
  <si>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</si>
  <si>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</si>
  <si>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</si>
  <si>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</si>
  <si>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</si>
  <si>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</si>
  <si>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</si>
  <si>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</si>
  <si>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</si>
  <si>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</si>
  <si>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</si>
  <si>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</si>
  <si>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</si>
  <si>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</si>
  <si>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</si>
  <si>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</si>
  <si>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</si>
  <si>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</si>
  <si>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</si>
  <si>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</si>
  <si>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</si>
  <si>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</si>
  <si>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</si>
  <si>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</si>
  <si>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</si>
  <si>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</si>
  <si>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</si>
  <si>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</si>
  <si>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</si>
  <si>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</si>
  <si>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</si>
  <si>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</si>
  <si>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</si>
  <si>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</si>
  <si>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</si>
  <si>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</si>
  <si>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</si>
  <si>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</si>
  <si>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</si>
  <si>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</si>
  <si>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</si>
  <si>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</si>
  <si>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</si>
  <si>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</si>
  <si>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</si>
  <si>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</si>
  <si>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</si>
  <si>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</si>
  <si>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</si>
  <si>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</si>
  <si>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</si>
  <si>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</si>
  <si>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</si>
  <si>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</si>
  <si>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</si>
  <si>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</si>
  <si>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</si>
  <si>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</si>
  <si>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</si>
  <si>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</si>
  <si>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</si>
  <si>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</si>
  <si>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</si>
  <si>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</si>
  <si>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</si>
  <si>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</si>
  <si>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</si>
  <si>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</si>
  <si>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</si>
  <si>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</si>
  <si>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</si>
  <si>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</si>
  <si>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</si>
  <si>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</si>
  <si>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</si>
  <si>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</si>
  <si>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</si>
  <si>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</si>
  <si>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</si>
  <si>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</si>
  <si>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</si>
  <si>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</si>
  <si>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</si>
  <si>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</si>
  <si>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</si>
  <si>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</si>
  <si>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</si>
  <si>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</si>
  <si>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</si>
  <si>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</si>
  <si>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</si>
  <si>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</si>
  <si>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</si>
  <si>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</si>
  <si>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</si>
  <si>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</si>
  <si>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</si>
  <si>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</si>
  <si>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</si>
  <si>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</si>
  <si>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</si>
  <si>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</si>
  <si>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</si>
  <si>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</si>
  <si>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</si>
  <si>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</si>
  <si>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</si>
  <si>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</si>
  <si>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</si>
  <si>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</si>
  <si>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</si>
  <si>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</si>
  <si>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</si>
  <si>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</si>
  <si>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</si>
  <si>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</si>
  <si>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</si>
  <si>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</si>
  <si>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</si>
  <si>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</si>
  <si>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</si>
  <si>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</si>
  <si>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</si>
  <si>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</si>
  <si>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</si>
  <si>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</si>
  <si>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BEUSSINK HICKAM &amp; KOCHEL PC</t>
  </si>
  <si>
    <t>SCOTT A HICKAM CPA</t>
  </si>
  <si>
    <t>139 W VIENNA ST - PO BOX 556</t>
  </si>
  <si>
    <t>ANNA</t>
  </si>
  <si>
    <t>IL</t>
  </si>
  <si>
    <t>618-833-2721</t>
  </si>
  <si>
    <t>618-833-7077</t>
  </si>
  <si>
    <t>shickam@frontier.com</t>
  </si>
  <si>
    <t>066-005023</t>
  </si>
  <si>
    <t>UNION</t>
  </si>
  <si>
    <t>301 S GREEN ST</t>
  </si>
  <si>
    <t>JULIE BULLARD</t>
  </si>
  <si>
    <t>jbullard@anna37.com</t>
  </si>
  <si>
    <t>618-833-6812</t>
  </si>
  <si>
    <t>618-833-3205</t>
  </si>
  <si>
    <t>2018 WORKING CASH BONDS</t>
  </si>
  <si>
    <t>ANNA DISTRICT 81</t>
  </si>
  <si>
    <t>TRI-COUNTY SPECIAL EDUCATION DISTRICT</t>
  </si>
  <si>
    <t>2020 LEASE PURCHASE</t>
  </si>
  <si>
    <t>LEASE/PURCHASE</t>
  </si>
  <si>
    <t>None</t>
  </si>
  <si>
    <r>
      <t>The accompanying Schedule of Expenditures of Federal Awards includes the federal grant activity of Anna CC School District #37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regulatory basis</t>
    </r>
    <r>
      <rPr>
        <sz val="9"/>
        <rFont val="Calibri"/>
        <family val="2"/>
        <scheme val="minor"/>
      </rPr>
      <t xml:space="preserve"> financial statements.</t>
    </r>
  </si>
  <si>
    <r>
      <t>Of the federal expenditures presented in the schedule, Anna CC School District #37</t>
    </r>
    <r>
      <rPr>
        <sz val="9"/>
        <rFont val="Calibri"/>
        <family val="2"/>
        <scheme val="minor"/>
      </rPr>
      <t xml:space="preserve"> provided federal awards to subrecipients as follows:</t>
    </r>
  </si>
  <si>
    <r>
      <t>The following amounts were expended in the form of non-cash assistance by Anna CC School District #37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</si>
  <si>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</si>
  <si>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N/A</t>
  </si>
  <si>
    <t>84.010A</t>
  </si>
  <si>
    <t>84.367A</t>
  </si>
  <si>
    <t>84.424A</t>
  </si>
  <si>
    <t>84.358B</t>
  </si>
  <si>
    <t>7/1/18-6/30/19</t>
  </si>
  <si>
    <t>7/1/19-6/30/20</t>
  </si>
  <si>
    <t>2019-4300-00</t>
  </si>
  <si>
    <t>2019-4331-19</t>
  </si>
  <si>
    <t>2019-4400-00</t>
  </si>
  <si>
    <t>2019-4107-00</t>
  </si>
  <si>
    <t>2020-4107-00</t>
  </si>
  <si>
    <t>2020-4300-00</t>
  </si>
  <si>
    <t>2020-4932-00</t>
  </si>
  <si>
    <t>2020-4400-00</t>
  </si>
  <si>
    <t>2019-4210-00</t>
  </si>
  <si>
    <t>2019-4220-00</t>
  </si>
  <si>
    <t>2020-4210-00</t>
  </si>
  <si>
    <t>2020-4220-00</t>
  </si>
  <si>
    <t>2020-4225-00</t>
  </si>
  <si>
    <t>84.173A</t>
  </si>
  <si>
    <t>2020-4600-00</t>
  </si>
  <si>
    <t>84.027A</t>
  </si>
  <si>
    <t>2020-4620-00</t>
  </si>
  <si>
    <t>2020-4625-XC</t>
  </si>
  <si>
    <t>PAGE 1 TOTALS</t>
  </si>
  <si>
    <t>TOTAL FEDERAL AWARDS</t>
  </si>
  <si>
    <t>US DEPARTMENT OF EDUCATION</t>
  </si>
  <si>
    <t>PASSED THROUGH THE ILLINOIS STATE BOARD OF EDUCATION</t>
  </si>
  <si>
    <t>US DEPARTMENT OF AGRICULTURE</t>
  </si>
  <si>
    <t>TOTAL US DEPARTMENT OF EDUCATION</t>
  </si>
  <si>
    <t>TOTAL US DEPARTMENT OF AGRICULTURE</t>
  </si>
  <si>
    <t>PASSED THROUGH THE ILLINOIS DEPT OF HEALTHCARE AND FAMILY SERVICES</t>
  </si>
  <si>
    <t>US DEPARTMENT OF HEALTH AND HUMAN SERVICES</t>
  </si>
  <si>
    <t>TOTAL US DEPARTMENT OF HEALTH AND HUMAN SERVICES</t>
  </si>
  <si>
    <t xml:space="preserve">  Title I Low Income (M)</t>
  </si>
  <si>
    <t xml:space="preserve">  Title I School Improvement &amp; Accountability (M)</t>
  </si>
  <si>
    <t xml:space="preserve">  Title II Teacher Quality</t>
  </si>
  <si>
    <t xml:space="preserve">  Title IVA Student Support &amp; Academic</t>
  </si>
  <si>
    <t xml:space="preserve">  Title V Rural Education Initiative</t>
  </si>
  <si>
    <t xml:space="preserve">  Fed Sp Ed PreSchool Flow Through</t>
  </si>
  <si>
    <t xml:space="preserve">  Fed Sp Ed IDEA Flow Through</t>
  </si>
  <si>
    <t xml:space="preserve">  Fed Sp Ed IDEA Room &amp; Board</t>
  </si>
  <si>
    <t xml:space="preserve">     Total Title I</t>
  </si>
  <si>
    <t xml:space="preserve">     Total Title IVA</t>
  </si>
  <si>
    <t xml:space="preserve">     Total Title V</t>
  </si>
  <si>
    <t xml:space="preserve">     Total Sp Ed</t>
  </si>
  <si>
    <t xml:space="preserve">     Total Title II</t>
  </si>
  <si>
    <t xml:space="preserve">  National School Lunch</t>
  </si>
  <si>
    <t xml:space="preserve">  National School Breakfast</t>
  </si>
  <si>
    <t xml:space="preserve">  Summer Food Program</t>
  </si>
  <si>
    <t xml:space="preserve">  Value of Commodities (non cash)</t>
  </si>
  <si>
    <t xml:space="preserve">  Medicaid Matching</t>
  </si>
  <si>
    <t>Title I Cluster</t>
  </si>
  <si>
    <t>na</t>
  </si>
  <si>
    <t>Fund 60, Account 3999: Maintenance Grant $50,000</t>
  </si>
  <si>
    <t>Anna CCSD 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</si>
</sst>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2000</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2048</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2048</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30091037004</v>
      </c>
      <c r="B13" s="2101"/>
      <c r="C13" s="2101"/>
      <c r="D13" s="2101"/>
      <c r="E13" s="2101"/>
      <c r="F13" s="2101"/>
      <c r="G13" s="2101"/>
      <c r="H13" s="2102"/>
      <c r="I13" s="31"/>
      <c r="J13" s="30"/>
      <c r="K13" s="28"/>
      <c r="L13" s="30"/>
      <c r="M13" s="30"/>
      <c r="N13" s="30"/>
      <c r="O13" s="30"/>
      <c r="P13" s="30"/>
      <c r="Q13" s="30"/>
      <c r="R13" s="30"/>
      <c r="S13" s="30"/>
      <c r="T13" s="2106" t="s">
        <v>2049</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2058</v>
      </c>
      <c r="B15" s="2104"/>
      <c r="C15" s="2104"/>
      <c r="D15" s="2104"/>
      <c r="E15" s="2104"/>
      <c r="F15" s="2104"/>
      <c r="G15" s="2104"/>
      <c r="H15" s="2105"/>
      <c r="T15" s="2110" t="s">
        <v>2050</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2130</v>
      </c>
      <c r="B17" s="2074"/>
      <c r="C17" s="2074"/>
      <c r="D17" s="2074"/>
      <c r="E17" s="2074"/>
      <c r="F17" s="2074"/>
      <c r="G17" s="2074"/>
      <c r="H17" s="2099"/>
      <c r="T17" s="2117" t="s">
        <v>2051</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2059</v>
      </c>
      <c r="B19" s="2059"/>
      <c r="C19" s="2059"/>
      <c r="D19" s="2059"/>
      <c r="E19" s="2059"/>
      <c r="F19" s="2059"/>
      <c r="G19" s="2059"/>
      <c r="H19" s="2039"/>
      <c r="I19" s="30"/>
      <c r="J19" s="96"/>
      <c r="K19" s="40"/>
      <c r="L19" s="38"/>
      <c r="M19" s="109" t="s">
        <v>312</v>
      </c>
      <c r="P19" s="27"/>
      <c r="Q19" s="27"/>
      <c r="R19" s="27"/>
      <c r="S19" s="31"/>
      <c r="T19" s="2103" t="s">
        <v>2052</v>
      </c>
      <c r="U19" s="2038"/>
      <c r="V19" s="2038"/>
      <c r="W19" s="2039"/>
      <c r="X19" s="2115" t="s">
        <v>2053</v>
      </c>
      <c r="Y19" s="2116"/>
      <c r="Z19" s="2113">
        <v>62906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2052</v>
      </c>
      <c r="B21" s="2038"/>
      <c r="C21" s="2038"/>
      <c r="D21" s="2038"/>
      <c r="E21" s="2038"/>
      <c r="F21" s="2038"/>
      <c r="G21" s="2038"/>
      <c r="H21" s="2039"/>
      <c r="I21" s="2093" t="s">
        <v>673</v>
      </c>
      <c r="J21" s="2088"/>
      <c r="K21" s="2088"/>
      <c r="L21" s="2088"/>
      <c r="M21" s="2088"/>
      <c r="N21" s="2088"/>
      <c r="O21" s="2088"/>
      <c r="P21" s="2088"/>
      <c r="Q21" s="2088"/>
      <c r="R21" s="2088"/>
      <c r="S21" s="2094"/>
      <c r="T21" s="2128" t="s">
        <v>2054</v>
      </c>
      <c r="U21" s="2129"/>
      <c r="V21" s="2129"/>
      <c r="W21" s="2129"/>
      <c r="X21" s="2134" t="s">
        <v>2055</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2057</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62906</v>
      </c>
      <c r="B25" s="2038"/>
      <c r="C25" s="2038"/>
      <c r="D25" s="2038"/>
      <c r="E25" s="2038"/>
      <c r="F25" s="2038"/>
      <c r="G25" s="2038"/>
      <c r="H25" s="2039"/>
      <c r="I25" s="110"/>
      <c r="J25" s="2062"/>
      <c r="K25" s="2062"/>
      <c r="L25" s="2062"/>
      <c r="M25" s="2062"/>
      <c r="N25" s="2062"/>
      <c r="O25" s="2062"/>
      <c r="P25" s="2062"/>
      <c r="Q25" s="2062"/>
      <c r="R25" s="2062"/>
      <c r="S25" s="2063"/>
      <c r="T25" s="2124" t="s">
        <v>2056</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144"/>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144"/>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2060</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2061</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2062</v>
      </c>
      <c r="B42" s="2057"/>
      <c r="C42" s="2058"/>
      <c r="D42" s="2056" t="s">
        <v>2063</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A5" sqref="A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1026311</v>
      </c>
      <c r="C4" s="1722">
        <v>0</v>
      </c>
      <c r="D4" s="1723">
        <f>B4-C4</f>
        <v>1026311</v>
      </c>
      <c r="E4" s="1722">
        <v>1067956</v>
      </c>
      <c r="F4" s="1723">
        <f>E4-C4</f>
        <v>1067956</v>
      </c>
    </row>
    <row r="5" spans="1:8" ht="13.7" customHeight="1" x14ac:dyDescent="0.2">
      <c r="A5" s="579" t="s">
        <v>865</v>
      </c>
      <c r="B5" s="1724">
        <f>'Revenues 9-14'!D5</f>
        <v>200132</v>
      </c>
      <c r="C5" s="1664">
        <v>0</v>
      </c>
      <c r="D5" s="1725">
        <f t="shared" ref="D5:D18" si="0">B5-C5</f>
        <v>200132</v>
      </c>
      <c r="E5" s="1664">
        <v>218843</v>
      </c>
      <c r="F5" s="1725">
        <f>E5-C5</f>
        <v>218843</v>
      </c>
    </row>
    <row r="6" spans="1:8" ht="13.7" customHeight="1" x14ac:dyDescent="0.2">
      <c r="A6" s="579" t="s">
        <v>408</v>
      </c>
      <c r="B6" s="1724">
        <f>'Revenues 9-14'!E5</f>
        <v>338885</v>
      </c>
      <c r="C6" s="1664">
        <v>0</v>
      </c>
      <c r="D6" s="1725">
        <f t="shared" si="0"/>
        <v>338885</v>
      </c>
      <c r="E6" s="1664">
        <v>343917</v>
      </c>
      <c r="F6" s="1725">
        <f t="shared" ref="F6:F18" si="1">E6-C6</f>
        <v>343917</v>
      </c>
    </row>
    <row r="7" spans="1:8" ht="13.7" customHeight="1" x14ac:dyDescent="0.2">
      <c r="A7" s="579" t="s">
        <v>154</v>
      </c>
      <c r="B7" s="1724">
        <f>'Revenues 9-14'!F5</f>
        <v>97633</v>
      </c>
      <c r="C7" s="1664">
        <v>0</v>
      </c>
      <c r="D7" s="1725">
        <f t="shared" si="0"/>
        <v>97633</v>
      </c>
      <c r="E7" s="1664">
        <v>98007</v>
      </c>
      <c r="F7" s="1725">
        <f t="shared" si="1"/>
        <v>98007</v>
      </c>
    </row>
    <row r="8" spans="1:8" ht="13.7" customHeight="1" x14ac:dyDescent="0.2">
      <c r="A8" s="579" t="s">
        <v>1169</v>
      </c>
      <c r="B8" s="1724">
        <f>'Revenues 9-14'!G5</f>
        <v>97633</v>
      </c>
      <c r="C8" s="1664">
        <v>0</v>
      </c>
      <c r="D8" s="1725">
        <f t="shared" si="0"/>
        <v>97633</v>
      </c>
      <c r="E8" s="1664">
        <v>106008</v>
      </c>
      <c r="F8" s="1725">
        <f t="shared" si="1"/>
        <v>106008</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41980</v>
      </c>
      <c r="C10" s="1664">
        <v>0</v>
      </c>
      <c r="D10" s="1725">
        <f t="shared" si="0"/>
        <v>41980</v>
      </c>
      <c r="E10" s="1664">
        <v>10006</v>
      </c>
      <c r="F10" s="1725">
        <f t="shared" si="1"/>
        <v>10006</v>
      </c>
    </row>
    <row r="11" spans="1:8" x14ac:dyDescent="0.2">
      <c r="A11" s="579" t="s">
        <v>406</v>
      </c>
      <c r="B11" s="1724">
        <f>'Revenues 9-14'!J5</f>
        <v>70790</v>
      </c>
      <c r="C11" s="1664">
        <v>0</v>
      </c>
      <c r="D11" s="1725">
        <f t="shared" si="0"/>
        <v>70790</v>
      </c>
      <c r="E11" s="1664">
        <v>90006</v>
      </c>
      <c r="F11" s="1725">
        <f t="shared" si="1"/>
        <v>90006</v>
      </c>
    </row>
    <row r="12" spans="1:8" ht="13.7" customHeight="1" x14ac:dyDescent="0.2">
      <c r="A12" s="579" t="s">
        <v>156</v>
      </c>
      <c r="B12" s="1724">
        <f>'Revenues 9-14'!K5</f>
        <v>41980</v>
      </c>
      <c r="C12" s="1664">
        <v>0</v>
      </c>
      <c r="D12" s="1725">
        <f t="shared" si="0"/>
        <v>41980</v>
      </c>
      <c r="E12" s="1664">
        <v>10006</v>
      </c>
      <c r="F12" s="1725">
        <f t="shared" si="1"/>
        <v>10006</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16599</v>
      </c>
      <c r="C14" s="1664">
        <v>0</v>
      </c>
      <c r="D14" s="1725">
        <f t="shared" si="0"/>
        <v>16599</v>
      </c>
      <c r="E14" s="1664">
        <v>17507</v>
      </c>
      <c r="F14" s="1725">
        <f t="shared" si="1"/>
        <v>17507</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87861</v>
      </c>
      <c r="C16" s="1664">
        <v>0</v>
      </c>
      <c r="D16" s="1725">
        <f t="shared" si="0"/>
        <v>87861</v>
      </c>
      <c r="E16" s="1664">
        <v>106008</v>
      </c>
      <c r="F16" s="1725">
        <f t="shared" si="1"/>
        <v>106008</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2019804</v>
      </c>
      <c r="C19" s="1726">
        <f>SUM(C4:C18)</f>
        <v>0</v>
      </c>
      <c r="D19" s="1726">
        <f>SUM(D4:D18)</f>
        <v>2019804</v>
      </c>
      <c r="E19" s="1726">
        <f>SUM(E4:E18)</f>
        <v>2068264</v>
      </c>
      <c r="F19" s="1726">
        <f>SUM(F4:F18)</f>
        <v>2068264</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1776</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v>0</v>
      </c>
      <c r="D4" s="1656">
        <v>0</v>
      </c>
      <c r="E4" s="1656">
        <v>0</v>
      </c>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v>0</v>
      </c>
      <c r="D6" s="1664">
        <v>0</v>
      </c>
      <c r="E6" s="1733">
        <v>0</v>
      </c>
      <c r="F6" s="1732">
        <f t="shared" ref="F6:F14" si="0">SUM(C6+D6)-E6</f>
        <v>0</v>
      </c>
    </row>
    <row r="7" spans="1:7" ht="12.75" customHeight="1" thickTop="1" thickBot="1" x14ac:dyDescent="0.25">
      <c r="A7" s="587" t="s">
        <v>6</v>
      </c>
      <c r="B7" s="588"/>
      <c r="C7" s="1733">
        <v>0</v>
      </c>
      <c r="D7" s="1664">
        <v>0</v>
      </c>
      <c r="E7" s="1733">
        <v>0</v>
      </c>
      <c r="F7" s="1732">
        <f t="shared" si="0"/>
        <v>0</v>
      </c>
    </row>
    <row r="8" spans="1:7" ht="12.75" customHeight="1" thickTop="1" thickBot="1" x14ac:dyDescent="0.25">
      <c r="A8" s="587" t="s">
        <v>505</v>
      </c>
      <c r="B8" s="588"/>
      <c r="C8" s="1733">
        <v>0</v>
      </c>
      <c r="D8" s="1664">
        <v>0</v>
      </c>
      <c r="E8" s="1733">
        <v>0</v>
      </c>
      <c r="F8" s="1732">
        <f t="shared" si="0"/>
        <v>0</v>
      </c>
    </row>
    <row r="9" spans="1:7" ht="12.75" customHeight="1" thickTop="1" thickBot="1" x14ac:dyDescent="0.25">
      <c r="A9" s="587" t="s">
        <v>506</v>
      </c>
      <c r="B9" s="588"/>
      <c r="C9" s="1733">
        <v>0</v>
      </c>
      <c r="D9" s="1664">
        <v>0</v>
      </c>
      <c r="E9" s="1733">
        <v>0</v>
      </c>
      <c r="F9" s="1732">
        <f t="shared" si="0"/>
        <v>0</v>
      </c>
    </row>
    <row r="10" spans="1:7" ht="12.75" customHeight="1" thickTop="1" thickBot="1" x14ac:dyDescent="0.25">
      <c r="A10" s="587" t="s">
        <v>507</v>
      </c>
      <c r="B10" s="588"/>
      <c r="C10" s="1733">
        <v>0</v>
      </c>
      <c r="D10" s="1664">
        <v>0</v>
      </c>
      <c r="E10" s="1733">
        <v>0</v>
      </c>
      <c r="F10" s="1732">
        <f t="shared" si="0"/>
        <v>0</v>
      </c>
    </row>
    <row r="11" spans="1:7" ht="12.75" customHeight="1" thickTop="1" thickBot="1" x14ac:dyDescent="0.25">
      <c r="A11" s="587" t="s">
        <v>338</v>
      </c>
      <c r="B11" s="588"/>
      <c r="C11" s="1733">
        <v>0</v>
      </c>
      <c r="D11" s="1664">
        <v>0</v>
      </c>
      <c r="E11" s="1733">
        <v>0</v>
      </c>
      <c r="F11" s="1732">
        <f t="shared" si="0"/>
        <v>0</v>
      </c>
    </row>
    <row r="12" spans="1:7" ht="12.75" customHeight="1" thickTop="1" thickBot="1" x14ac:dyDescent="0.25">
      <c r="A12" s="587" t="s">
        <v>1147</v>
      </c>
      <c r="B12" s="588"/>
      <c r="C12" s="1733">
        <v>0</v>
      </c>
      <c r="D12" s="1664">
        <v>0</v>
      </c>
      <c r="E12" s="1733">
        <v>0</v>
      </c>
      <c r="F12" s="1732">
        <f t="shared" si="0"/>
        <v>0</v>
      </c>
    </row>
    <row r="13" spans="1:7" ht="12.75" customHeight="1" thickTop="1" thickBot="1" x14ac:dyDescent="0.25">
      <c r="A13" s="587" t="s">
        <v>385</v>
      </c>
      <c r="B13" s="588"/>
      <c r="C13" s="1733">
        <v>0</v>
      </c>
      <c r="D13" s="1664">
        <v>0</v>
      </c>
      <c r="E13" s="1733">
        <v>0</v>
      </c>
      <c r="F13" s="1732">
        <f t="shared" si="0"/>
        <v>0</v>
      </c>
    </row>
    <row r="14" spans="1:7" ht="12.75" customHeight="1" thickTop="1" thickBot="1" x14ac:dyDescent="0.25">
      <c r="A14" s="587" t="s">
        <v>445</v>
      </c>
      <c r="B14" s="588"/>
      <c r="C14" s="1733">
        <v>0</v>
      </c>
      <c r="D14" s="1664">
        <v>0</v>
      </c>
      <c r="E14" s="1733">
        <v>0</v>
      </c>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v>0</v>
      </c>
      <c r="D17" s="1664">
        <v>0</v>
      </c>
      <c r="E17" s="1733">
        <v>0</v>
      </c>
      <c r="F17" s="1732">
        <f>SUM(C17+D17)-E17</f>
        <v>0</v>
      </c>
    </row>
    <row r="18" spans="1:11" ht="12.75" customHeight="1" thickTop="1" thickBot="1" x14ac:dyDescent="0.25">
      <c r="A18" s="2296" t="s">
        <v>6</v>
      </c>
      <c r="B18" s="2297"/>
      <c r="C18" s="1733">
        <v>0</v>
      </c>
      <c r="D18" s="1664">
        <v>0</v>
      </c>
      <c r="E18" s="1733">
        <v>0</v>
      </c>
      <c r="F18" s="1732">
        <f>SUM(C18+D18)-E18</f>
        <v>0</v>
      </c>
    </row>
    <row r="19" spans="1:11" ht="12.75" customHeight="1" thickTop="1" thickBot="1" x14ac:dyDescent="0.25">
      <c r="A19" s="2296" t="s">
        <v>385</v>
      </c>
      <c r="B19" s="2297"/>
      <c r="C19" s="1733">
        <v>0</v>
      </c>
      <c r="D19" s="1664">
        <v>0</v>
      </c>
      <c r="E19" s="1733">
        <v>0</v>
      </c>
      <c r="F19" s="1732">
        <f>SUM(C19+D19)-E19</f>
        <v>0</v>
      </c>
    </row>
    <row r="20" spans="1:11" ht="12.75" customHeight="1" thickTop="1" thickBot="1" x14ac:dyDescent="0.25">
      <c r="A20" s="2296" t="s">
        <v>445</v>
      </c>
      <c r="B20" s="2297"/>
      <c r="C20" s="1733">
        <v>0</v>
      </c>
      <c r="D20" s="1664">
        <v>0</v>
      </c>
      <c r="E20" s="1733">
        <v>0</v>
      </c>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v>0</v>
      </c>
      <c r="D23" s="1656">
        <v>0</v>
      </c>
      <c r="E23" s="1656">
        <v>0</v>
      </c>
      <c r="F23" s="1732">
        <f>SUM(C23+D23)-E23</f>
        <v>0</v>
      </c>
      <c r="G23" s="473"/>
    </row>
    <row r="24" spans="1:11" ht="15.75" customHeight="1" thickTop="1" x14ac:dyDescent="0.2">
      <c r="A24" s="2303" t="s">
        <v>2003</v>
      </c>
      <c r="B24" s="2304"/>
      <c r="C24" s="2298"/>
      <c r="D24" s="2299"/>
      <c r="E24" s="2299"/>
      <c r="F24" s="2300"/>
    </row>
    <row r="25" spans="1:11" ht="13.5" thickBot="1" x14ac:dyDescent="0.25">
      <c r="A25" s="2305" t="s">
        <v>2004</v>
      </c>
      <c r="B25" s="2306"/>
      <c r="C25" s="1656">
        <v>0</v>
      </c>
      <c r="D25" s="1656">
        <v>0</v>
      </c>
      <c r="E25" s="1656">
        <v>0</v>
      </c>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v>0</v>
      </c>
      <c r="D27" s="1664">
        <v>0</v>
      </c>
      <c r="E27" s="1664">
        <v>0</v>
      </c>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2064</v>
      </c>
      <c r="B31" s="595">
        <v>43167</v>
      </c>
      <c r="C31" s="1734">
        <v>740000</v>
      </c>
      <c r="D31" s="1735">
        <v>1</v>
      </c>
      <c r="E31" s="1734">
        <v>658600</v>
      </c>
      <c r="F31" s="1734"/>
      <c r="G31" s="1734"/>
      <c r="H31" s="1734">
        <v>323400</v>
      </c>
      <c r="I31" s="1736">
        <f>((E31+F31)-H31)+G31</f>
        <v>335200</v>
      </c>
      <c r="J31" s="1734">
        <f>335200-88979</f>
        <v>246221</v>
      </c>
      <c r="K31" s="596"/>
    </row>
    <row r="32" spans="1:11" ht="12" customHeight="1" x14ac:dyDescent="0.2">
      <c r="A32" s="594" t="s">
        <v>2067</v>
      </c>
      <c r="B32" s="595">
        <v>43705</v>
      </c>
      <c r="C32" s="1734">
        <v>98555</v>
      </c>
      <c r="D32" s="1735">
        <v>7</v>
      </c>
      <c r="E32" s="1734"/>
      <c r="F32" s="1734">
        <v>98555</v>
      </c>
      <c r="G32" s="1734"/>
      <c r="H32" s="1734">
        <v>32585</v>
      </c>
      <c r="I32" s="1736">
        <f>((E32+F32)-H32)+G32</f>
        <v>65970</v>
      </c>
      <c r="J32" s="1734">
        <v>65970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838555</v>
      </c>
      <c r="D49" s="1742"/>
      <c r="E49" s="1736">
        <f t="shared" ref="E49:J49" si="2">SUM(E31:E48)</f>
        <v>658600</v>
      </c>
      <c r="F49" s="1736">
        <f t="shared" si="2"/>
        <v>98555</v>
      </c>
      <c r="G49" s="1736">
        <f t="shared" si="2"/>
        <v>0</v>
      </c>
      <c r="H49" s="1736">
        <f t="shared" si="2"/>
        <v>355985</v>
      </c>
      <c r="I49" s="1736">
        <f t="shared" si="2"/>
        <v>401170</v>
      </c>
      <c r="J49" s="1736">
        <f t="shared" si="2"/>
        <v>312191</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2068</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A3" sqref="A3:E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1786</v>
      </c>
      <c r="K2" s="616" t="s">
        <v>137</v>
      </c>
    </row>
    <row r="3" spans="1:11" x14ac:dyDescent="0.2">
      <c r="A3" s="2341" t="str">
        <f>"Cash Basis Fund Balance as of July 1, "&amp;'AFR20'!E2-1</f>
        <v>Cash Basis Fund Balance as of July 1, 2019</v>
      </c>
      <c r="B3" s="2342"/>
      <c r="C3" s="2342"/>
      <c r="D3" s="2342"/>
      <c r="E3" s="2343"/>
      <c r="F3" s="617"/>
      <c r="G3" s="1744">
        <v>0</v>
      </c>
      <c r="H3" s="1744">
        <v>0</v>
      </c>
      <c r="I3" s="1744">
        <v>0</v>
      </c>
      <c r="J3" s="1745">
        <v>0</v>
      </c>
      <c r="K3" s="1745">
        <v>0</v>
      </c>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16599</v>
      </c>
      <c r="I5" s="1750">
        <v>0</v>
      </c>
      <c r="J5" s="1751"/>
      <c r="K5" s="1751"/>
    </row>
    <row r="6" spans="1:11" x14ac:dyDescent="0.2">
      <c r="A6" s="625" t="s">
        <v>715</v>
      </c>
      <c r="B6" s="626"/>
      <c r="C6" s="626"/>
      <c r="D6" s="626"/>
      <c r="E6" s="627"/>
      <c r="F6" s="628" t="s">
        <v>844</v>
      </c>
      <c r="G6" s="1744">
        <v>0</v>
      </c>
      <c r="H6" s="1744">
        <v>0</v>
      </c>
      <c r="I6" s="1744">
        <v>0</v>
      </c>
      <c r="J6" s="1745">
        <v>61</v>
      </c>
      <c r="K6" s="1745">
        <v>0</v>
      </c>
    </row>
    <row r="7" spans="1:11" x14ac:dyDescent="0.2">
      <c r="A7" s="629" t="s">
        <v>244</v>
      </c>
      <c r="B7" s="630"/>
      <c r="C7" s="630"/>
      <c r="D7" s="630"/>
      <c r="E7" s="631"/>
      <c r="F7" s="622" t="s">
        <v>845</v>
      </c>
      <c r="G7" s="1746"/>
      <c r="H7" s="1746"/>
      <c r="I7" s="1746"/>
      <c r="J7" s="1752"/>
      <c r="K7" s="1745">
        <v>0</v>
      </c>
    </row>
    <row r="8" spans="1:11" x14ac:dyDescent="0.2">
      <c r="A8" s="629" t="s">
        <v>342</v>
      </c>
      <c r="B8" s="630"/>
      <c r="C8" s="630"/>
      <c r="D8" s="630"/>
      <c r="E8" s="631"/>
      <c r="F8" s="622" t="s">
        <v>846</v>
      </c>
      <c r="G8" s="1753"/>
      <c r="H8" s="1753"/>
      <c r="I8" s="1753"/>
      <c r="J8" s="1745">
        <v>174978</v>
      </c>
      <c r="K8" s="1748"/>
    </row>
    <row r="9" spans="1:11" x14ac:dyDescent="0.2">
      <c r="A9" s="629" t="s">
        <v>137</v>
      </c>
      <c r="B9" s="630"/>
      <c r="C9" s="630"/>
      <c r="D9" s="630"/>
      <c r="E9" s="631"/>
      <c r="F9" s="628" t="s">
        <v>848</v>
      </c>
      <c r="G9" s="1753"/>
      <c r="H9" s="1749"/>
      <c r="I9" s="1749"/>
      <c r="J9" s="1752"/>
      <c r="K9" s="1745">
        <v>0</v>
      </c>
    </row>
    <row r="10" spans="1:11" x14ac:dyDescent="0.2">
      <c r="A10" s="2322" t="s">
        <v>1787</v>
      </c>
      <c r="B10" s="2323"/>
      <c r="C10" s="2323"/>
      <c r="D10" s="2323"/>
      <c r="E10" s="2325"/>
      <c r="F10" s="633" t="s">
        <v>857</v>
      </c>
      <c r="G10" s="1753"/>
      <c r="H10" s="1754">
        <v>0</v>
      </c>
      <c r="I10" s="1744">
        <v>0</v>
      </c>
      <c r="J10" s="1745">
        <v>0</v>
      </c>
      <c r="K10" s="1745">
        <v>0</v>
      </c>
    </row>
    <row r="11" spans="1:11" x14ac:dyDescent="0.2">
      <c r="A11" s="2322" t="s">
        <v>159</v>
      </c>
      <c r="B11" s="2323"/>
      <c r="C11" s="2323"/>
      <c r="D11" s="2323"/>
      <c r="E11" s="2324"/>
      <c r="F11" s="622" t="s">
        <v>847</v>
      </c>
      <c r="G11" s="1749"/>
      <c r="H11" s="1744">
        <v>0</v>
      </c>
      <c r="I11" s="1744">
        <v>0</v>
      </c>
      <c r="J11" s="1745">
        <v>0</v>
      </c>
      <c r="K11" s="1751"/>
    </row>
    <row r="12" spans="1:11" ht="13.5" thickBot="1" x14ac:dyDescent="0.25">
      <c r="A12" s="2349" t="s">
        <v>899</v>
      </c>
      <c r="B12" s="2350"/>
      <c r="C12" s="2350"/>
      <c r="D12" s="2350"/>
      <c r="E12" s="2351"/>
      <c r="F12" s="1433"/>
      <c r="G12" s="1755">
        <f>SUM(G5:G11)</f>
        <v>0</v>
      </c>
      <c r="H12" s="1755">
        <f>SUM(H5:H11)</f>
        <v>16599</v>
      </c>
      <c r="I12" s="1755">
        <f>SUM(I5:I11)</f>
        <v>0</v>
      </c>
      <c r="J12" s="1755">
        <f>SUM(J5:J11)</f>
        <v>175039</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16599</v>
      </c>
      <c r="I14" s="1749"/>
      <c r="J14" s="1751"/>
      <c r="K14" s="1745">
        <v>0</v>
      </c>
    </row>
    <row r="15" spans="1:11" x14ac:dyDescent="0.2">
      <c r="A15" s="2323" t="s">
        <v>4</v>
      </c>
      <c r="B15" s="2323"/>
      <c r="C15" s="2323"/>
      <c r="D15" s="2323"/>
      <c r="E15" s="2324"/>
      <c r="F15" s="635" t="s">
        <v>850</v>
      </c>
      <c r="G15" s="1749"/>
      <c r="H15" s="1744">
        <v>0</v>
      </c>
      <c r="I15" s="1744">
        <v>0</v>
      </c>
      <c r="J15" s="1745">
        <v>65347</v>
      </c>
      <c r="K15" s="1745">
        <v>0</v>
      </c>
    </row>
    <row r="16" spans="1:11" x14ac:dyDescent="0.2">
      <c r="A16" s="2323" t="s">
        <v>295</v>
      </c>
      <c r="B16" s="2323"/>
      <c r="C16" s="2323"/>
      <c r="D16" s="2323"/>
      <c r="E16" s="2324"/>
      <c r="F16" s="635" t="s">
        <v>917</v>
      </c>
      <c r="G16" s="1750">
        <v>0</v>
      </c>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v>0</v>
      </c>
      <c r="K18" s="1763"/>
    </row>
    <row r="19" spans="1:15" ht="21.75" customHeight="1" x14ac:dyDescent="0.2">
      <c r="A19" s="2331" t="s">
        <v>1783</v>
      </c>
      <c r="B19" s="2331"/>
      <c r="C19" s="2331"/>
      <c r="D19" s="2331"/>
      <c r="E19" s="2332"/>
      <c r="F19" s="635" t="s">
        <v>927</v>
      </c>
      <c r="G19" s="1753"/>
      <c r="H19" s="1753"/>
      <c r="I19" s="1753"/>
      <c r="J19" s="1745">
        <v>0</v>
      </c>
      <c r="K19" s="1763"/>
    </row>
    <row r="20" spans="1:15" x14ac:dyDescent="0.2">
      <c r="A20" s="2333" t="s">
        <v>1788</v>
      </c>
      <c r="B20" s="2334"/>
      <c r="C20" s="2334"/>
      <c r="D20" s="2334"/>
      <c r="E20" s="2335"/>
      <c r="F20" s="635" t="s">
        <v>928</v>
      </c>
      <c r="G20" s="1753"/>
      <c r="H20" s="1753"/>
      <c r="I20" s="1753"/>
      <c r="J20" s="1745">
        <v>0</v>
      </c>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1789</v>
      </c>
      <c r="B22" s="2323"/>
      <c r="C22" s="2323"/>
      <c r="D22" s="2323"/>
      <c r="E22" s="2324"/>
      <c r="F22" s="635" t="s">
        <v>857</v>
      </c>
      <c r="G22" s="1753"/>
      <c r="H22" s="1744">
        <v>0</v>
      </c>
      <c r="I22" s="1744">
        <v>0</v>
      </c>
      <c r="J22" s="1766">
        <v>0</v>
      </c>
      <c r="K22" s="1745">
        <v>0</v>
      </c>
    </row>
    <row r="23" spans="1:15" ht="13.5" thickBot="1" x14ac:dyDescent="0.25">
      <c r="A23" s="2353" t="s">
        <v>900</v>
      </c>
      <c r="B23" s="2352"/>
      <c r="C23" s="2352"/>
      <c r="D23" s="2352"/>
      <c r="E23" s="2352"/>
      <c r="F23" s="1436"/>
      <c r="G23" s="1755">
        <f>SUM(G14:G16,G21,G22)</f>
        <v>0</v>
      </c>
      <c r="H23" s="1755">
        <f>SUM(H14:H16,H21,H22)</f>
        <v>16599</v>
      </c>
      <c r="I23" s="1755">
        <f>SUM(I14:I16,I21,I22)</f>
        <v>0</v>
      </c>
      <c r="J23" s="1755">
        <f>SUM(J14:J16,J21,J22)</f>
        <v>65347</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109692</v>
      </c>
      <c r="K24" s="1767">
        <f>SUM(K3,K12)-K23</f>
        <v>0</v>
      </c>
      <c r="L24" s="1846"/>
      <c r="M24" s="1846"/>
      <c r="N24" s="1846"/>
      <c r="O24" s="1846"/>
    </row>
    <row r="25" spans="1:15" ht="13.5" thickTop="1" x14ac:dyDescent="0.2">
      <c r="A25" s="639" t="s">
        <v>417</v>
      </c>
      <c r="B25" s="640"/>
      <c r="C25" s="640"/>
      <c r="D25" s="640"/>
      <c r="E25" s="641"/>
      <c r="F25" s="642">
        <v>714</v>
      </c>
      <c r="G25" s="1768">
        <v>0</v>
      </c>
      <c r="H25" s="1768">
        <v>0</v>
      </c>
      <c r="I25" s="1768">
        <v>0</v>
      </c>
      <c r="J25" s="1766">
        <v>109692</v>
      </c>
      <c r="K25" s="1766">
        <v>0</v>
      </c>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J1" sqref="J1:L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1872</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299522</v>
      </c>
      <c r="D5" s="1770">
        <v>0</v>
      </c>
      <c r="E5" s="1770">
        <v>0</v>
      </c>
      <c r="F5" s="1765">
        <f>(C5+D5)-E5</f>
        <v>299522</v>
      </c>
      <c r="G5" s="676"/>
      <c r="H5" s="680"/>
      <c r="I5" s="680"/>
      <c r="J5" s="680"/>
      <c r="K5" s="637"/>
      <c r="L5" s="1442">
        <f>F5-K5</f>
        <v>299522</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6440978</v>
      </c>
      <c r="D8" s="1771">
        <v>0</v>
      </c>
      <c r="E8" s="1771">
        <v>0</v>
      </c>
      <c r="F8" s="1765">
        <f>(C8+D8)-E8</f>
        <v>6440978</v>
      </c>
      <c r="G8" s="681">
        <v>50</v>
      </c>
      <c r="H8" s="619">
        <v>1954021</v>
      </c>
      <c r="I8" s="619">
        <v>128820</v>
      </c>
      <c r="J8" s="619">
        <v>0</v>
      </c>
      <c r="K8" s="1442">
        <f>(H8+I8)-J8</f>
        <v>2082841</v>
      </c>
      <c r="L8" s="1442">
        <f>F8-K8</f>
        <v>4358137</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182220</v>
      </c>
      <c r="D10" s="1772">
        <v>0</v>
      </c>
      <c r="E10" s="1772">
        <v>0</v>
      </c>
      <c r="F10" s="1773">
        <f>(C10+D10)-E10</f>
        <v>182220</v>
      </c>
      <c r="G10" s="681">
        <v>20</v>
      </c>
      <c r="H10" s="683">
        <v>142591</v>
      </c>
      <c r="I10" s="683">
        <v>3888</v>
      </c>
      <c r="J10" s="683">
        <v>0</v>
      </c>
      <c r="K10" s="1442">
        <f>(H10+I10)-J10</f>
        <v>146479</v>
      </c>
      <c r="L10" s="1442">
        <f>F10-K10</f>
        <v>35741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1559069</v>
      </c>
      <c r="D12" s="1771">
        <v>65887</v>
      </c>
      <c r="E12" s="1771">
        <f>1256945+29024</f>
        <v>1285969</v>
      </c>
      <c r="F12" s="1765">
        <f>(C12+D12)-E12</f>
        <v>338987</v>
      </c>
      <c r="G12" s="681">
        <v>10</v>
      </c>
      <c r="H12" s="619">
        <v>1411135</v>
      </c>
      <c r="I12" s="619">
        <v>29349</v>
      </c>
      <c r="J12" s="619">
        <v>1285969</v>
      </c>
      <c r="K12" s="1442">
        <f>(H12+I12)-J12</f>
        <v>154515</v>
      </c>
      <c r="L12" s="1442">
        <f>F12-K12</f>
        <v>184472</v>
      </c>
    </row>
    <row r="13" spans="1:14" ht="14.25" thickTop="1" thickBot="1" x14ac:dyDescent="0.25">
      <c r="A13" s="684" t="s">
        <v>1112</v>
      </c>
      <c r="B13" s="679">
        <v>252</v>
      </c>
      <c r="C13" s="1771">
        <v>757332</v>
      </c>
      <c r="D13" s="1771">
        <v>98555</v>
      </c>
      <c r="E13" s="1771">
        <v>336822</v>
      </c>
      <c r="F13" s="1765">
        <f>(C13+D13)-E13</f>
        <v>519065</v>
      </c>
      <c r="G13" s="681">
        <v>5</v>
      </c>
      <c r="H13" s="619">
        <v>692612</v>
      </c>
      <c r="I13" s="619">
        <v>35891</v>
      </c>
      <c r="J13" s="619">
        <v>336822</v>
      </c>
      <c r="K13" s="1442">
        <f>(H13+I13)-J13</f>
        <v>391681</v>
      </c>
      <c r="L13" s="1442">
        <f>F13-K13</f>
        <v>127384</v>
      </c>
    </row>
    <row r="14" spans="1:14" ht="14.25" thickTop="1" thickBot="1" x14ac:dyDescent="0.25">
      <c r="A14" s="684" t="s">
        <v>1113</v>
      </c>
      <c r="B14" s="679">
        <v>253</v>
      </c>
      <c r="C14" s="1745">
        <v>225928</v>
      </c>
      <c r="D14" s="1745">
        <v>31062</v>
      </c>
      <c r="E14" s="1745">
        <v>4321</v>
      </c>
      <c r="F14" s="1765">
        <f>(C14+D14)-E14</f>
        <v>252669</v>
      </c>
      <c r="G14" s="681">
        <v>3</v>
      </c>
      <c r="H14" s="619">
        <v>205626</v>
      </c>
      <c r="I14" s="619">
        <v>27409</v>
      </c>
      <c r="J14" s="619">
        <v>4321</v>
      </c>
      <c r="K14" s="1442">
        <f>(H14+I14)-J14</f>
        <v>228714</v>
      </c>
      <c r="L14" s="1442">
        <f>F14-K14</f>
        <v>23955</v>
      </c>
    </row>
    <row r="15" spans="1:14" ht="15" customHeight="1" thickTop="1" thickBot="1" x14ac:dyDescent="0.25">
      <c r="A15" s="1366" t="s">
        <v>525</v>
      </c>
      <c r="B15" s="1365">
        <v>260</v>
      </c>
      <c r="C15" s="1771">
        <v>0</v>
      </c>
      <c r="D15" s="1771">
        <v>0</v>
      </c>
      <c r="E15" s="1771">
        <v>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9465049</v>
      </c>
      <c r="D16" s="1765">
        <f>SUM(D3,D5:D6,D8:D10,D12:D15)</f>
        <v>195504</v>
      </c>
      <c r="E16" s="1765">
        <f>SUM(E3,E5:E6,E8:E10,E12:E15)</f>
        <v>1627112</v>
      </c>
      <c r="F16" s="1765">
        <f>SUM(F3,F5:F6,F8:F10,F12:F15)</f>
        <v>8033441</v>
      </c>
      <c r="G16" s="681"/>
      <c r="H16" s="1435">
        <f>SUM(H3,H6,H8:H10,H12:H14,)</f>
        <v>4405985</v>
      </c>
      <c r="I16" s="1435">
        <f>SUM(I3,I6,I8:I10,I12:I14,)</f>
        <v>225357</v>
      </c>
      <c r="J16" s="1435">
        <f>SUM(J3,J6,J8:J10,J12:J14,)</f>
        <v>1627112</v>
      </c>
      <c r="K16" s="1435">
        <f>(H16+I16)-J16</f>
        <v>3004230</v>
      </c>
      <c r="L16" s="1435">
        <f>F16-K16</f>
        <v>5029211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225357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1"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5808290</v>
      </c>
      <c r="G8" s="701"/>
    </row>
    <row r="9" spans="1:9" x14ac:dyDescent="0.2">
      <c r="A9" s="705" t="s">
        <v>457</v>
      </c>
      <c r="B9" s="706" t="s">
        <v>1845</v>
      </c>
      <c r="C9" s="707"/>
      <c r="D9" s="705" t="s">
        <v>498</v>
      </c>
      <c r="E9" s="704"/>
      <c r="F9" s="1775">
        <f>'Expenditures 15-22'!K151</f>
        <v>165388</v>
      </c>
      <c r="G9" s="708"/>
    </row>
    <row r="10" spans="1:9" x14ac:dyDescent="0.2">
      <c r="A10" s="705" t="s">
        <v>496</v>
      </c>
      <c r="B10" s="706" t="s">
        <v>1846</v>
      </c>
      <c r="C10" s="707"/>
      <c r="D10" s="705" t="s">
        <v>498</v>
      </c>
      <c r="E10" s="704"/>
      <c r="F10" s="1775">
        <f>'Expenditures 15-22'!K174</f>
        <v>372554</v>
      </c>
      <c r="G10" s="708"/>
    </row>
    <row r="11" spans="1:9" x14ac:dyDescent="0.2">
      <c r="A11" s="705" t="s">
        <v>458</v>
      </c>
      <c r="B11" s="706" t="s">
        <v>1847</v>
      </c>
      <c r="C11" s="707"/>
      <c r="D11" s="705" t="s">
        <v>498</v>
      </c>
      <c r="E11" s="704"/>
      <c r="F11" s="1775">
        <f>'Expenditures 15-22'!K210</f>
        <v>225602</v>
      </c>
      <c r="G11" s="708"/>
    </row>
    <row r="12" spans="1:9" x14ac:dyDescent="0.2">
      <c r="A12" s="705" t="s">
        <v>459</v>
      </c>
      <c r="B12" s="706" t="s">
        <v>1848</v>
      </c>
      <c r="C12" s="707"/>
      <c r="D12" s="705" t="s">
        <v>498</v>
      </c>
      <c r="E12" s="704"/>
      <c r="F12" s="1775">
        <f>'Expenditures 15-22'!K295</f>
        <v>222274</v>
      </c>
      <c r="G12" s="708"/>
    </row>
    <row r="13" spans="1:9" x14ac:dyDescent="0.2">
      <c r="A13" s="705" t="s">
        <v>106</v>
      </c>
      <c r="B13" s="706" t="s">
        <v>1849</v>
      </c>
      <c r="C13" s="707"/>
      <c r="D13" s="705" t="s">
        <v>498</v>
      </c>
      <c r="E13" s="704"/>
      <c r="F13" s="1775">
        <f>'Expenditures 15-22'!K342</f>
        <v>91032</v>
      </c>
      <c r="G13" s="709"/>
    </row>
    <row r="14" spans="1:9" ht="12" customHeight="1" thickBot="1" x14ac:dyDescent="0.25">
      <c r="A14" s="1443"/>
      <c r="B14" s="1444"/>
      <c r="C14" s="1445"/>
      <c r="D14" s="1446" t="s">
        <v>498</v>
      </c>
      <c r="E14" s="1447" t="s">
        <v>952</v>
      </c>
      <c r="F14" s="1776">
        <f>SUM(F8:F13)</f>
        <v>6885140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169937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433093</v>
      </c>
      <c r="G53" s="701"/>
    </row>
    <row r="54" spans="1:7" x14ac:dyDescent="0.2">
      <c r="A54" s="705" t="s">
        <v>456</v>
      </c>
      <c r="B54" s="705" t="s">
        <v>1459</v>
      </c>
      <c r="C54" s="724" t="s">
        <v>975</v>
      </c>
      <c r="D54" s="720" t="s">
        <v>1086</v>
      </c>
      <c r="E54" s="704"/>
      <c r="F54" s="1782">
        <f>'Expenditures 15-22'!G114</f>
        <v>72685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24263</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355985</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98555</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1154518</v>
      </c>
      <c r="G77" s="701"/>
    </row>
    <row r="78" spans="1:9" s="728" customFormat="1" ht="12" customHeight="1" thickTop="1" thickBot="1" x14ac:dyDescent="0.25">
      <c r="A78" s="1450"/>
      <c r="B78" s="1448"/>
      <c r="C78" s="1445"/>
      <c r="D78" s="1449" t="s">
        <v>2009</v>
      </c>
      <c r="E78" s="1447"/>
      <c r="F78" s="1788">
        <f>(F14-F77)</f>
        <v>5730622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637.5</v>
      </c>
      <c r="G79" s="733"/>
      <c r="H79" s="705"/>
      <c r="I79" s="705"/>
    </row>
    <row r="80" spans="1:9" s="728" customFormat="1" ht="12" customHeight="1" thickBot="1" x14ac:dyDescent="0.25">
      <c r="A80" s="1452"/>
      <c r="B80" s="1448"/>
      <c r="C80" s="1445"/>
      <c r="D80" s="1449" t="s">
        <v>2010</v>
      </c>
      <c r="E80" s="1447" t="s">
        <v>952</v>
      </c>
      <c r="F80" s="1790">
        <f>IF(F79&gt;0,F78/F79," Complete Line 79")</f>
        <v>8989.2109803921576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53771</v>
      </c>
      <c r="G95" s="745"/>
    </row>
    <row r="96" spans="1:7" x14ac:dyDescent="0.2">
      <c r="A96" s="741" t="s">
        <v>139</v>
      </c>
      <c r="B96" s="741" t="s">
        <v>174</v>
      </c>
      <c r="C96" s="743">
        <v>1700</v>
      </c>
      <c r="D96" s="751" t="str">
        <f>'Revenues 9-14'!A82</f>
        <v>Total District/School Activity Income</v>
      </c>
      <c r="E96" s="739"/>
      <c r="F96" s="1793">
        <f>SUM('Revenues 9-14'!C82,'Revenues 9-14'!D82)</f>
        <v>12328</v>
      </c>
      <c r="G96" s="745"/>
    </row>
    <row r="97" spans="1:7" x14ac:dyDescent="0.2">
      <c r="A97" s="741" t="s">
        <v>456</v>
      </c>
      <c r="B97" s="741" t="s">
        <v>175</v>
      </c>
      <c r="C97" s="743">
        <f>'Revenues 9-14'!B84</f>
        <v>1811</v>
      </c>
      <c r="D97" s="744" t="str">
        <f>'Revenues 9-14'!A84</f>
        <v>Rentals - Regular Textbooks</v>
      </c>
      <c r="E97" s="739"/>
      <c r="F97" s="1793">
        <f>'Revenues 9-14'!C84</f>
        <v>8215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23203</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3026</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106739</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12981</v>
      </c>
      <c r="G125" s="763"/>
    </row>
    <row r="126" spans="1:7" x14ac:dyDescent="0.2">
      <c r="A126" s="760" t="s">
        <v>659</v>
      </c>
      <c r="B126" s="760" t="s">
        <v>1927</v>
      </c>
      <c r="C126" s="765">
        <v>4200</v>
      </c>
      <c r="D126" s="762" t="str">
        <f>'Revenues 9-14'!A198</f>
        <v>Total Food Service</v>
      </c>
      <c r="E126" s="739"/>
      <c r="F126" s="1793">
        <f>SUM('Revenues 9-14'!C198,'Revenues 9-14'!G198)</f>
        <v>272186</v>
      </c>
      <c r="G126" s="763"/>
    </row>
    <row r="127" spans="1:7" x14ac:dyDescent="0.2">
      <c r="A127" s="760" t="s">
        <v>663</v>
      </c>
      <c r="B127" s="760" t="s">
        <v>1928</v>
      </c>
      <c r="C127" s="765">
        <v>4300</v>
      </c>
      <c r="D127" s="766" t="str">
        <f>'Revenues 9-14'!A204</f>
        <v>Total Title I</v>
      </c>
      <c r="E127" s="739"/>
      <c r="F127" s="1793">
        <f>SUM('Revenues 9-14'!C204,'Revenues 9-14'!D204,'Revenues 9-14'!F204,'Revenues 9-14'!G204)</f>
        <v>418208</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11581</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138179</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5460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1873</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11640</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57513</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229274</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1366177</v>
      </c>
    </row>
    <row r="176" spans="1:7" ht="12" customHeight="1" x14ac:dyDescent="0.2">
      <c r="A176" s="1443"/>
      <c r="B176" s="1453"/>
      <c r="C176" s="1454"/>
      <c r="D176" s="1455" t="s">
        <v>2011</v>
      </c>
      <c r="E176" s="1456"/>
      <c r="F176" s="1793">
        <f>'PCTC-OEPP 27-28'!F78-F175</f>
        <v>4364445</v>
      </c>
    </row>
    <row r="177" spans="1:9" ht="12" customHeight="1" x14ac:dyDescent="0.2">
      <c r="A177" s="1443"/>
      <c r="B177" s="1453"/>
      <c r="C177" s="1454"/>
      <c r="D177" s="1455" t="s">
        <v>1791</v>
      </c>
      <c r="E177" s="1456"/>
      <c r="F177" s="1793">
        <f>'Cap Outlay Deprec 26'!I18</f>
        <v>225357</v>
      </c>
    </row>
    <row r="178" spans="1:9" ht="12" customHeight="1" x14ac:dyDescent="0.2">
      <c r="A178" s="1443"/>
      <c r="B178" s="1453"/>
      <c r="C178" s="1454"/>
      <c r="D178" s="1455" t="s">
        <v>2012</v>
      </c>
      <c r="E178" s="1456"/>
      <c r="F178" s="1793">
        <f>F176+F177</f>
        <v>4589802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637.5</v>
      </c>
      <c r="G179" s="763"/>
      <c r="I179" s="701"/>
    </row>
    <row r="180" spans="1:9" ht="12" customHeight="1" thickBot="1" x14ac:dyDescent="0.25">
      <c r="A180" s="1443"/>
      <c r="B180" s="1457"/>
      <c r="C180" s="1454"/>
      <c r="D180" s="1455" t="s">
        <v>2014</v>
      </c>
      <c r="E180" s="1456" t="s">
        <v>1528</v>
      </c>
      <c r="F180" s="1798">
        <f>F178/F179</f>
        <v>7199.6894117647062</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21" sqref="A2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7" t="s">
        <v>1792</v>
      </c>
      <c r="B4" s="2378"/>
      <c r="C4" s="2378"/>
      <c r="D4" s="2378"/>
      <c r="E4" s="2378"/>
      <c r="F4" s="2379"/>
    </row>
    <row r="5" spans="1:6" x14ac:dyDescent="0.25">
      <c r="A5" s="2380"/>
      <c r="B5" s="2381"/>
      <c r="C5" s="2381"/>
      <c r="D5" s="2381"/>
      <c r="E5" s="2381"/>
      <c r="F5" s="2382"/>
    </row>
    <row r="6" spans="1:6" ht="18.75" x14ac:dyDescent="0.25">
      <c r="A6" s="1867" t="s">
        <v>1793</v>
      </c>
      <c r="B6" s="1868"/>
      <c r="C6" s="1869"/>
      <c r="D6" s="1869"/>
      <c r="E6" s="1869"/>
      <c r="F6" s="1870"/>
    </row>
    <row r="7" spans="1:6" ht="47.25" customHeight="1" x14ac:dyDescent="0.25">
      <c r="A7" s="2383" t="s">
        <v>1982</v>
      </c>
      <c r="B7" s="2384"/>
      <c r="C7" s="2384"/>
      <c r="D7" s="2384"/>
      <c r="E7" s="2384"/>
      <c r="F7" s="2385"/>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6" t="s">
        <v>1978</v>
      </c>
      <c r="B10" s="2387"/>
      <c r="C10" s="2387"/>
      <c r="D10" s="2387"/>
      <c r="E10" s="2387"/>
      <c r="F10" s="2388"/>
    </row>
    <row r="11" spans="1:6" ht="33" customHeight="1" x14ac:dyDescent="0.25">
      <c r="A11" s="2383" t="s">
        <v>1983</v>
      </c>
      <c r="B11" s="2384"/>
      <c r="C11" s="2384"/>
      <c r="D11" s="2384"/>
      <c r="E11" s="2384"/>
      <c r="F11" s="2385"/>
    </row>
    <row r="12" spans="1:6" ht="15" customHeight="1" x14ac:dyDescent="0.25">
      <c r="A12" s="1873" t="s">
        <v>1979</v>
      </c>
      <c r="B12" s="1874"/>
      <c r="C12" s="1875"/>
      <c r="D12" s="1875"/>
      <c r="E12" s="1875"/>
      <c r="F12" s="1876"/>
    </row>
    <row r="13" spans="1:6" ht="17.25" customHeight="1" x14ac:dyDescent="0.25">
      <c r="A13" s="2383" t="s">
        <v>1980</v>
      </c>
      <c r="B13" s="2384"/>
      <c r="C13" s="2384"/>
      <c r="D13" s="2384"/>
      <c r="E13" s="2384"/>
      <c r="F13" s="2385"/>
    </row>
    <row r="14" spans="1:6" ht="15" customHeight="1" x14ac:dyDescent="0.25">
      <c r="A14" s="1873" t="s">
        <v>1797</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2069</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sqref="A1:G4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1891</v>
      </c>
      <c r="B10" s="803"/>
      <c r="C10" s="807"/>
      <c r="D10" s="804"/>
      <c r="E10" s="1800">
        <v>163176</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23747</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3940464</v>
      </c>
      <c r="F19" s="1802"/>
      <c r="G19" s="1804">
        <f>'Expenditures 15-22'!K33-SUM('Expenditures 15-22'!G33,'Expenditures 15-22'!I33)+'Expenditures 15-22'!D229</f>
        <v>3940464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274972</v>
      </c>
      <c r="F21" s="1805"/>
      <c r="G21" s="1808">
        <f>'Expenditures 15-22'!K42-SUM('Expenditures 15-22'!G42,'Expenditures 15-22'!I42)+'Expenditures 15-22'!K120-SUM('Expenditures 15-22'!G120,'Expenditures 15-22'!I120)+'Expenditures 15-22'!K180-SUM('Expenditures 15-22'!G180,'Expenditures 15-22'!I180)+'Expenditures 15-22'!D238</f>
        <v>274972</v>
      </c>
      <c r="H21" s="817"/>
      <c r="I21" s="157"/>
    </row>
    <row r="22" spans="1:9" s="542" customFormat="1" ht="12" customHeight="1" x14ac:dyDescent="0.2">
      <c r="A22" s="824" t="s">
        <v>560</v>
      </c>
      <c r="B22" s="825"/>
      <c r="C22" s="823">
        <v>2200</v>
      </c>
      <c r="D22" s="1805"/>
      <c r="E22" s="1807">
        <f>'Expenditures 15-22'!K47-SUM('Expenditures 15-22'!G47,'Expenditures 15-22'!I47)+'Expenditures 15-22'!D243</f>
        <v>29678</v>
      </c>
      <c r="F22" s="1805"/>
      <c r="G22" s="1808">
        <f>'Expenditures 15-22'!K47-SUM('Expenditures 15-22'!G47,'Expenditures 15-22'!I47)+'Expenditures 15-22'!D243</f>
        <v>29678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269318</v>
      </c>
      <c r="F23" s="1805"/>
      <c r="G23" s="1807">
        <f>'Expenditures 15-22'!K53-SUM('Expenditures 15-22'!G53,'Expenditures 15-22'!I53)+'Expenditures 15-22'!D257+'Expenditures 15-22'!K330-SUM('Expenditures 15-22'!G330,'Expenditures 15-22'!I330)</f>
        <v>269318</v>
      </c>
      <c r="H23" s="817"/>
      <c r="I23" s="157"/>
    </row>
    <row r="24" spans="1:9" s="542" customFormat="1" ht="12" customHeight="1" x14ac:dyDescent="0.2">
      <c r="A24" s="824" t="s">
        <v>562</v>
      </c>
      <c r="B24" s="825"/>
      <c r="C24" s="823">
        <v>2400</v>
      </c>
      <c r="D24" s="1805"/>
      <c r="E24" s="1807">
        <f>'Expenditures 15-22'!K57-SUM('Expenditures 15-22'!G57,'Expenditures 15-22'!I57)+'Expenditures 15-22'!D261</f>
        <v>297455</v>
      </c>
      <c r="F24" s="1805"/>
      <c r="G24" s="1808">
        <f>'Expenditures 15-22'!K57-SUM('Expenditures 15-22'!G57,'Expenditures 15-22'!I57)+'Expenditures 15-22'!D261</f>
        <v>297455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28903</v>
      </c>
      <c r="E26" s="1807">
        <f>'Expenditures 15-22'!K122-SUM('Expenditures 15-22'!G122,'Expenditures 15-22'!I122)+E7</f>
        <v>0</v>
      </c>
      <c r="F26" s="1807">
        <f>'Expenditures 15-22'!K59-SUM('Expenditures 15-22'!G59,'Expenditures 15-22'!I59)+'Expenditures 15-22'!D263-E7</f>
        <v>28903</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146564</v>
      </c>
      <c r="E27" s="1807">
        <f>E8</f>
        <v>0</v>
      </c>
      <c r="F27" s="1807">
        <f>'Expenditures 15-22'!K60-SUM('Expenditures 15-22'!G60,'Expenditures 15-22'!I60)+'Expenditures 15-22'!D264-E8</f>
        <v>146564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427330</v>
      </c>
      <c r="F28" s="1809">
        <f>'Expenditures 15-22'!K61-SUM('Expenditures 15-22'!G61,'Expenditures 15-22'!I61)+'Expenditures 15-22'!K124-SUM('Expenditures 15-22'!G124,'Expenditures 15-22'!I124)+'Expenditures 15-22'!D266-E9</f>
        <v>427330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139954</v>
      </c>
      <c r="F29" s="1805"/>
      <c r="G29" s="1808">
        <f>'Expenditures 15-22'!K62-SUM('Expenditures 15-22'!G62,'Expenditures 15-22'!I62)+'Expenditures 15-22'!K125-SUM('Expenditures 15-22'!G125,'Expenditures 15-22'!I125)+'Expenditures 15-22'!K182-SUM('Expenditures 15-22'!G182,'Expenditures 15-22'!I182)+'Expenditures 15-22'!D267</f>
        <v>139954</v>
      </c>
      <c r="H29" s="815"/>
    </row>
    <row r="30" spans="1:9" ht="12" customHeight="1" x14ac:dyDescent="0.2">
      <c r="A30" s="824" t="s">
        <v>100</v>
      </c>
      <c r="B30" s="827"/>
      <c r="C30" s="823">
        <v>2560</v>
      </c>
      <c r="D30" s="1805"/>
      <c r="E30" s="1807">
        <f>'Expenditures 15-22'!K63-SUM('Expenditures 15-22'!G63,'Expenditures 15-22'!I63)+'Expenditures 15-22'!D268-E10</f>
        <v>165813</v>
      </c>
      <c r="F30" s="1805"/>
      <c r="G30" s="1807">
        <f>'Expenditures 15-22'!K63-SUM('Expenditures 15-22'!G63,'Expenditures 15-22'!I63)+'Expenditures 15-22'!D268-E10</f>
        <v>165813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175467</v>
      </c>
      <c r="E41" s="1809">
        <f>SUM(E19:E40)</f>
        <v>5544984</v>
      </c>
      <c r="F41" s="1809">
        <f>SUM(F19:F39)</f>
        <v>602797</v>
      </c>
      <c r="G41" s="1809">
        <f>SUM(G19:G40)</f>
        <v>5117654</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175467</v>
      </c>
      <c r="F43" s="1458" t="s">
        <v>470</v>
      </c>
      <c r="G43" s="1810">
        <f>F41</f>
        <v>602797</v>
      </c>
    </row>
    <row r="44" spans="1:7" ht="12" customHeight="1" x14ac:dyDescent="0.2">
      <c r="A44" s="817"/>
      <c r="B44" s="157"/>
      <c r="C44" s="831"/>
      <c r="D44" s="1458" t="s">
        <v>471</v>
      </c>
      <c r="E44" s="1810">
        <f>E41</f>
        <v>5544984</v>
      </c>
      <c r="F44" s="1458" t="s">
        <v>471</v>
      </c>
      <c r="G44" s="1810">
        <f>G41</f>
        <v>5117654</v>
      </c>
    </row>
    <row r="45" spans="1:7" ht="12" customHeight="1" x14ac:dyDescent="0.2">
      <c r="A45" s="817"/>
      <c r="B45" s="157"/>
      <c r="C45" s="157"/>
      <c r="D45" s="1459" t="s">
        <v>999</v>
      </c>
      <c r="E45" s="1811">
        <f>(E43/E44)</f>
        <v>3.1644275258503905E-2</v>
      </c>
      <c r="F45" s="1459" t="s">
        <v>999</v>
      </c>
      <c r="G45" s="1811">
        <f>(G43/G44)</f>
        <v>0.11778775978211892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Anna CCSD 37</v>
      </c>
      <c r="D6" s="2415"/>
      <c r="E6" s="2415"/>
      <c r="F6" s="1482"/>
      <c r="G6" s="1507"/>
      <c r="L6" s="1507"/>
      <c r="M6" s="1855"/>
      <c r="N6" s="1855"/>
      <c r="O6" s="1855"/>
    </row>
    <row r="7" spans="1:15" ht="11.25" customHeight="1" thickBot="1" x14ac:dyDescent="0.3">
      <c r="A7" s="1480"/>
      <c r="B7" s="1481"/>
      <c r="C7" s="2416">
        <f>COVER!A13</f>
        <v>30091037004</v>
      </c>
      <c r="D7" s="2416"/>
      <c r="E7" s="2416"/>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t="s">
        <v>2048</v>
      </c>
      <c r="F26" s="1497" t="s">
        <v>2066</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2048</v>
      </c>
      <c r="D30" s="1495" t="s">
        <v>2048</v>
      </c>
      <c r="E30" s="1498" t="s">
        <v>2048</v>
      </c>
      <c r="F30" s="1497" t="s">
        <v>2065</v>
      </c>
      <c r="G30" s="1507"/>
      <c r="H30" s="1507">
        <f t="shared" si="0"/>
        <v>5</v>
      </c>
      <c r="I30" s="1507">
        <f t="shared" si="1"/>
        <v>5</v>
      </c>
      <c r="J30" s="1507">
        <f t="shared" si="2"/>
        <v>5</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9" sqref="I19"/>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Anna CCSD 37</v>
      </c>
      <c r="K6" s="2437"/>
      <c r="L6" s="2451"/>
      <c r="M6" s="838"/>
      <c r="N6" s="1999"/>
    </row>
    <row r="7" spans="1:14" x14ac:dyDescent="0.2">
      <c r="A7" s="2452" t="s">
        <v>864</v>
      </c>
      <c r="B7" s="2453"/>
      <c r="C7" s="2453"/>
      <c r="D7" s="2453"/>
      <c r="E7" s="2454"/>
      <c r="F7" s="839"/>
      <c r="G7" s="838"/>
      <c r="H7" s="838"/>
      <c r="I7" s="1925" t="s">
        <v>369</v>
      </c>
      <c r="J7" s="2439">
        <f>COVER!A13</f>
        <v>30091037004</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129507</v>
      </c>
      <c r="F12" s="1943"/>
      <c r="G12" s="1969">
        <f>G68</f>
        <v>1016</v>
      </c>
      <c r="H12" s="1945">
        <f t="shared" ref="H12:H18" si="0">SUM(E12:G12)</f>
        <v>130523</v>
      </c>
      <c r="I12" s="1944">
        <v>128940</v>
      </c>
      <c r="J12" s="1943"/>
      <c r="K12" s="1944">
        <v>1100</v>
      </c>
      <c r="L12" s="1945">
        <f t="shared" ref="L12:L18" si="1">SUM(I12:K12)</f>
        <v>130040</v>
      </c>
      <c r="M12" s="838"/>
      <c r="N12" s="1999"/>
    </row>
    <row r="13" spans="1:14" x14ac:dyDescent="0.2">
      <c r="A13" s="2004">
        <v>2</v>
      </c>
      <c r="B13" s="1941" t="s">
        <v>42</v>
      </c>
      <c r="C13" s="842"/>
      <c r="D13" s="1942">
        <v>2330</v>
      </c>
      <c r="E13" s="1945">
        <f>'Expenditures 15-22'!K51</f>
        <v>0</v>
      </c>
      <c r="F13" s="1943"/>
      <c r="G13" s="1969">
        <f>H68</f>
        <v>0</v>
      </c>
      <c r="H13" s="1945">
        <f t="shared" si="0"/>
        <v>0</v>
      </c>
      <c r="I13" s="1944">
        <v>0</v>
      </c>
      <c r="J13" s="1943"/>
      <c r="K13" s="1944">
        <v>0</v>
      </c>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v>0</v>
      </c>
      <c r="J14" s="1943"/>
      <c r="K14" s="1944">
        <v>0</v>
      </c>
      <c r="L14" s="1945">
        <f t="shared" si="1"/>
        <v>0</v>
      </c>
      <c r="M14" s="838"/>
      <c r="N14" s="1999"/>
    </row>
    <row r="15" spans="1:14" x14ac:dyDescent="0.2">
      <c r="A15" s="2004">
        <v>4</v>
      </c>
      <c r="B15" s="1941" t="s">
        <v>1059</v>
      </c>
      <c r="C15" s="842"/>
      <c r="D15" s="1942">
        <v>2510</v>
      </c>
      <c r="E15" s="1945">
        <f>'Expenditures 15-22'!K59</f>
        <v>28903</v>
      </c>
      <c r="F15" s="1945">
        <f>'Expenditures 15-22'!K122</f>
        <v>0</v>
      </c>
      <c r="G15" s="1969">
        <f>J68</f>
        <v>0</v>
      </c>
      <c r="H15" s="1945">
        <f t="shared" si="0"/>
        <v>28903</v>
      </c>
      <c r="I15" s="1944">
        <v>35650</v>
      </c>
      <c r="J15" s="1944">
        <v>0</v>
      </c>
      <c r="K15" s="1944">
        <v>0</v>
      </c>
      <c r="L15" s="1945">
        <f t="shared" si="1"/>
        <v>35650</v>
      </c>
      <c r="M15" s="838"/>
      <c r="N15" s="1999"/>
    </row>
    <row r="16" spans="1:14" x14ac:dyDescent="0.2">
      <c r="A16" s="2004">
        <v>5</v>
      </c>
      <c r="B16" s="1941" t="s">
        <v>101</v>
      </c>
      <c r="C16" s="842"/>
      <c r="D16" s="1942">
        <v>2570</v>
      </c>
      <c r="E16" s="1945">
        <f>'Expenditures 15-22'!K64</f>
        <v>0</v>
      </c>
      <c r="F16" s="1943"/>
      <c r="G16" s="1969">
        <f>K68</f>
        <v>0</v>
      </c>
      <c r="H16" s="1945">
        <f t="shared" si="0"/>
        <v>0</v>
      </c>
      <c r="I16" s="1944">
        <v>0</v>
      </c>
      <c r="J16" s="1943"/>
      <c r="K16" s="1944">
        <v>0</v>
      </c>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v>0</v>
      </c>
      <c r="J17" s="1943"/>
      <c r="K17" s="1944">
        <v>0</v>
      </c>
      <c r="L17" s="1945">
        <f t="shared" si="1"/>
        <v>0</v>
      </c>
      <c r="M17" s="838"/>
      <c r="N17" s="1999"/>
    </row>
    <row r="18" spans="1:14" ht="26.25" customHeight="1" x14ac:dyDescent="0.2">
      <c r="A18" s="2005">
        <v>7</v>
      </c>
      <c r="B18" s="2458" t="s">
        <v>7</v>
      </c>
      <c r="C18" s="2459"/>
      <c r="D18" s="2460"/>
      <c r="E18" s="1947">
        <v>14350</v>
      </c>
      <c r="F18" s="1947">
        <v>0</v>
      </c>
      <c r="G18" s="1944">
        <v>0</v>
      </c>
      <c r="H18" s="1948">
        <f t="shared" si="0"/>
        <v>14350</v>
      </c>
      <c r="I18" s="1944">
        <v>14780</v>
      </c>
      <c r="J18" s="1944">
        <v>0</v>
      </c>
      <c r="K18" s="1944">
        <v>0</v>
      </c>
      <c r="L18" s="1945">
        <f t="shared" si="1"/>
        <v>14780</v>
      </c>
      <c r="M18" s="838"/>
      <c r="N18" s="1999"/>
    </row>
    <row r="19" spans="1:14" ht="13.5" thickBot="1" x14ac:dyDescent="0.25">
      <c r="A19" s="2004">
        <v>8</v>
      </c>
      <c r="B19" s="1949" t="s">
        <v>1151</v>
      </c>
      <c r="C19" s="838"/>
      <c r="D19" s="1950"/>
      <c r="E19" s="1951">
        <f t="shared" ref="E19:L19" si="2">SUM(E12:E17)-E18</f>
        <v>144060</v>
      </c>
      <c r="F19" s="1951">
        <f t="shared" si="2"/>
        <v>0</v>
      </c>
      <c r="G19" s="1951">
        <f t="shared" ref="G19" si="3">SUM(G12:G17)-G18</f>
        <v>1016</v>
      </c>
      <c r="H19" s="1951">
        <f t="shared" si="2"/>
        <v>145076</v>
      </c>
      <c r="I19" s="1951">
        <f t="shared" si="2"/>
        <v>149810</v>
      </c>
      <c r="J19" s="1951">
        <f t="shared" si="2"/>
        <v>0</v>
      </c>
      <c r="K19" s="1951">
        <f t="shared" si="2"/>
        <v>1100</v>
      </c>
      <c r="L19" s="1951">
        <f t="shared" si="2"/>
        <v>150910</v>
      </c>
      <c r="M19" s="838"/>
      <c r="N19" s="1999"/>
    </row>
    <row r="20" spans="1:14" ht="13.5" thickTop="1" x14ac:dyDescent="0.2">
      <c r="A20" s="2004">
        <v>9</v>
      </c>
      <c r="B20" s="2461" t="s">
        <v>2018</v>
      </c>
      <c r="C20" s="2461"/>
      <c r="D20" s="2462"/>
      <c r="E20" s="1952"/>
      <c r="F20" s="1952"/>
      <c r="G20" s="1952"/>
      <c r="H20" s="1952"/>
      <c r="I20" s="1952"/>
      <c r="J20" s="1952"/>
      <c r="K20" s="1952"/>
      <c r="L20" s="1953">
        <f>IF(AND(H19&gt;0,L19&gt;0),(((L19-H19)/H19)),"Enter Budget Data")</f>
        <v>4.0213405387521023E-2</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2021</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2022</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2023</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2024</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34" t="s">
        <v>2026</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Anna CCSD 37</v>
      </c>
      <c r="M52" s="2437"/>
      <c r="N52" s="2438"/>
    </row>
    <row r="53" spans="1:14" x14ac:dyDescent="0.2">
      <c r="A53" s="1983"/>
      <c r="B53" s="1984"/>
      <c r="C53" s="1984"/>
      <c r="D53" s="1984"/>
      <c r="E53" s="1984"/>
      <c r="F53" s="1984"/>
      <c r="G53" s="1984"/>
      <c r="H53" s="1984"/>
      <c r="I53" s="1984"/>
      <c r="J53" s="1984"/>
      <c r="K53" s="1925" t="s">
        <v>369</v>
      </c>
      <c r="L53" s="2439">
        <f>J7</f>
        <v>30091037004</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2027</v>
      </c>
      <c r="H55" s="2443"/>
      <c r="I55" s="2443"/>
      <c r="J55" s="2443"/>
      <c r="K55" s="2443"/>
      <c r="L55" s="2443"/>
      <c r="M55" s="2443"/>
      <c r="N55" s="2444"/>
    </row>
    <row r="56" spans="1:14" ht="63.75" x14ac:dyDescent="0.2">
      <c r="A56" s="2445" t="s">
        <v>2028</v>
      </c>
      <c r="B56" s="2446"/>
      <c r="C56" s="2447"/>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2038</v>
      </c>
      <c r="B58" s="2426"/>
      <c r="C58" s="2426"/>
      <c r="D58" s="1968">
        <v>2362</v>
      </c>
      <c r="E58" s="1978">
        <f>'Expenditures 15-22'!K320</f>
        <v>36549</v>
      </c>
      <c r="F58" s="1973"/>
      <c r="G58" s="2032">
        <v>1016</v>
      </c>
      <c r="H58" s="2033">
        <v>0</v>
      </c>
      <c r="I58" s="2033">
        <v>0</v>
      </c>
      <c r="J58" s="2033">
        <v>0</v>
      </c>
      <c r="K58" s="2033">
        <v>0</v>
      </c>
      <c r="L58" s="2033">
        <v>0</v>
      </c>
      <c r="M58" s="2033">
        <v>35533</v>
      </c>
      <c r="N58" s="1976">
        <f>IF((SUM(G58:M58))=E58,SUM(G58:M58),"Column N does not agree with Column E")</f>
        <v>36549</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54483</v>
      </c>
      <c r="F60" s="1973"/>
      <c r="G60" s="2032">
        <v>0</v>
      </c>
      <c r="H60" s="2033">
        <v>0</v>
      </c>
      <c r="I60" s="2033">
        <v>0</v>
      </c>
      <c r="J60" s="2033">
        <v>0</v>
      </c>
      <c r="K60" s="2033">
        <v>0</v>
      </c>
      <c r="L60" s="2033">
        <v>0</v>
      </c>
      <c r="M60" s="2033">
        <v>54483</v>
      </c>
      <c r="N60" s="1976">
        <f t="shared" ref="N60:N67" si="4">IF((SUM(G60:M60))=E60,SUM(G60:M60),"Column N does not agree with Column E")</f>
        <v>54483</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0</v>
      </c>
      <c r="F65" s="1973"/>
      <c r="G65" s="2032"/>
      <c r="H65" s="2033"/>
      <c r="I65" s="2033"/>
      <c r="J65" s="2033"/>
      <c r="K65" s="2033"/>
      <c r="L65" s="2033"/>
      <c r="M65" s="2033"/>
      <c r="N65" s="1976">
        <f t="shared" si="4"/>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2039</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91032</v>
      </c>
      <c r="F68" s="1974"/>
      <c r="G68" s="1975">
        <f t="shared" ref="G68:N68" si="5">SUM(G57:G67)</f>
        <v>1016</v>
      </c>
      <c r="H68" s="1975">
        <f t="shared" si="5"/>
        <v>0</v>
      </c>
      <c r="I68" s="1975">
        <f t="shared" si="5"/>
        <v>0</v>
      </c>
      <c r="J68" s="1975">
        <f t="shared" si="5"/>
        <v>0</v>
      </c>
      <c r="K68" s="1975">
        <f t="shared" si="5"/>
        <v>0</v>
      </c>
      <c r="L68" s="1975">
        <f t="shared" si="5"/>
        <v>0</v>
      </c>
      <c r="M68" s="1975">
        <f t="shared" si="5"/>
        <v>90016</v>
      </c>
      <c r="N68" s="1989">
        <f t="shared" si="5"/>
        <v>91032</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6" sqref="B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2129</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Anna CCSD 37</v>
      </c>
    </row>
    <row r="65" spans="2:2" x14ac:dyDescent="0.2">
      <c r="B65" s="849">
        <f>COVER!A13</f>
        <v>30091037004</v>
      </c>
    </row>
  </sheetData>
  <phoneticPr fontId="16" type="noConversion"/>
  <pageMargins left="0.2" right="0.2" top="1.17" bottom="0.75" header="0.19" footer="0.16"/>
  <pageSetup scale="79"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93"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4" sqref="B2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1969</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5787610</v>
      </c>
      <c r="C8" s="1813">
        <f>'Acct Summary 7-8'!D8</f>
        <v>200390</v>
      </c>
      <c r="D8" s="1813">
        <f>'Acct Summary 7-8'!F8</f>
        <v>205639</v>
      </c>
      <c r="E8" s="1813">
        <f>'Acct Summary 7-8'!I8</f>
        <v>60281</v>
      </c>
      <c r="F8" s="1813">
        <f>SUM(B8:E8)</f>
        <v>6253920</v>
      </c>
    </row>
    <row r="9" spans="1:8" s="858" customFormat="1" ht="14.25" customHeight="1" thickBot="1" x14ac:dyDescent="0.25">
      <c r="A9" s="857" t="s">
        <v>1353</v>
      </c>
      <c r="B9" s="1814">
        <f>'Acct Summary 7-8'!C17</f>
        <v>5808290</v>
      </c>
      <c r="C9" s="1814">
        <f>'Acct Summary 7-8'!D17</f>
        <v>165388</v>
      </c>
      <c r="D9" s="1814">
        <f>'Acct Summary 7-8'!F17</f>
        <v>225602</v>
      </c>
      <c r="E9" s="1813"/>
      <c r="F9" s="1813">
        <f>SUM(B9:E9)</f>
        <v>6199280</v>
      </c>
    </row>
    <row r="10" spans="1:8" s="858" customFormat="1" ht="14.25" thickTop="1" thickBot="1" x14ac:dyDescent="0.25">
      <c r="A10" s="859" t="s">
        <v>1354</v>
      </c>
      <c r="B10" s="1815">
        <f>(B8-B9)</f>
        <v>-20680</v>
      </c>
      <c r="C10" s="1815">
        <f>(C8-C9)</f>
        <v>35002</v>
      </c>
      <c r="D10" s="1815">
        <f>(D8-D9)</f>
        <v>-19963</v>
      </c>
      <c r="E10" s="1814">
        <f>(E8-E9)</f>
        <v>60281</v>
      </c>
      <c r="F10" s="1816">
        <f>SUM(F8-F9)</f>
        <v>54640</v>
      </c>
    </row>
    <row r="11" spans="1:8" s="858" customFormat="1" ht="14.25" thickTop="1" thickBot="1" x14ac:dyDescent="0.25">
      <c r="A11" s="860" t="s">
        <v>1900</v>
      </c>
      <c r="B11" s="1817">
        <f>'Acct Summary 7-8'!C81</f>
        <v>252285</v>
      </c>
      <c r="C11" s="1817">
        <f>'Acct Summary 7-8'!D81</f>
        <v>146442</v>
      </c>
      <c r="D11" s="1817">
        <f>'Acct Summary 7-8'!F81</f>
        <v>218264</v>
      </c>
      <c r="E11" s="1817">
        <f>'Acct Summary 7-8'!I81</f>
        <v>2126386</v>
      </c>
      <c r="F11" s="1818">
        <f>SUM(B11:E11)</f>
        <v>2743377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30091037004</v>
      </c>
      <c r="E2" s="1542">
        <v>2020</v>
      </c>
      <c r="F2" s="1542">
        <v>1</v>
      </c>
      <c r="G2" s="1899">
        <v>101000300</v>
      </c>
    </row>
    <row r="3" spans="1:7" ht="15" x14ac:dyDescent="0.25">
      <c r="A3" t="s">
        <v>950</v>
      </c>
      <c r="B3" s="135" t="str">
        <f>COVER!A15</f>
        <v>UNION</v>
      </c>
      <c r="E3" s="1830" t="s">
        <v>1968</v>
      </c>
      <c r="F3" s="1830" t="s">
        <v>1967</v>
      </c>
      <c r="G3" s="1899">
        <v>101000400</v>
      </c>
    </row>
    <row r="4" spans="1:7" ht="15" x14ac:dyDescent="0.25">
      <c r="A4" t="s">
        <v>1000</v>
      </c>
      <c r="B4" s="135" t="str">
        <f>COVER!A17</f>
        <v>Anna CCSD 37</v>
      </c>
      <c r="E4" s="1828">
        <v>44119</v>
      </c>
      <c r="F4" s="1829">
        <v>44151</v>
      </c>
      <c r="G4" s="1899">
        <v>101000600</v>
      </c>
    </row>
    <row r="5" spans="1:7" ht="15" x14ac:dyDescent="0.25">
      <c r="A5" t="s">
        <v>699</v>
      </c>
      <c r="B5" s="135" t="str">
        <f>COVER!A38</f>
        <v>JULIE BULLARD</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066-005023</v>
      </c>
      <c r="G15" s="1899">
        <v>402100400</v>
      </c>
    </row>
    <row r="16" spans="1:7" ht="15" x14ac:dyDescent="0.25">
      <c r="A16" t="s">
        <v>419</v>
      </c>
      <c r="B16" s="135" t="str">
        <f>COVER!T13</f>
        <v>BEUSSINK HICKAM &amp; KOCHEL PC</v>
      </c>
      <c r="G16" s="1899">
        <v>402100600</v>
      </c>
    </row>
    <row r="17" spans="1:7" ht="15" x14ac:dyDescent="0.25">
      <c r="A17" t="s">
        <v>878</v>
      </c>
      <c r="B17" s="135" t="str">
        <f>COVER!T15</f>
        <v>SCOTT A HICKAM CPA</v>
      </c>
      <c r="G17" s="1899">
        <v>402100800</v>
      </c>
    </row>
    <row r="18" spans="1:7" ht="15" x14ac:dyDescent="0.25">
      <c r="A18" t="s">
        <v>1140</v>
      </c>
      <c r="B18" s="135" t="str">
        <f>COVER!T17</f>
        <v>139 W VIENNA ST - PO BOX 556</v>
      </c>
      <c r="G18" s="1899">
        <v>102200300</v>
      </c>
    </row>
    <row r="19" spans="1:7" ht="15" x14ac:dyDescent="0.25">
      <c r="A19" t="s">
        <v>880</v>
      </c>
      <c r="B19" s="135" t="str">
        <f>COVER!T25</f>
        <v>shickam@frontier.com</v>
      </c>
      <c r="G19" s="1899">
        <v>102200400</v>
      </c>
    </row>
    <row r="20" spans="1:7" ht="15" x14ac:dyDescent="0.25">
      <c r="A20" t="s">
        <v>881</v>
      </c>
      <c r="B20" s="135" t="str">
        <f>COVER!T19</f>
        <v>ANNA</v>
      </c>
      <c r="G20" s="1899">
        <v>102200600</v>
      </c>
    </row>
    <row r="21" spans="1:7" ht="15" x14ac:dyDescent="0.25">
      <c r="A21" t="s">
        <v>476</v>
      </c>
      <c r="B21" s="135" t="str">
        <f>COVER!X19</f>
        <v>IL</v>
      </c>
      <c r="G21" s="1899">
        <v>102200800</v>
      </c>
    </row>
    <row r="22" spans="1:7" ht="15" x14ac:dyDescent="0.25">
      <c r="A22" t="s">
        <v>882</v>
      </c>
      <c r="B22" s="135">
        <f>COVER!Z19</f>
        <v>62906</v>
      </c>
      <c r="G22" s="1899">
        <v>102300300</v>
      </c>
    </row>
    <row r="23" spans="1:7" ht="15" x14ac:dyDescent="0.25">
      <c r="A23" t="s">
        <v>1142</v>
      </c>
      <c r="B23" s="135" t="str">
        <f>COVER!T21</f>
        <v>618-833-2721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Yes</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35431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252285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252285</v>
      </c>
      <c r="D92" s="2" t="str">
        <f t="shared" si="0"/>
        <v>Error?</v>
      </c>
      <c r="G92" s="1899">
        <v>102640600</v>
      </c>
    </row>
    <row r="93" spans="1:7" ht="15" x14ac:dyDescent="0.25">
      <c r="A93" s="5">
        <v>32</v>
      </c>
      <c r="B93" s="1832">
        <f>'Assets-Liab 5-6'!C41</f>
        <v>252285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146442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146442</v>
      </c>
      <c r="D123" s="2" t="str">
        <f t="shared" si="0"/>
        <v>Error?</v>
      </c>
      <c r="G123" s="1899">
        <v>203000400</v>
      </c>
    </row>
    <row r="124" spans="1:7" ht="15" x14ac:dyDescent="0.25">
      <c r="A124" s="5">
        <v>63</v>
      </c>
      <c r="B124" s="1832">
        <f>'Assets-Liab 5-6'!D41</f>
        <v>146442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88978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88978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218264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218264</v>
      </c>
      <c r="D170" s="2" t="str">
        <f t="shared" si="1"/>
        <v>Error?</v>
      </c>
    </row>
    <row r="171" spans="1:4" x14ac:dyDescent="0.2">
      <c r="A171" s="5">
        <v>110</v>
      </c>
      <c r="B171" s="1832">
        <f>'Assets-Liab 5-6'!F41</f>
        <v>218264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56245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56245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159988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159988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299522</v>
      </c>
      <c r="D273" s="2" t="str">
        <f t="shared" si="3"/>
        <v>Error?</v>
      </c>
    </row>
    <row r="274" spans="1:4" x14ac:dyDescent="0.2">
      <c r="A274" s="5">
        <v>213</v>
      </c>
      <c r="B274" s="1832">
        <f>'Assets-Liab 5-6'!M17</f>
        <v>6440978</v>
      </c>
      <c r="D274" s="2" t="str">
        <f t="shared" si="3"/>
        <v>Error?</v>
      </c>
    </row>
    <row r="275" spans="1:4" x14ac:dyDescent="0.2">
      <c r="A275" s="5">
        <v>214</v>
      </c>
      <c r="B275" s="1832">
        <f>'Assets-Liab 5-6'!M18</f>
        <v>182220</v>
      </c>
      <c r="D275" s="2" t="str">
        <f t="shared" si="3"/>
        <v>Error?</v>
      </c>
    </row>
    <row r="276" spans="1:4" x14ac:dyDescent="0.2">
      <c r="A276" s="5">
        <v>215</v>
      </c>
      <c r="B276" s="1832">
        <f>'Assets-Liab 5-6'!M19</f>
        <v>1110721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8033441</v>
      </c>
      <c r="C279" s="2" t="s">
        <v>569</v>
      </c>
      <c r="D279" s="2" t="str">
        <f t="shared" si="3"/>
        <v>Error?</v>
      </c>
    </row>
    <row r="280" spans="1:4" x14ac:dyDescent="0.2">
      <c r="A280" s="5">
        <v>219</v>
      </c>
      <c r="B280" s="1832">
        <f>'Assets-Liab 5-6'!M40</f>
        <v>8033441</v>
      </c>
      <c r="D280" s="2" t="str">
        <f t="shared" si="3"/>
        <v>Error?</v>
      </c>
    </row>
    <row r="281" spans="1:4" x14ac:dyDescent="0.2">
      <c r="A281" s="5">
        <v>220</v>
      </c>
      <c r="B281" s="1832">
        <f>'Assets-Liab 5-6'!M41</f>
        <v>8033441</v>
      </c>
      <c r="C281" s="2" t="s">
        <v>569</v>
      </c>
      <c r="D281" s="2" t="str">
        <f t="shared" si="3"/>
        <v>Error?</v>
      </c>
    </row>
    <row r="282" spans="1:4" x14ac:dyDescent="0.2">
      <c r="A282" s="5">
        <v>221</v>
      </c>
      <c r="B282" s="1832">
        <f>'Assets-Liab 5-6'!N21</f>
        <v>88979</v>
      </c>
      <c r="D282" s="2" t="str">
        <f t="shared" si="3"/>
        <v>Error?</v>
      </c>
    </row>
    <row r="283" spans="1:4" x14ac:dyDescent="0.2">
      <c r="A283" s="5">
        <v>222</v>
      </c>
      <c r="B283" s="1832">
        <f>'Assets-Liab 5-6'!N22</f>
        <v>312191</v>
      </c>
      <c r="D283" s="2" t="str">
        <f t="shared" si="3"/>
        <v>Error?</v>
      </c>
    </row>
    <row r="284" spans="1:4" x14ac:dyDescent="0.2">
      <c r="A284" s="5">
        <v>223</v>
      </c>
      <c r="B284" s="1832">
        <f>'Assets-Liab 5-6'!N23</f>
        <v>401170</v>
      </c>
      <c r="C284" s="2" t="s">
        <v>569</v>
      </c>
      <c r="D284" s="2" t="str">
        <f t="shared" si="3"/>
        <v>Error?</v>
      </c>
    </row>
    <row r="285" spans="1:4" x14ac:dyDescent="0.2">
      <c r="A285" s="5">
        <v>224</v>
      </c>
      <c r="B285" s="1832">
        <f>'Assets-Liab 5-6'!N36</f>
        <v>401170</v>
      </c>
      <c r="D285" s="2" t="str">
        <f t="shared" si="3"/>
        <v>Error?</v>
      </c>
    </row>
    <row r="286" spans="1:4" x14ac:dyDescent="0.2">
      <c r="A286" s="10">
        <v>225</v>
      </c>
      <c r="B286" s="1832"/>
      <c r="D286" s="2" t="str">
        <f t="shared" si="3"/>
        <v>OK</v>
      </c>
    </row>
    <row r="287" spans="1:4" x14ac:dyDescent="0.2">
      <c r="A287" s="5">
        <v>226</v>
      </c>
      <c r="B287" s="1832">
        <f>'Assets-Liab 5-6'!N37</f>
        <v>401170</v>
      </c>
      <c r="C287" s="2" t="s">
        <v>569</v>
      </c>
      <c r="D287" s="2" t="str">
        <f t="shared" si="3"/>
        <v>Error?</v>
      </c>
    </row>
    <row r="288" spans="1:4" x14ac:dyDescent="0.2">
      <c r="A288" s="5">
        <v>227</v>
      </c>
      <c r="B288" s="1832">
        <f>'Assets-Liab 5-6'!N41</f>
        <v>401170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1731807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134240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2917499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40488</v>
      </c>
      <c r="D722" s="2" t="str">
        <f t="shared" si="10"/>
        <v>Error?</v>
      </c>
    </row>
    <row r="723" spans="1:4" x14ac:dyDescent="0.2">
      <c r="A723" s="5">
        <v>662</v>
      </c>
      <c r="B723" s="1832">
        <f>'Expenditures 15-22'!C38</f>
        <v>30241</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105395</v>
      </c>
      <c r="D725" s="2" t="str">
        <f t="shared" si="10"/>
        <v>Error?</v>
      </c>
    </row>
    <row r="726" spans="1:4" x14ac:dyDescent="0.2">
      <c r="A726" s="5">
        <v>665</v>
      </c>
      <c r="B726" s="1832">
        <f>'Expenditures 15-22'!C41</f>
        <v>34866</v>
      </c>
      <c r="D726" s="2" t="str">
        <f t="shared" si="10"/>
        <v>Error?</v>
      </c>
    </row>
    <row r="727" spans="1:4" x14ac:dyDescent="0.2">
      <c r="A727" s="5">
        <v>666</v>
      </c>
      <c r="B727" s="1832">
        <f>'Expenditures 15-22'!C42</f>
        <v>210990</v>
      </c>
      <c r="C727" s="2" t="s">
        <v>569</v>
      </c>
      <c r="D727" s="2" t="str">
        <f t="shared" si="10"/>
        <v>Error?</v>
      </c>
    </row>
    <row r="728" spans="1:4" x14ac:dyDescent="0.2">
      <c r="A728" s="5">
        <v>667</v>
      </c>
      <c r="B728" s="1832">
        <f>'Expenditures 15-22'!C44</f>
        <v>85</v>
      </c>
      <c r="D728" s="2" t="str">
        <f t="shared" si="10"/>
        <v>Error?</v>
      </c>
    </row>
    <row r="729" spans="1:4" x14ac:dyDescent="0.2">
      <c r="A729" s="5">
        <v>668</v>
      </c>
      <c r="B729" s="1832">
        <f>'Expenditures 15-22'!C45</f>
        <v>18466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18551</v>
      </c>
      <c r="C731" s="2" t="s">
        <v>569</v>
      </c>
      <c r="D731" s="2" t="str">
        <f t="shared" si="10"/>
        <v>Error?</v>
      </c>
    </row>
    <row r="732" spans="1:4" x14ac:dyDescent="0.2">
      <c r="A732" s="5">
        <v>671</v>
      </c>
      <c r="B732" s="1832">
        <f>'Expenditures 15-22'!C49</f>
        <v>14863</v>
      </c>
      <c r="D732" s="2" t="str">
        <f t="shared" si="10"/>
        <v>Error?</v>
      </c>
    </row>
    <row r="733" spans="1:4" x14ac:dyDescent="0.2">
      <c r="A733" s="5">
        <v>672</v>
      </c>
      <c r="B733" s="1832">
        <f>'Expenditures 15-22'!C50</f>
        <v>111233</v>
      </c>
      <c r="D733" s="2" t="str">
        <f t="shared" si="10"/>
        <v>Error?</v>
      </c>
    </row>
    <row r="734" spans="1:4" x14ac:dyDescent="0.2">
      <c r="A734" s="5">
        <v>673</v>
      </c>
      <c r="B734" s="1832">
        <f>'Expenditures 15-22'!C53</f>
        <v>126096</v>
      </c>
      <c r="C734" s="2" t="s">
        <v>569</v>
      </c>
      <c r="D734" s="2" t="str">
        <f t="shared" si="10"/>
        <v>Error?</v>
      </c>
    </row>
    <row r="735" spans="1:4" x14ac:dyDescent="0.2">
      <c r="A735" s="5">
        <v>674</v>
      </c>
      <c r="B735" s="1832">
        <f>'Expenditures 15-22'!C55</f>
        <v>232879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232879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102453</v>
      </c>
      <c r="D739" s="2" t="str">
        <f t="shared" si="10"/>
        <v>Error?</v>
      </c>
    </row>
    <row r="740" spans="1:4" x14ac:dyDescent="0.2">
      <c r="A740" s="5">
        <v>679</v>
      </c>
      <c r="B740" s="1832">
        <f>'Expenditures 15-22'!C61</f>
        <v>219380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106048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427881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1016397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3933896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378105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26593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638384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12506</v>
      </c>
      <c r="D780" s="2" t="str">
        <f t="shared" si="11"/>
        <v>Error?</v>
      </c>
    </row>
    <row r="781" spans="1:4" x14ac:dyDescent="0.2">
      <c r="A781" s="5">
        <v>720</v>
      </c>
      <c r="B781" s="1832">
        <f>'Expenditures 15-22'!D38</f>
        <v>6019</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20079</v>
      </c>
      <c r="D783" s="2" t="str">
        <f t="shared" si="11"/>
        <v>Error?</v>
      </c>
    </row>
    <row r="784" spans="1:4" x14ac:dyDescent="0.2">
      <c r="A784" s="5">
        <v>723</v>
      </c>
      <c r="B784" s="1832">
        <f>'Expenditures 15-22'!D41</f>
        <v>1</v>
      </c>
      <c r="D784" s="2" t="str">
        <f t="shared" si="11"/>
        <v>Error?</v>
      </c>
    </row>
    <row r="785" spans="1:4" x14ac:dyDescent="0.2">
      <c r="A785" s="5">
        <v>724</v>
      </c>
      <c r="B785" s="1832">
        <f>'Expenditures 15-22'!D42</f>
        <v>38605</v>
      </c>
      <c r="C785" s="2" t="s">
        <v>569</v>
      </c>
      <c r="D785" s="2" t="str">
        <f t="shared" si="11"/>
        <v>Error?</v>
      </c>
    </row>
    <row r="786" spans="1:4" x14ac:dyDescent="0.2">
      <c r="A786" s="5">
        <v>725</v>
      </c>
      <c r="B786" s="1832">
        <f>'Expenditures 15-22'!D44</f>
        <v>1</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14350</v>
      </c>
      <c r="D791" s="2" t="str">
        <f t="shared" si="11"/>
        <v>Error?</v>
      </c>
    </row>
    <row r="792" spans="1:4" x14ac:dyDescent="0.2">
      <c r="A792" s="5">
        <v>731</v>
      </c>
      <c r="B792" s="1832">
        <f>'Expenditures 15-22'!D53</f>
        <v>14350</v>
      </c>
      <c r="C792" s="2" t="s">
        <v>569</v>
      </c>
      <c r="D792" s="2" t="str">
        <f t="shared" si="11"/>
        <v>Error?</v>
      </c>
    </row>
    <row r="793" spans="1:4" x14ac:dyDescent="0.2">
      <c r="A793" s="5">
        <v>732</v>
      </c>
      <c r="B793" s="1832">
        <f>'Expenditures 15-22'!D55</f>
        <v>42777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42777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6923</v>
      </c>
      <c r="D797" s="2" t="str">
        <f t="shared" si="11"/>
        <v>Error?</v>
      </c>
    </row>
    <row r="798" spans="1:4" x14ac:dyDescent="0.2">
      <c r="A798" s="5">
        <v>737</v>
      </c>
      <c r="B798" s="1832">
        <f>'Expenditures 15-22'!D61</f>
        <v>24726</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21349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52998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148731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787115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7940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6116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193036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1300</v>
      </c>
      <c r="D838" s="2" t="str">
        <f t="shared" si="12"/>
        <v>Error?</v>
      </c>
    </row>
    <row r="839" spans="1:4" x14ac:dyDescent="0.2">
      <c r="A839" s="5">
        <v>778</v>
      </c>
      <c r="B839" s="1832">
        <f>'Expenditures 15-22'!E38</f>
        <v>225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7046</v>
      </c>
      <c r="D842" s="2" t="str">
        <f t="shared" si="12"/>
        <v>Error?</v>
      </c>
    </row>
    <row r="843" spans="1:4" x14ac:dyDescent="0.2">
      <c r="A843" s="5">
        <v>782</v>
      </c>
      <c r="B843" s="1832">
        <f>'Expenditures 15-22'!E42</f>
        <v>8571</v>
      </c>
      <c r="C843" s="2" t="s">
        <v>569</v>
      </c>
      <c r="D843" s="2" t="str">
        <f t="shared" si="12"/>
        <v>Error?</v>
      </c>
    </row>
    <row r="844" spans="1:4" x14ac:dyDescent="0.2">
      <c r="A844" s="5">
        <v>783</v>
      </c>
      <c r="B844" s="1832">
        <f>'Expenditures 15-22'!E44</f>
        <v>1786</v>
      </c>
      <c r="D844" s="2" t="str">
        <f t="shared" si="12"/>
        <v>Error?</v>
      </c>
    </row>
    <row r="845" spans="1:4" x14ac:dyDescent="0.2">
      <c r="A845" s="5">
        <v>784</v>
      </c>
      <c r="B845" s="1832">
        <f>'Expenditures 15-22'!E45</f>
        <v>1733</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3519</v>
      </c>
      <c r="C847" s="2" t="s">
        <v>569</v>
      </c>
      <c r="D847" s="2" t="str">
        <f t="shared" si="12"/>
        <v>Error?</v>
      </c>
    </row>
    <row r="848" spans="1:4" x14ac:dyDescent="0.2">
      <c r="A848" s="5">
        <v>787</v>
      </c>
      <c r="B848" s="1832">
        <f>'Expenditures 15-22'!E49</f>
        <v>26217</v>
      </c>
      <c r="D848" s="2" t="str">
        <f t="shared" si="12"/>
        <v>Error?</v>
      </c>
    </row>
    <row r="849" spans="1:4" x14ac:dyDescent="0.2">
      <c r="A849" s="5">
        <v>788</v>
      </c>
      <c r="B849" s="1832">
        <f>'Expenditures 15-22'!E50</f>
        <v>2018</v>
      </c>
      <c r="D849" s="2" t="str">
        <f t="shared" si="12"/>
        <v>Error?</v>
      </c>
    </row>
    <row r="850" spans="1:4" x14ac:dyDescent="0.2">
      <c r="A850" s="5">
        <v>789</v>
      </c>
      <c r="B850" s="1832">
        <f>'Expenditures 15-22'!E53</f>
        <v>28235</v>
      </c>
      <c r="C850" s="2" t="s">
        <v>569</v>
      </c>
      <c r="D850" s="2" t="str">
        <f t="shared" si="12"/>
        <v>Error?</v>
      </c>
    </row>
    <row r="851" spans="1:4" x14ac:dyDescent="0.2">
      <c r="A851" s="5">
        <v>790</v>
      </c>
      <c r="B851" s="1832">
        <f>'Expenditures 15-22'!E55</f>
        <v>4922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4922</v>
      </c>
      <c r="C853" s="2" t="s">
        <v>569</v>
      </c>
      <c r="D853" s="2" t="str">
        <f t="shared" si="12"/>
        <v>Error?</v>
      </c>
    </row>
    <row r="854" spans="1:4" x14ac:dyDescent="0.2">
      <c r="A854" s="5">
        <v>793</v>
      </c>
      <c r="B854" s="1832">
        <f>'Expenditures 15-22'!E59</f>
        <v>25636</v>
      </c>
      <c r="D854" s="2" t="str">
        <f t="shared" si="12"/>
        <v>Error?</v>
      </c>
    </row>
    <row r="855" spans="1:4" x14ac:dyDescent="0.2">
      <c r="A855" s="5">
        <v>794</v>
      </c>
      <c r="B855" s="1832">
        <f>'Expenditures 15-22'!E60</f>
        <v>5556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5518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36710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81957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274993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52531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4233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104319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16</v>
      </c>
      <c r="D896" s="2" t="str">
        <f t="shared" si="13"/>
        <v>Error?</v>
      </c>
    </row>
    <row r="897" spans="1:4" x14ac:dyDescent="0.2">
      <c r="A897" s="5">
        <v>836</v>
      </c>
      <c r="B897" s="1832">
        <f>'Expenditures 15-22'!F38</f>
        <v>676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493</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1185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6194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6194</v>
      </c>
      <c r="C905" s="2" t="s">
        <v>569</v>
      </c>
      <c r="D905" s="2" t="str">
        <f t="shared" si="13"/>
        <v>Error?</v>
      </c>
    </row>
    <row r="906" spans="1:4" x14ac:dyDescent="0.2">
      <c r="A906" s="5">
        <v>845</v>
      </c>
      <c r="B906" s="1832">
        <f>'Expenditures 15-22'!F49</f>
        <v>4972</v>
      </c>
      <c r="D906" s="2" t="str">
        <f t="shared" si="13"/>
        <v>Error?</v>
      </c>
    </row>
    <row r="907" spans="1:4" x14ac:dyDescent="0.2">
      <c r="A907" s="5">
        <v>846</v>
      </c>
      <c r="B907" s="1832">
        <f>'Expenditures 15-22'!F50</f>
        <v>1536</v>
      </c>
      <c r="D907" s="2" t="str">
        <f t="shared" si="13"/>
        <v>Error?</v>
      </c>
    </row>
    <row r="908" spans="1:4" x14ac:dyDescent="0.2">
      <c r="A908" s="5">
        <v>847</v>
      </c>
      <c r="B908" s="1832">
        <f>'Expenditures 15-22'!F53</f>
        <v>6508</v>
      </c>
      <c r="C908" s="2" t="s">
        <v>569</v>
      </c>
      <c r="D908" s="2" t="str">
        <f t="shared" si="13"/>
        <v>Error?</v>
      </c>
    </row>
    <row r="909" spans="1:4" x14ac:dyDescent="0.2">
      <c r="A909" s="5">
        <v>848</v>
      </c>
      <c r="B909" s="1832">
        <f>'Expenditures 15-22'!F55</f>
        <v>631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631</v>
      </c>
      <c r="C911" s="2" t="s">
        <v>569</v>
      </c>
      <c r="D911" s="2" t="str">
        <f t="shared" si="13"/>
        <v>Error?</v>
      </c>
    </row>
    <row r="912" spans="1:4" x14ac:dyDescent="0.2">
      <c r="A912" s="5">
        <v>851</v>
      </c>
      <c r="B912" s="1832">
        <f>'Expenditures 15-22'!F59</f>
        <v>3267</v>
      </c>
      <c r="D912" s="2" t="str">
        <f t="shared" si="13"/>
        <v>Error?</v>
      </c>
    </row>
    <row r="913" spans="1:4" x14ac:dyDescent="0.2">
      <c r="A913" s="5">
        <v>852</v>
      </c>
      <c r="B913" s="1832">
        <f>'Expenditures 15-22'!F60</f>
        <v>4646</v>
      </c>
      <c r="D913" s="2" t="str">
        <f t="shared" si="13"/>
        <v>Error?</v>
      </c>
    </row>
    <row r="914" spans="1:4" x14ac:dyDescent="0.2">
      <c r="A914" s="5">
        <v>853</v>
      </c>
      <c r="B914" s="1832">
        <f>'Expenditures 15-22'!F61</f>
        <v>192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175121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183226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197744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302063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10029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70516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2169</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2169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2169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72685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2815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2815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150</v>
      </c>
      <c r="D1022" s="2" t="str">
        <f t="shared" si="14"/>
        <v>Error?</v>
      </c>
    </row>
    <row r="1023" spans="1:4" x14ac:dyDescent="0.2">
      <c r="A1023" s="5">
        <v>962</v>
      </c>
      <c r="B1023" s="1832">
        <f>'Expenditures 15-22'!H50</f>
        <v>370</v>
      </c>
      <c r="D1023" s="2" t="str">
        <f t="shared" ref="D1023:D1086" si="15">IF(ISBLANK(B1023),"OK",IF(A1023-B1023=0,"OK","Error?"))</f>
        <v>Error?</v>
      </c>
    </row>
    <row r="1024" spans="1:4" x14ac:dyDescent="0.2">
      <c r="A1024" s="5">
        <v>963</v>
      </c>
      <c r="B1024" s="1832">
        <f>'Expenditures 15-22'!H53</f>
        <v>520</v>
      </c>
      <c r="C1024" s="2" t="s">
        <v>569</v>
      </c>
      <c r="D1024" s="2" t="str">
        <f t="shared" si="15"/>
        <v>Error?</v>
      </c>
    </row>
    <row r="1025" spans="1:4" x14ac:dyDescent="0.2">
      <c r="A1025" s="5">
        <v>964</v>
      </c>
      <c r="B1025" s="1832">
        <f>'Expenditures 15-22'!H55</f>
        <v>897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897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213</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213</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1630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433093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437538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2180412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173997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3926569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54310</v>
      </c>
      <c r="C1110" s="2" t="s">
        <v>569</v>
      </c>
      <c r="D1110" s="2" t="str">
        <f t="shared" si="16"/>
        <v>Error?</v>
      </c>
    </row>
    <row r="1111" spans="1:4" x14ac:dyDescent="0.2">
      <c r="A1111" s="5">
        <v>1050</v>
      </c>
      <c r="B1111" s="1832">
        <f>'Expenditures 15-22'!K38</f>
        <v>37161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125967</v>
      </c>
      <c r="C1113" s="2" t="s">
        <v>569</v>
      </c>
      <c r="D1113" s="2" t="str">
        <f t="shared" si="16"/>
        <v>Error?</v>
      </c>
    </row>
    <row r="1114" spans="1:4" x14ac:dyDescent="0.2">
      <c r="A1114" s="5">
        <v>1053</v>
      </c>
      <c r="B1114" s="1832">
        <f>'Expenditures 15-22'!K41</f>
        <v>41913</v>
      </c>
      <c r="C1114" s="2" t="s">
        <v>569</v>
      </c>
      <c r="D1114" s="2" t="str">
        <f t="shared" si="16"/>
        <v>Error?</v>
      </c>
    </row>
    <row r="1115" spans="1:4" x14ac:dyDescent="0.2">
      <c r="A1115" s="5">
        <v>1054</v>
      </c>
      <c r="B1115" s="1832">
        <f>'Expenditures 15-22'!K42</f>
        <v>259351</v>
      </c>
      <c r="C1115" s="2" t="s">
        <v>569</v>
      </c>
      <c r="D1115" s="2" t="str">
        <f t="shared" si="16"/>
        <v>Error?</v>
      </c>
    </row>
    <row r="1116" spans="1:4" x14ac:dyDescent="0.2">
      <c r="A1116" s="5">
        <v>1055</v>
      </c>
      <c r="B1116" s="1832">
        <f>'Expenditures 15-22'!K44</f>
        <v>1872</v>
      </c>
      <c r="C1116" s="2" t="s">
        <v>569</v>
      </c>
      <c r="D1116" s="2" t="str">
        <f t="shared" si="16"/>
        <v>Error?</v>
      </c>
    </row>
    <row r="1117" spans="1:4" x14ac:dyDescent="0.2">
      <c r="A1117" s="5">
        <v>1056</v>
      </c>
      <c r="B1117" s="1832">
        <f>'Expenditures 15-22'!K45</f>
        <v>26393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28265</v>
      </c>
      <c r="C1119" s="2" t="s">
        <v>569</v>
      </c>
      <c r="D1119" s="2" t="str">
        <f t="shared" si="16"/>
        <v>Error?</v>
      </c>
    </row>
    <row r="1120" spans="1:4" x14ac:dyDescent="0.2">
      <c r="A1120" s="5">
        <v>1059</v>
      </c>
      <c r="B1120" s="1832">
        <f>'Expenditures 15-22'!K49</f>
        <v>46202</v>
      </c>
      <c r="C1120" s="2" t="s">
        <v>569</v>
      </c>
      <c r="D1120" s="2" t="str">
        <f t="shared" si="16"/>
        <v>Error?</v>
      </c>
    </row>
    <row r="1121" spans="1:4" x14ac:dyDescent="0.2">
      <c r="A1121" s="5">
        <v>1060</v>
      </c>
      <c r="B1121" s="1832">
        <f>'Expenditures 15-22'!K50</f>
        <v>129507</v>
      </c>
      <c r="C1121" s="2" t="s">
        <v>569</v>
      </c>
      <c r="D1121" s="2" t="str">
        <f t="shared" si="16"/>
        <v>Error?</v>
      </c>
    </row>
    <row r="1122" spans="1:4" x14ac:dyDescent="0.2">
      <c r="A1122" s="5">
        <v>1061</v>
      </c>
      <c r="B1122" s="1832">
        <f>'Expenditures 15-22'!K53</f>
        <v>175709</v>
      </c>
      <c r="C1122" s="2" t="s">
        <v>569</v>
      </c>
      <c r="D1122" s="2" t="str">
        <f t="shared" si="16"/>
        <v>Error?</v>
      </c>
    </row>
    <row r="1123" spans="1:4" x14ac:dyDescent="0.2">
      <c r="A1123" s="5">
        <v>1062</v>
      </c>
      <c r="B1123" s="1832">
        <f>'Expenditures 15-22'!K55</f>
        <v>282106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282106</v>
      </c>
      <c r="C1125" s="2" t="s">
        <v>569</v>
      </c>
      <c r="D1125" s="2" t="str">
        <f t="shared" si="16"/>
        <v>Error?</v>
      </c>
    </row>
    <row r="1126" spans="1:4" x14ac:dyDescent="0.2">
      <c r="A1126" s="5">
        <v>1065</v>
      </c>
      <c r="B1126" s="1832">
        <f>'Expenditures 15-22'!K59</f>
        <v>28903</v>
      </c>
      <c r="C1126" s="2" t="s">
        <v>569</v>
      </c>
      <c r="D1126" s="2" t="str">
        <f t="shared" si="16"/>
        <v>Error?</v>
      </c>
    </row>
    <row r="1127" spans="1:4" x14ac:dyDescent="0.2">
      <c r="A1127" s="5">
        <v>1066</v>
      </c>
      <c r="B1127" s="1832">
        <f>'Expenditures 15-22'!K60</f>
        <v>121747</v>
      </c>
      <c r="C1127" s="2" t="s">
        <v>569</v>
      </c>
      <c r="D1127" s="2" t="str">
        <f t="shared" si="16"/>
        <v>Error?</v>
      </c>
    </row>
    <row r="1128" spans="1:4" x14ac:dyDescent="0.2">
      <c r="A1128" s="5">
        <v>1067</v>
      </c>
      <c r="B1128" s="1832">
        <f>'Expenditures 15-22'!K61</f>
        <v>244298</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308249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703197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1448628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433093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5808290</v>
      </c>
      <c r="C1152" s="2" t="s">
        <v>569</v>
      </c>
      <c r="D1152" s="2" t="str">
        <f t="shared" si="17"/>
        <v>Error?</v>
      </c>
    </row>
    <row r="1153" spans="1:4" x14ac:dyDescent="0.2">
      <c r="A1153" s="5">
        <v>1092</v>
      </c>
      <c r="B1153" s="1832">
        <f>'Expenditures 15-22'!K115</f>
        <v>-20680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363</v>
      </c>
      <c r="D1236" s="2" t="str">
        <f t="shared" si="18"/>
        <v>Error?</v>
      </c>
    </row>
    <row r="1237" spans="1:4" x14ac:dyDescent="0.2">
      <c r="A1237" s="5">
        <v>1176</v>
      </c>
      <c r="B1237" s="1832">
        <f>'Expenditures 15-22'!E124</f>
        <v>44709</v>
      </c>
      <c r="D1237" s="2" t="str">
        <f t="shared" si="18"/>
        <v>Error?</v>
      </c>
    </row>
    <row r="1238" spans="1:4" x14ac:dyDescent="0.2">
      <c r="A1238" s="10">
        <v>1177</v>
      </c>
      <c r="B1238" s="1832"/>
      <c r="D1238" s="2" t="str">
        <f t="shared" si="18"/>
        <v>OK</v>
      </c>
    </row>
    <row r="1239" spans="1:4" x14ac:dyDescent="0.2">
      <c r="A1239" s="5">
        <v>1178</v>
      </c>
      <c r="B1239" s="1832">
        <f>'Expenditures 15-22'!E127</f>
        <v>45072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45072</v>
      </c>
      <c r="C1241" s="2" t="s">
        <v>569</v>
      </c>
      <c r="D1241" s="2" t="str">
        <f t="shared" si="18"/>
        <v>Error?</v>
      </c>
    </row>
    <row r="1242" spans="1:4" x14ac:dyDescent="0.2">
      <c r="A1242" s="5">
        <v>1181</v>
      </c>
      <c r="B1242" s="1832">
        <f>'Expenditures 15-22'!E151</f>
        <v>45072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96053</v>
      </c>
      <c r="D1245" s="2" t="str">
        <f t="shared" si="18"/>
        <v>Error?</v>
      </c>
    </row>
    <row r="1246" spans="1:4" x14ac:dyDescent="0.2">
      <c r="A1246" s="10">
        <v>1185</v>
      </c>
      <c r="B1246" s="1832"/>
      <c r="D1246" s="2" t="str">
        <f t="shared" si="18"/>
        <v>OK</v>
      </c>
    </row>
    <row r="1247" spans="1:4" x14ac:dyDescent="0.2">
      <c r="A1247" s="5">
        <v>1186</v>
      </c>
      <c r="B1247" s="1832">
        <f>'Expenditures 15-22'!F127</f>
        <v>96053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96053</v>
      </c>
      <c r="C1249" s="2" t="s">
        <v>569</v>
      </c>
      <c r="D1249" s="2" t="str">
        <f t="shared" si="18"/>
        <v>Error?</v>
      </c>
    </row>
    <row r="1250" spans="1:4" x14ac:dyDescent="0.2">
      <c r="A1250" s="5">
        <v>1189</v>
      </c>
      <c r="B1250" s="1832">
        <f>'Expenditures 15-22'!F151</f>
        <v>96053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24263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24263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24263</v>
      </c>
      <c r="C1258" s="2" t="s">
        <v>569</v>
      </c>
      <c r="D1258" s="2" t="str">
        <f t="shared" si="18"/>
        <v>Error?</v>
      </c>
    </row>
    <row r="1259" spans="1:4" x14ac:dyDescent="0.2">
      <c r="A1259" s="5">
        <v>1198</v>
      </c>
      <c r="B1259" s="1832">
        <f>'Expenditures 15-22'!G151</f>
        <v>24263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363</v>
      </c>
      <c r="C1275" s="2" t="s">
        <v>569</v>
      </c>
      <c r="D1275" s="2" t="str">
        <f t="shared" si="18"/>
        <v>Error?</v>
      </c>
    </row>
    <row r="1276" spans="1:4" x14ac:dyDescent="0.2">
      <c r="A1276" s="5">
        <v>1215</v>
      </c>
      <c r="B1276" s="1832">
        <f>'Expenditures 15-22'!K124</f>
        <v>165025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165388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165388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165388</v>
      </c>
      <c r="C1288" s="2" t="s">
        <v>569</v>
      </c>
      <c r="D1288" s="2" t="str">
        <f t="shared" si="19"/>
        <v>Error?</v>
      </c>
    </row>
    <row r="1289" spans="1:4" x14ac:dyDescent="0.2">
      <c r="A1289" s="5">
        <v>1228</v>
      </c>
      <c r="B1289" s="1832">
        <f>'Expenditures 15-22'!K152</f>
        <v>35002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16569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355985</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372554</v>
      </c>
      <c r="C1317" s="2" t="s">
        <v>569</v>
      </c>
      <c r="D1317" s="2" t="str">
        <f t="shared" si="19"/>
        <v>Error?</v>
      </c>
    </row>
    <row r="1318" spans="1:4" x14ac:dyDescent="0.2">
      <c r="A1318" s="5">
        <v>1257</v>
      </c>
      <c r="B1318" s="1832">
        <f>'Expenditures 15-22'!H174</f>
        <v>372554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16569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355985</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372554</v>
      </c>
      <c r="C1331" s="2" t="s">
        <v>569</v>
      </c>
      <c r="D1331" s="2" t="str">
        <f t="shared" si="19"/>
        <v>Error?</v>
      </c>
    </row>
    <row r="1332" spans="1:4" x14ac:dyDescent="0.2">
      <c r="A1332" s="5">
        <v>1271</v>
      </c>
      <c r="B1332" s="1832">
        <f>'Expenditures 15-22'!K174</f>
        <v>372554</v>
      </c>
      <c r="C1332" s="2" t="s">
        <v>569</v>
      </c>
      <c r="D1332" s="2" t="str">
        <f t="shared" si="19"/>
        <v>Error?</v>
      </c>
    </row>
    <row r="1333" spans="1:4" x14ac:dyDescent="0.2">
      <c r="A1333" s="5">
        <v>1272</v>
      </c>
      <c r="B1333" s="1832">
        <f>'Expenditures 15-22'!K175</f>
        <v>-33042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68025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68025</v>
      </c>
      <c r="C1339" s="2" t="s">
        <v>569</v>
      </c>
      <c r="D1339" s="2" t="str">
        <f t="shared" si="19"/>
        <v>Error?</v>
      </c>
    </row>
    <row r="1340" spans="1:4" x14ac:dyDescent="0.2">
      <c r="A1340" s="5">
        <v>1279</v>
      </c>
      <c r="B1340" s="1832">
        <f>'Expenditures 15-22'!C210</f>
        <v>68025</v>
      </c>
      <c r="C1340" s="2" t="s">
        <v>569</v>
      </c>
      <c r="D1340" s="2" t="str">
        <f t="shared" si="19"/>
        <v>Error?</v>
      </c>
    </row>
    <row r="1341" spans="1:4" x14ac:dyDescent="0.2">
      <c r="A1341" s="5">
        <v>1280</v>
      </c>
      <c r="B1341" s="1832">
        <f>'Expenditures 15-22'!D182</f>
        <v>3596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3596</v>
      </c>
      <c r="C1345" s="2" t="s">
        <v>569</v>
      </c>
      <c r="D1345" s="2" t="str">
        <f t="shared" si="20"/>
        <v>Error?</v>
      </c>
    </row>
    <row r="1346" spans="1:4" x14ac:dyDescent="0.2">
      <c r="A1346" s="5">
        <v>1285</v>
      </c>
      <c r="B1346" s="1832">
        <f>'Expenditures 15-22'!D210</f>
        <v>3596</v>
      </c>
      <c r="C1346" s="2" t="s">
        <v>569</v>
      </c>
      <c r="D1346" s="2" t="str">
        <f t="shared" si="20"/>
        <v>Error?</v>
      </c>
    </row>
    <row r="1347" spans="1:4" x14ac:dyDescent="0.2">
      <c r="A1347" s="5">
        <v>1286</v>
      </c>
      <c r="B1347" s="1832">
        <f>'Expenditures 15-22'!E182</f>
        <v>39174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39174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39174</v>
      </c>
      <c r="C1353" s="2" t="s">
        <v>569</v>
      </c>
      <c r="D1353" s="2" t="str">
        <f t="shared" si="20"/>
        <v>Error?</v>
      </c>
    </row>
    <row r="1354" spans="1:4" x14ac:dyDescent="0.2">
      <c r="A1354" s="5">
        <v>1293</v>
      </c>
      <c r="B1354" s="1832">
        <f>'Expenditures 15-22'!F182</f>
        <v>16252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16252</v>
      </c>
      <c r="C1358" s="2" t="s">
        <v>569</v>
      </c>
      <c r="D1358" s="2" t="str">
        <f t="shared" si="20"/>
        <v>Error?</v>
      </c>
    </row>
    <row r="1359" spans="1:4" x14ac:dyDescent="0.2">
      <c r="A1359" s="5">
        <v>1298</v>
      </c>
      <c r="B1359" s="1832">
        <f>'Expenditures 15-22'!F210</f>
        <v>16252</v>
      </c>
      <c r="C1359" s="2" t="s">
        <v>569</v>
      </c>
      <c r="D1359" s="2" t="str">
        <f t="shared" si="20"/>
        <v>Error?</v>
      </c>
    </row>
    <row r="1360" spans="1:4" x14ac:dyDescent="0.2">
      <c r="A1360" s="5">
        <v>1299</v>
      </c>
      <c r="B1360" s="1832">
        <f>'Expenditures 15-22'!G182</f>
        <v>98555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98555</v>
      </c>
      <c r="C1364" s="2" t="s">
        <v>569</v>
      </c>
      <c r="D1364" s="2" t="str">
        <f t="shared" si="20"/>
        <v>Error?</v>
      </c>
    </row>
    <row r="1365" spans="1:4" x14ac:dyDescent="0.2">
      <c r="A1365" s="5">
        <v>1304</v>
      </c>
      <c r="B1365" s="1832">
        <f>'Expenditures 15-22'!G210</f>
        <v>98555</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225602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225602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225602</v>
      </c>
      <c r="C1388" s="2" t="s">
        <v>569</v>
      </c>
      <c r="D1388" s="2" t="str">
        <f t="shared" si="20"/>
        <v>Error?</v>
      </c>
    </row>
    <row r="1389" spans="1:4" x14ac:dyDescent="0.2">
      <c r="A1389" s="5">
        <v>1328</v>
      </c>
      <c r="B1389" s="1832">
        <f>'Expenditures 15-22'!K211</f>
        <v>-19963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2928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84411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572</v>
      </c>
      <c r="D1412" s="2" t="str">
        <f t="shared" si="21"/>
        <v>Error?</v>
      </c>
    </row>
    <row r="1413" spans="1:4" x14ac:dyDescent="0.2">
      <c r="A1413" s="5">
        <v>1352</v>
      </c>
      <c r="B1413" s="1832">
        <f>'Expenditures 15-22'!D234</f>
        <v>6835</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1351</v>
      </c>
      <c r="D1415" s="2" t="str">
        <f t="shared" si="21"/>
        <v>Error?</v>
      </c>
    </row>
    <row r="1416" spans="1:4" x14ac:dyDescent="0.2">
      <c r="A1416" s="5">
        <v>1355</v>
      </c>
      <c r="B1416" s="1832">
        <f>'Expenditures 15-22'!D237</f>
        <v>6863</v>
      </c>
      <c r="D1416" s="2" t="str">
        <f t="shared" si="21"/>
        <v>Error?</v>
      </c>
    </row>
    <row r="1417" spans="1:4" x14ac:dyDescent="0.2">
      <c r="A1417" s="5">
        <v>1356</v>
      </c>
      <c r="B1417" s="1832">
        <f>'Expenditures 15-22'!D238</f>
        <v>15621</v>
      </c>
      <c r="C1417" s="2" t="s">
        <v>569</v>
      </c>
      <c r="D1417" s="2" t="str">
        <f t="shared" si="21"/>
        <v>Error?</v>
      </c>
    </row>
    <row r="1418" spans="1:4" x14ac:dyDescent="0.2">
      <c r="A1418" s="5">
        <v>1357</v>
      </c>
      <c r="B1418" s="1832">
        <f>'Expenditures 15-22'!D240</f>
        <v>1</v>
      </c>
      <c r="D1418" s="2" t="str">
        <f t="shared" si="21"/>
        <v>Error?</v>
      </c>
    </row>
    <row r="1419" spans="1:4" x14ac:dyDescent="0.2">
      <c r="A1419" s="5">
        <v>1358</v>
      </c>
      <c r="B1419" s="1832">
        <f>'Expenditures 15-22'!D241</f>
        <v>1412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1413</v>
      </c>
      <c r="C1421" s="2" t="s">
        <v>569</v>
      </c>
      <c r="D1421" s="2" t="str">
        <f t="shared" si="21"/>
        <v>Error?</v>
      </c>
    </row>
    <row r="1422" spans="1:4" x14ac:dyDescent="0.2">
      <c r="A1422" s="5">
        <v>1361</v>
      </c>
      <c r="B1422" s="1832">
        <f>'Expenditures 15-22'!D245</f>
        <v>964</v>
      </c>
      <c r="D1422" s="2" t="str">
        <f t="shared" si="21"/>
        <v>Error?</v>
      </c>
    </row>
    <row r="1423" spans="1:4" x14ac:dyDescent="0.2">
      <c r="A1423" s="5">
        <v>1362</v>
      </c>
      <c r="B1423" s="1832">
        <f>'Expenditures 15-22'!D246</f>
        <v>1613</v>
      </c>
      <c r="D1423" s="2" t="str">
        <f t="shared" si="21"/>
        <v>Error?</v>
      </c>
    </row>
    <row r="1424" spans="1:4" x14ac:dyDescent="0.2">
      <c r="A1424" s="5">
        <v>1363</v>
      </c>
      <c r="B1424" s="1832">
        <f>'Expenditures 15-22'!D257</f>
        <v>2577</v>
      </c>
      <c r="C1424" s="2" t="s">
        <v>569</v>
      </c>
      <c r="D1424" s="2" t="str">
        <f t="shared" si="21"/>
        <v>Error?</v>
      </c>
    </row>
    <row r="1425" spans="1:4" x14ac:dyDescent="0.2">
      <c r="A1425" s="5">
        <v>1364</v>
      </c>
      <c r="B1425" s="1832">
        <f>'Expenditures 15-22'!D259</f>
        <v>15349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15349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26986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42270</v>
      </c>
      <c r="D1431" s="2" t="str">
        <f t="shared" si="21"/>
        <v>Error?</v>
      </c>
    </row>
    <row r="1432" spans="1:4" x14ac:dyDescent="0.2">
      <c r="A1432" s="5">
        <v>1371</v>
      </c>
      <c r="B1432" s="1832">
        <f>'Expenditures 15-22'!D267</f>
        <v>12907</v>
      </c>
      <c r="D1432" s="2" t="str">
        <f t="shared" si="21"/>
        <v>Error?</v>
      </c>
    </row>
    <row r="1433" spans="1:4" x14ac:dyDescent="0.2">
      <c r="A1433" s="5">
        <v>1372</v>
      </c>
      <c r="B1433" s="1832">
        <f>'Expenditures 15-22'!D268</f>
        <v>20740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102903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137863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222274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2928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84411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572</v>
      </c>
      <c r="C1476" s="2" t="s">
        <v>569</v>
      </c>
      <c r="D1476" s="2" t="str">
        <f t="shared" si="22"/>
        <v>Error?</v>
      </c>
    </row>
    <row r="1477" spans="1:4" x14ac:dyDescent="0.2">
      <c r="A1477" s="5">
        <v>1416</v>
      </c>
      <c r="B1477" s="1832">
        <f>'Expenditures 15-22'!K234</f>
        <v>6835</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1351</v>
      </c>
      <c r="C1479" s="2" t="s">
        <v>569</v>
      </c>
      <c r="D1479" s="2" t="str">
        <f t="shared" si="22"/>
        <v>Error?</v>
      </c>
    </row>
    <row r="1480" spans="1:4" x14ac:dyDescent="0.2">
      <c r="A1480" s="5">
        <v>1419</v>
      </c>
      <c r="B1480" s="1832">
        <f>'Expenditures 15-22'!K237</f>
        <v>6863</v>
      </c>
      <c r="C1480" s="2" t="s">
        <v>569</v>
      </c>
      <c r="D1480" s="2" t="str">
        <f t="shared" si="22"/>
        <v>Error?</v>
      </c>
    </row>
    <row r="1481" spans="1:4" x14ac:dyDescent="0.2">
      <c r="A1481" s="5">
        <v>1420</v>
      </c>
      <c r="B1481" s="1832">
        <f>'Expenditures 15-22'!K238</f>
        <v>15621</v>
      </c>
      <c r="C1481" s="2" t="s">
        <v>569</v>
      </c>
      <c r="D1481" s="2" t="str">
        <f t="shared" si="22"/>
        <v>Error?</v>
      </c>
    </row>
    <row r="1482" spans="1:4" x14ac:dyDescent="0.2">
      <c r="A1482" s="5">
        <v>1421</v>
      </c>
      <c r="B1482" s="1832">
        <f>'Expenditures 15-22'!K240</f>
        <v>1</v>
      </c>
      <c r="C1482" s="2" t="s">
        <v>569</v>
      </c>
      <c r="D1482" s="2" t="str">
        <f t="shared" si="22"/>
        <v>Error?</v>
      </c>
    </row>
    <row r="1483" spans="1:4" x14ac:dyDescent="0.2">
      <c r="A1483" s="5">
        <v>1422</v>
      </c>
      <c r="B1483" s="1832">
        <f>'Expenditures 15-22'!K241</f>
        <v>1412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1413</v>
      </c>
      <c r="C1485" s="2" t="s">
        <v>569</v>
      </c>
      <c r="D1485" s="2" t="str">
        <f t="shared" si="22"/>
        <v>Error?</v>
      </c>
    </row>
    <row r="1486" spans="1:4" x14ac:dyDescent="0.2">
      <c r="A1486" s="5">
        <v>1425</v>
      </c>
      <c r="B1486" s="1832">
        <f>'Expenditures 15-22'!K245</f>
        <v>964</v>
      </c>
      <c r="C1486" s="2" t="s">
        <v>569</v>
      </c>
      <c r="D1486" s="2" t="str">
        <f t="shared" si="22"/>
        <v>Error?</v>
      </c>
    </row>
    <row r="1487" spans="1:4" x14ac:dyDescent="0.2">
      <c r="A1487" s="5">
        <v>1426</v>
      </c>
      <c r="B1487" s="1832">
        <f>'Expenditures 15-22'!K246</f>
        <v>1613</v>
      </c>
      <c r="C1487" s="2" t="s">
        <v>569</v>
      </c>
      <c r="D1487" s="2" t="str">
        <f t="shared" si="22"/>
        <v>Error?</v>
      </c>
    </row>
    <row r="1488" spans="1:4" x14ac:dyDescent="0.2">
      <c r="A1488" s="5">
        <v>1427</v>
      </c>
      <c r="B1488" s="1832">
        <f>'Expenditures 15-22'!K257</f>
        <v>2577</v>
      </c>
      <c r="C1488" s="2" t="s">
        <v>569</v>
      </c>
      <c r="D1488" s="2" t="str">
        <f t="shared" si="22"/>
        <v>Error?</v>
      </c>
    </row>
    <row r="1489" spans="1:4" x14ac:dyDescent="0.2">
      <c r="A1489" s="5">
        <v>1428</v>
      </c>
      <c r="B1489" s="1832">
        <f>'Expenditures 15-22'!K259</f>
        <v>15349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15349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26986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42270</v>
      </c>
      <c r="C1495" s="2" t="s">
        <v>569</v>
      </c>
      <c r="D1495" s="2" t="str">
        <f t="shared" si="22"/>
        <v>Error?</v>
      </c>
    </row>
    <row r="1496" spans="1:4" x14ac:dyDescent="0.2">
      <c r="A1496" s="5">
        <v>1435</v>
      </c>
      <c r="B1496" s="1832">
        <f>'Expenditures 15-22'!K267</f>
        <v>12907</v>
      </c>
      <c r="C1496" s="2" t="s">
        <v>569</v>
      </c>
      <c r="D1496" s="2" t="str">
        <f t="shared" si="22"/>
        <v>Error?</v>
      </c>
    </row>
    <row r="1497" spans="1:4" x14ac:dyDescent="0.2">
      <c r="A1497" s="5">
        <v>1436</v>
      </c>
      <c r="B1497" s="1832">
        <f>'Expenditures 15-22'!K268</f>
        <v>20740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102903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137863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222274</v>
      </c>
      <c r="C1517" s="2" t="s">
        <v>569</v>
      </c>
      <c r="D1517" s="2" t="str">
        <f t="shared" si="22"/>
        <v>Error?</v>
      </c>
    </row>
    <row r="1518" spans="1:4" x14ac:dyDescent="0.2">
      <c r="A1518" s="5">
        <v>1457</v>
      </c>
      <c r="B1518" s="1832">
        <f>'Expenditures 15-22'!K296</f>
        <v>-31151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65347</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65347</v>
      </c>
      <c r="C1535" s="2" t="s">
        <v>569</v>
      </c>
      <c r="D1535" s="2" t="str">
        <f t="shared" ref="D1535:D1598" si="23">IF(ISBLANK(B1535),"OK",IF(A1535-B1535=0,"OK","Error?"))</f>
        <v>Error?</v>
      </c>
    </row>
    <row r="1536" spans="1:4" x14ac:dyDescent="0.2">
      <c r="A1536" s="5">
        <v>1475</v>
      </c>
      <c r="B1536" s="1832">
        <f>'Expenditures 15-22'!E312</f>
        <v>65347</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65347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65347</v>
      </c>
      <c r="C1559" s="2" t="s">
        <v>569</v>
      </c>
      <c r="D1559" s="2" t="str">
        <f t="shared" si="23"/>
        <v>Error?</v>
      </c>
    </row>
    <row r="1560" spans="1:4" x14ac:dyDescent="0.2">
      <c r="A1560" s="5">
        <v>1499</v>
      </c>
      <c r="B1560" s="1832">
        <f>'Expenditures 15-22'!K312</f>
        <v>65347</v>
      </c>
      <c r="C1560" s="2" t="s">
        <v>569</v>
      </c>
      <c r="D1560" s="2" t="str">
        <f t="shared" si="23"/>
        <v>Error?</v>
      </c>
    </row>
    <row r="1561" spans="1:4" x14ac:dyDescent="0.2">
      <c r="A1561" s="5">
        <v>1500</v>
      </c>
      <c r="B1561" s="1832">
        <f>'Expenditures 15-22'!K313</f>
        <v>159692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272965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252285</v>
      </c>
      <c r="C1630" s="2" t="s">
        <v>569</v>
      </c>
      <c r="D1630" s="2" t="str">
        <f t="shared" si="24"/>
        <v>Error?</v>
      </c>
    </row>
    <row r="1631" spans="1:4" x14ac:dyDescent="0.2">
      <c r="A1631" s="5">
        <v>1570</v>
      </c>
      <c r="B1631" s="1832">
        <f>'Acct Summary 7-8'!D79</f>
        <v>111440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146442</v>
      </c>
      <c r="C1644" s="2" t="s">
        <v>569</v>
      </c>
      <c r="D1644" s="2" t="str">
        <f t="shared" si="24"/>
        <v>Error?</v>
      </c>
    </row>
    <row r="1645" spans="1:4" x14ac:dyDescent="0.2">
      <c r="A1645" s="5">
        <v>1584</v>
      </c>
      <c r="B1645" s="1832">
        <f>'Acct Summary 7-8'!E79</f>
        <v>89020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88978</v>
      </c>
      <c r="C1658" s="2" t="s">
        <v>569</v>
      </c>
      <c r="D1658" s="2" t="str">
        <f t="shared" si="24"/>
        <v>Error?</v>
      </c>
    </row>
    <row r="1659" spans="1:4" x14ac:dyDescent="0.2">
      <c r="A1659" s="5">
        <v>1598</v>
      </c>
      <c r="B1659" s="1832">
        <f>'Acct Summary 7-8'!F79</f>
        <v>172672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218264</v>
      </c>
      <c r="C1672" s="2" t="s">
        <v>569</v>
      </c>
      <c r="D1672" s="2" t="str">
        <f t="shared" si="25"/>
        <v>Error?</v>
      </c>
    </row>
    <row r="1673" spans="1:4" x14ac:dyDescent="0.2">
      <c r="A1673" s="5">
        <v>1612</v>
      </c>
      <c r="B1673" s="1832">
        <f>'Acct Summary 7-8'!G79</f>
        <v>87396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56245</v>
      </c>
      <c r="C1686" s="2" t="s">
        <v>569</v>
      </c>
      <c r="D1686" s="2" t="str">
        <f t="shared" si="25"/>
        <v>Error?</v>
      </c>
    </row>
    <row r="1687" spans="1:4" x14ac:dyDescent="0.2">
      <c r="A1687" s="5">
        <v>1626</v>
      </c>
      <c r="B1687" s="1832">
        <f>'Acct Summary 7-8'!H79</f>
        <v>296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159988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1026311</v>
      </c>
      <c r="C1744" s="2" t="s">
        <v>569</v>
      </c>
      <c r="D1744" s="2" t="str">
        <f t="shared" si="26"/>
        <v>Error?</v>
      </c>
    </row>
    <row r="1745" spans="1:5" x14ac:dyDescent="0.2">
      <c r="A1745" s="5">
        <v>1684</v>
      </c>
      <c r="B1745" s="1832">
        <f>'Tax Sched 23'!B5</f>
        <v>200132</v>
      </c>
      <c r="C1745" s="2" t="s">
        <v>569</v>
      </c>
      <c r="D1745" s="2" t="str">
        <f t="shared" si="26"/>
        <v>Error?</v>
      </c>
    </row>
    <row r="1746" spans="1:5" x14ac:dyDescent="0.2">
      <c r="A1746" s="5">
        <v>1685</v>
      </c>
      <c r="B1746" s="1832">
        <f>'Tax Sched 23'!B6</f>
        <v>338885</v>
      </c>
      <c r="C1746" s="2" t="s">
        <v>569</v>
      </c>
      <c r="D1746" s="2" t="str">
        <f t="shared" si="26"/>
        <v>Error?</v>
      </c>
    </row>
    <row r="1747" spans="1:5" x14ac:dyDescent="0.2">
      <c r="A1747" s="5">
        <v>1686</v>
      </c>
      <c r="B1747" s="1832">
        <f>'Tax Sched 23'!B7</f>
        <v>97633</v>
      </c>
      <c r="C1747" s="2" t="s">
        <v>569</v>
      </c>
      <c r="D1747" s="2" t="str">
        <f t="shared" si="26"/>
        <v>Error?</v>
      </c>
    </row>
    <row r="1748" spans="1:5" x14ac:dyDescent="0.2">
      <c r="A1748" s="5">
        <v>1687</v>
      </c>
      <c r="B1748" s="1832">
        <f>'Tax Sched 23'!B8</f>
        <v>97633</v>
      </c>
      <c r="C1748" s="2" t="s">
        <v>569</v>
      </c>
      <c r="D1748" s="2" t="str">
        <f t="shared" si="26"/>
        <v>Error?</v>
      </c>
    </row>
    <row r="1749" spans="1:5" x14ac:dyDescent="0.2">
      <c r="A1749" s="5">
        <v>1688</v>
      </c>
      <c r="B1749" s="1832">
        <f>'Tax Sched 23'!B10</f>
        <v>41980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70790</v>
      </c>
      <c r="C1752" s="2" t="s">
        <v>569</v>
      </c>
      <c r="D1752" s="2" t="str">
        <f t="shared" si="26"/>
        <v>Error?</v>
      </c>
    </row>
    <row r="1753" spans="1:5" x14ac:dyDescent="0.2">
      <c r="A1753" s="5">
        <v>1692</v>
      </c>
      <c r="B1753" s="1832">
        <f>'Tax Sched 23'!B12</f>
        <v>41980</v>
      </c>
      <c r="C1753" s="2" t="s">
        <v>569</v>
      </c>
      <c r="D1753" s="2" t="str">
        <f t="shared" si="26"/>
        <v>Error?</v>
      </c>
    </row>
    <row r="1754" spans="1:5" x14ac:dyDescent="0.2">
      <c r="A1754" s="5">
        <v>1693</v>
      </c>
      <c r="B1754" s="1832">
        <f>'Tax Sched 23'!B14</f>
        <v>16599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2019804</v>
      </c>
      <c r="C1759" s="2" t="s">
        <v>569</v>
      </c>
      <c r="D1759" s="2" t="str">
        <f t="shared" si="26"/>
        <v>Error?</v>
      </c>
    </row>
    <row r="1760" spans="1:5" x14ac:dyDescent="0.2">
      <c r="A1760" s="5">
        <v>1699</v>
      </c>
      <c r="B1760" s="1832">
        <f>'Tax Sched 23'!D4</f>
        <v>1026311</v>
      </c>
      <c r="C1760" s="2" t="s">
        <v>569</v>
      </c>
      <c r="D1760" s="2" t="str">
        <f t="shared" si="26"/>
        <v>Error?</v>
      </c>
    </row>
    <row r="1761" spans="1:7" x14ac:dyDescent="0.2">
      <c r="A1761" s="5">
        <v>1700</v>
      </c>
      <c r="B1761" s="1832">
        <f>'Tax Sched 23'!D5</f>
        <v>200132</v>
      </c>
      <c r="C1761" s="2" t="s">
        <v>569</v>
      </c>
      <c r="D1761" s="2" t="str">
        <f t="shared" si="26"/>
        <v>Error?</v>
      </c>
    </row>
    <row r="1762" spans="1:7" s="8" customFormat="1" x14ac:dyDescent="0.2">
      <c r="A1762" s="5">
        <v>1701</v>
      </c>
      <c r="B1762" s="1832">
        <f>'Tax Sched 23'!D6</f>
        <v>338885</v>
      </c>
      <c r="C1762" s="2" t="s">
        <v>569</v>
      </c>
      <c r="D1762" s="2" t="str">
        <f t="shared" si="26"/>
        <v>Error?</v>
      </c>
      <c r="E1762" s="9"/>
      <c r="G1762"/>
    </row>
    <row r="1763" spans="1:7" x14ac:dyDescent="0.2">
      <c r="A1763" s="5">
        <v>1702</v>
      </c>
      <c r="B1763" s="1832">
        <f>'Tax Sched 23'!D7</f>
        <v>97633</v>
      </c>
      <c r="C1763" s="2" t="s">
        <v>569</v>
      </c>
      <c r="D1763" s="2" t="str">
        <f t="shared" si="26"/>
        <v>Error?</v>
      </c>
    </row>
    <row r="1764" spans="1:7" x14ac:dyDescent="0.2">
      <c r="A1764" s="5">
        <v>1703</v>
      </c>
      <c r="B1764" s="1832">
        <f>'Tax Sched 23'!D8</f>
        <v>97633</v>
      </c>
      <c r="C1764" s="2" t="s">
        <v>569</v>
      </c>
      <c r="D1764" s="2" t="str">
        <f t="shared" si="26"/>
        <v>Error?</v>
      </c>
    </row>
    <row r="1765" spans="1:7" x14ac:dyDescent="0.2">
      <c r="A1765" s="5">
        <v>1704</v>
      </c>
      <c r="B1765" s="1832">
        <f>'Tax Sched 23'!D10</f>
        <v>41980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70790</v>
      </c>
      <c r="C1768" s="2" t="s">
        <v>569</v>
      </c>
      <c r="D1768" s="2" t="str">
        <f t="shared" si="26"/>
        <v>Error?</v>
      </c>
    </row>
    <row r="1769" spans="1:7" x14ac:dyDescent="0.2">
      <c r="A1769" s="5">
        <v>1708</v>
      </c>
      <c r="B1769" s="1832">
        <f>'Tax Sched 23'!D12</f>
        <v>41980</v>
      </c>
      <c r="C1769" s="2" t="s">
        <v>569</v>
      </c>
      <c r="D1769" s="2" t="str">
        <f t="shared" si="26"/>
        <v>Error?</v>
      </c>
    </row>
    <row r="1770" spans="1:7" x14ac:dyDescent="0.2">
      <c r="A1770" s="5">
        <v>1709</v>
      </c>
      <c r="B1770" s="1832">
        <f>'Tax Sched 23'!D14</f>
        <v>16599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2019804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1067956</v>
      </c>
      <c r="C1792" s="2" t="s">
        <v>569</v>
      </c>
      <c r="D1792" s="2" t="str">
        <f t="shared" si="27"/>
        <v>Error?</v>
      </c>
    </row>
    <row r="1793" spans="1:4" x14ac:dyDescent="0.2">
      <c r="A1793" s="5">
        <v>1732</v>
      </c>
      <c r="B1793" s="1832">
        <f>'Tax Sched 23'!F5</f>
        <v>218843</v>
      </c>
      <c r="C1793" s="2" t="s">
        <v>569</v>
      </c>
      <c r="D1793" s="2" t="str">
        <f t="shared" si="27"/>
        <v>Error?</v>
      </c>
    </row>
    <row r="1794" spans="1:4" x14ac:dyDescent="0.2">
      <c r="A1794" s="5">
        <v>1733</v>
      </c>
      <c r="B1794" s="1832">
        <f>'Tax Sched 23'!F6</f>
        <v>343917</v>
      </c>
      <c r="C1794" s="2" t="s">
        <v>569</v>
      </c>
      <c r="D1794" s="2" t="str">
        <f t="shared" si="27"/>
        <v>Error?</v>
      </c>
    </row>
    <row r="1795" spans="1:4" x14ac:dyDescent="0.2">
      <c r="A1795" s="5">
        <v>1734</v>
      </c>
      <c r="B1795" s="1832">
        <f>'Tax Sched 23'!F7</f>
        <v>98007</v>
      </c>
      <c r="C1795" s="2" t="s">
        <v>569</v>
      </c>
      <c r="D1795" s="2" t="str">
        <f t="shared" si="27"/>
        <v>Error?</v>
      </c>
    </row>
    <row r="1796" spans="1:4" x14ac:dyDescent="0.2">
      <c r="A1796" s="5">
        <v>1735</v>
      </c>
      <c r="B1796" s="1832">
        <f>'Tax Sched 23'!F8</f>
        <v>106008</v>
      </c>
      <c r="C1796" s="2" t="s">
        <v>569</v>
      </c>
      <c r="D1796" s="2" t="str">
        <f t="shared" si="27"/>
        <v>Error?</v>
      </c>
    </row>
    <row r="1797" spans="1:4" x14ac:dyDescent="0.2">
      <c r="A1797" s="5">
        <v>1736</v>
      </c>
      <c r="B1797" s="1832">
        <f>'Tax Sched 23'!F10</f>
        <v>10006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90006</v>
      </c>
      <c r="C1800" s="2" t="s">
        <v>569</v>
      </c>
      <c r="D1800" s="2" t="str">
        <f t="shared" si="27"/>
        <v>Error?</v>
      </c>
    </row>
    <row r="1801" spans="1:4" x14ac:dyDescent="0.2">
      <c r="A1801" s="5">
        <v>1740</v>
      </c>
      <c r="B1801" s="1832">
        <f>'Tax Sched 23'!F12</f>
        <v>10006</v>
      </c>
      <c r="C1801" s="2" t="s">
        <v>569</v>
      </c>
      <c r="D1801" s="2" t="str">
        <f t="shared" si="27"/>
        <v>Error?</v>
      </c>
    </row>
    <row r="1802" spans="1:4" x14ac:dyDescent="0.2">
      <c r="A1802" s="5">
        <v>1741</v>
      </c>
      <c r="B1802" s="1832">
        <f>'Tax Sched 23'!F14</f>
        <v>17507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2068264</v>
      </c>
      <c r="C1807" s="2" t="s">
        <v>569</v>
      </c>
      <c r="D1807" s="2" t="str">
        <f t="shared" si="27"/>
        <v>Error?</v>
      </c>
    </row>
    <row r="1808" spans="1:4" x14ac:dyDescent="0.2">
      <c r="A1808" s="5">
        <v>1747</v>
      </c>
      <c r="B1808" s="1832">
        <f>'Tax Sched 23'!E4</f>
        <v>1067956</v>
      </c>
      <c r="D1808" s="2" t="str">
        <f t="shared" si="27"/>
        <v>Error?</v>
      </c>
    </row>
    <row r="1809" spans="1:4" x14ac:dyDescent="0.2">
      <c r="A1809" s="5">
        <v>1748</v>
      </c>
      <c r="B1809" s="1832">
        <f>'Tax Sched 23'!E5</f>
        <v>218843</v>
      </c>
      <c r="D1809" s="2" t="str">
        <f t="shared" si="27"/>
        <v>Error?</v>
      </c>
    </row>
    <row r="1810" spans="1:4" x14ac:dyDescent="0.2">
      <c r="A1810" s="5">
        <v>1749</v>
      </c>
      <c r="B1810" s="1832">
        <f>'Tax Sched 23'!E6</f>
        <v>343917</v>
      </c>
      <c r="D1810" s="2" t="str">
        <f t="shared" si="27"/>
        <v>Error?</v>
      </c>
    </row>
    <row r="1811" spans="1:4" x14ac:dyDescent="0.2">
      <c r="A1811" s="5">
        <v>1750</v>
      </c>
      <c r="B1811" s="1832">
        <f>'Tax Sched 23'!E7</f>
        <v>98007</v>
      </c>
      <c r="D1811" s="2" t="str">
        <f t="shared" si="27"/>
        <v>Error?</v>
      </c>
    </row>
    <row r="1812" spans="1:4" x14ac:dyDescent="0.2">
      <c r="A1812" s="5">
        <v>1751</v>
      </c>
      <c r="B1812" s="1832">
        <f>'Tax Sched 23'!E8</f>
        <v>106008</v>
      </c>
      <c r="D1812" s="2" t="str">
        <f t="shared" si="27"/>
        <v>Error?</v>
      </c>
    </row>
    <row r="1813" spans="1:4" x14ac:dyDescent="0.2">
      <c r="A1813" s="5">
        <v>1752</v>
      </c>
      <c r="B1813" s="1832">
        <f>'Tax Sched 23'!E10</f>
        <v>10006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90006</v>
      </c>
      <c r="D1816" s="2" t="str">
        <f t="shared" si="27"/>
        <v>Error?</v>
      </c>
    </row>
    <row r="1817" spans="1:4" x14ac:dyDescent="0.2">
      <c r="A1817" s="5">
        <v>1756</v>
      </c>
      <c r="B1817" s="1832">
        <f>'Tax Sched 23'!E12</f>
        <v>10006</v>
      </c>
      <c r="D1817" s="2" t="str">
        <f t="shared" si="27"/>
        <v>Error?</v>
      </c>
    </row>
    <row r="1818" spans="1:4" x14ac:dyDescent="0.2">
      <c r="A1818" s="5">
        <v>1757</v>
      </c>
      <c r="B1818" s="1832">
        <f>'Tax Sched 23'!E14</f>
        <v>17507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2068264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658600</v>
      </c>
      <c r="C1939" s="2" t="s">
        <v>569</v>
      </c>
      <c r="D1939" s="2" t="str">
        <f t="shared" si="29"/>
        <v>Error?</v>
      </c>
    </row>
    <row r="1940" spans="1:5" x14ac:dyDescent="0.2">
      <c r="A1940" s="5">
        <v>1879</v>
      </c>
      <c r="B1940" s="1832">
        <f>'Short-Term Long-Term Debt 24'!F49</f>
        <v>98555</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16599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16599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16599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299522</v>
      </c>
      <c r="D2008" s="2" t="str">
        <f t="shared" si="30"/>
        <v>Error?</v>
      </c>
    </row>
    <row r="2009" spans="1:4" x14ac:dyDescent="0.2">
      <c r="A2009" s="5">
        <v>1948</v>
      </c>
      <c r="B2009" s="1832">
        <f>'Cap Outlay Deprec 26'!C8</f>
        <v>6440978</v>
      </c>
      <c r="D2009" s="2" t="str">
        <f t="shared" si="30"/>
        <v>Error?</v>
      </c>
    </row>
    <row r="2010" spans="1:4" x14ac:dyDescent="0.2">
      <c r="A2010" s="5">
        <v>1949</v>
      </c>
      <c r="B2010" s="1832">
        <f>'Cap Outlay Deprec 26'!C10</f>
        <v>182220</v>
      </c>
      <c r="D2010" s="2" t="str">
        <f t="shared" si="30"/>
        <v>Error?</v>
      </c>
    </row>
    <row r="2011" spans="1:4" x14ac:dyDescent="0.2">
      <c r="A2011" s="5">
        <v>1950</v>
      </c>
      <c r="B2011" s="1832">
        <f>'Cap Outlay Deprec 26'!C12</f>
        <v>1559069</v>
      </c>
      <c r="D2011" s="2" t="str">
        <f t="shared" si="30"/>
        <v>Error?</v>
      </c>
    </row>
    <row r="2012" spans="1:4" x14ac:dyDescent="0.2">
      <c r="A2012" s="5">
        <v>1951</v>
      </c>
      <c r="B2012" s="1832">
        <f>'Cap Outlay Deprec 26'!C13</f>
        <v>757332</v>
      </c>
      <c r="D2012" s="2" t="str">
        <f t="shared" si="30"/>
        <v>Error?</v>
      </c>
    </row>
    <row r="2013" spans="1:4" x14ac:dyDescent="0.2">
      <c r="A2013" s="5">
        <v>1952</v>
      </c>
      <c r="B2013" s="1832">
        <f>'Cap Outlay Deprec 26'!C16</f>
        <v>9465049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65887</v>
      </c>
      <c r="D2017" s="2" t="str">
        <f t="shared" si="30"/>
        <v>Error?</v>
      </c>
    </row>
    <row r="2018" spans="1:4" x14ac:dyDescent="0.2">
      <c r="A2018" s="5">
        <v>1957</v>
      </c>
      <c r="B2018" s="1832">
        <f>'Cap Outlay Deprec 26'!D13</f>
        <v>98555</v>
      </c>
      <c r="D2018" s="2" t="str">
        <f t="shared" si="30"/>
        <v>Error?</v>
      </c>
    </row>
    <row r="2019" spans="1:4" x14ac:dyDescent="0.2">
      <c r="A2019" s="5">
        <v>1958</v>
      </c>
      <c r="B2019" s="1832">
        <f>'Cap Outlay Deprec 26'!D16</f>
        <v>195504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1285969</v>
      </c>
      <c r="D2023" s="2" t="str">
        <f t="shared" si="30"/>
        <v>Error?</v>
      </c>
    </row>
    <row r="2024" spans="1:4" x14ac:dyDescent="0.2">
      <c r="A2024" s="5">
        <v>1963</v>
      </c>
      <c r="B2024" s="1832">
        <f>'Cap Outlay Deprec 26'!E13</f>
        <v>336822</v>
      </c>
      <c r="D2024" s="2" t="str">
        <f t="shared" si="30"/>
        <v>Error?</v>
      </c>
    </row>
    <row r="2025" spans="1:4" x14ac:dyDescent="0.2">
      <c r="A2025" s="5">
        <v>1964</v>
      </c>
      <c r="B2025" s="1832">
        <f>'Cap Outlay Deprec 26'!E16</f>
        <v>1627112</v>
      </c>
      <c r="C2025" s="2" t="s">
        <v>569</v>
      </c>
      <c r="D2025" s="2" t="str">
        <f t="shared" si="30"/>
        <v>Error?</v>
      </c>
    </row>
    <row r="2026" spans="1:4" x14ac:dyDescent="0.2">
      <c r="A2026" s="5">
        <v>1965</v>
      </c>
      <c r="B2026" s="1832">
        <f>'Cap Outlay Deprec 26'!F5</f>
        <v>299522</v>
      </c>
      <c r="C2026" s="2" t="s">
        <v>569</v>
      </c>
      <c r="D2026" s="2" t="str">
        <f t="shared" si="30"/>
        <v>Error?</v>
      </c>
    </row>
    <row r="2027" spans="1:4" x14ac:dyDescent="0.2">
      <c r="A2027" s="5">
        <v>1966</v>
      </c>
      <c r="B2027" s="1832">
        <f>'Cap Outlay Deprec 26'!F8</f>
        <v>6440978</v>
      </c>
      <c r="C2027" s="2" t="s">
        <v>569</v>
      </c>
      <c r="D2027" s="2" t="str">
        <f t="shared" si="30"/>
        <v>Error?</v>
      </c>
    </row>
    <row r="2028" spans="1:4" x14ac:dyDescent="0.2">
      <c r="A2028" s="5">
        <v>1967</v>
      </c>
      <c r="B2028" s="1832">
        <f>'Cap Outlay Deprec 26'!F10</f>
        <v>182220</v>
      </c>
      <c r="C2028" s="2" t="s">
        <v>569</v>
      </c>
      <c r="D2028" s="2" t="str">
        <f t="shared" si="30"/>
        <v>Error?</v>
      </c>
    </row>
    <row r="2029" spans="1:4" x14ac:dyDescent="0.2">
      <c r="A2029" s="5">
        <v>1968</v>
      </c>
      <c r="B2029" s="1832">
        <f>'Cap Outlay Deprec 26'!F12</f>
        <v>338987</v>
      </c>
      <c r="C2029" s="2" t="s">
        <v>569</v>
      </c>
      <c r="D2029" s="2" t="str">
        <f t="shared" si="30"/>
        <v>Error?</v>
      </c>
    </row>
    <row r="2030" spans="1:4" x14ac:dyDescent="0.2">
      <c r="A2030" s="5">
        <v>1969</v>
      </c>
      <c r="B2030" s="1832">
        <f>'Cap Outlay Deprec 26'!F13</f>
        <v>519065</v>
      </c>
      <c r="C2030" s="2" t="s">
        <v>569</v>
      </c>
      <c r="D2030" s="2" t="str">
        <f t="shared" si="30"/>
        <v>Error?</v>
      </c>
    </row>
    <row r="2031" spans="1:4" x14ac:dyDescent="0.2">
      <c r="A2031" s="5">
        <v>1970</v>
      </c>
      <c r="B2031" s="1832">
        <f>'Cap Outlay Deprec 26'!F16</f>
        <v>8033441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1954021</v>
      </c>
      <c r="D2033" s="2" t="str">
        <f t="shared" si="30"/>
        <v>Error?</v>
      </c>
    </row>
    <row r="2034" spans="1:4" x14ac:dyDescent="0.2">
      <c r="A2034" s="5">
        <v>1973</v>
      </c>
      <c r="B2034" s="1832">
        <f>'Cap Outlay Deprec 26'!H10</f>
        <v>142591</v>
      </c>
      <c r="D2034" s="2" t="str">
        <f t="shared" si="30"/>
        <v>Error?</v>
      </c>
    </row>
    <row r="2035" spans="1:4" x14ac:dyDescent="0.2">
      <c r="A2035" s="5">
        <v>1974</v>
      </c>
      <c r="B2035" s="1832">
        <f>'Cap Outlay Deprec 26'!H12</f>
        <v>1411135</v>
      </c>
      <c r="D2035" s="2" t="str">
        <f t="shared" si="30"/>
        <v>Error?</v>
      </c>
    </row>
    <row r="2036" spans="1:4" x14ac:dyDescent="0.2">
      <c r="A2036" s="5">
        <v>1975</v>
      </c>
      <c r="B2036" s="1832">
        <f>'Cap Outlay Deprec 26'!H13</f>
        <v>692612</v>
      </c>
      <c r="D2036" s="2" t="str">
        <f t="shared" si="30"/>
        <v>Error?</v>
      </c>
    </row>
    <row r="2037" spans="1:4" x14ac:dyDescent="0.2">
      <c r="A2037" s="5">
        <v>1976</v>
      </c>
      <c r="B2037" s="1832">
        <f>'Cap Outlay Deprec 26'!H16</f>
        <v>4405985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128820</v>
      </c>
      <c r="D2039" s="2" t="str">
        <f t="shared" si="30"/>
        <v>Error?</v>
      </c>
    </row>
    <row r="2040" spans="1:4" x14ac:dyDescent="0.2">
      <c r="A2040" s="5">
        <v>1979</v>
      </c>
      <c r="B2040" s="1832">
        <f>'Cap Outlay Deprec 26'!I10</f>
        <v>3888</v>
      </c>
      <c r="D2040" s="2" t="str">
        <f t="shared" si="30"/>
        <v>Error?</v>
      </c>
    </row>
    <row r="2041" spans="1:4" x14ac:dyDescent="0.2">
      <c r="A2041" s="5">
        <v>1980</v>
      </c>
      <c r="B2041" s="1832">
        <f>'Cap Outlay Deprec 26'!I12</f>
        <v>29349</v>
      </c>
      <c r="D2041" s="2" t="str">
        <f t="shared" si="30"/>
        <v>Error?</v>
      </c>
    </row>
    <row r="2042" spans="1:4" x14ac:dyDescent="0.2">
      <c r="A2042" s="5">
        <v>1981</v>
      </c>
      <c r="B2042" s="1832">
        <f>'Cap Outlay Deprec 26'!I13</f>
        <v>35891</v>
      </c>
      <c r="D2042" s="2" t="str">
        <f t="shared" si="30"/>
        <v>Error?</v>
      </c>
    </row>
    <row r="2043" spans="1:4" x14ac:dyDescent="0.2">
      <c r="A2043" s="5">
        <v>1982</v>
      </c>
      <c r="B2043" s="1832">
        <f>'Cap Outlay Deprec 26'!I16</f>
        <v>225357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1285969</v>
      </c>
      <c r="D2047" s="2" t="str">
        <f t="shared" ref="D2047:D2110" si="31">IF(ISBLANK(B2047),"OK",IF(A2047-B2047=0,"OK","Error?"))</f>
        <v>Error?</v>
      </c>
    </row>
    <row r="2048" spans="1:4" x14ac:dyDescent="0.2">
      <c r="A2048" s="5">
        <v>1987</v>
      </c>
      <c r="B2048" s="1832">
        <f>'Cap Outlay Deprec 26'!J13</f>
        <v>336822</v>
      </c>
      <c r="D2048" s="2" t="str">
        <f t="shared" si="31"/>
        <v>Error?</v>
      </c>
    </row>
    <row r="2049" spans="1:4" x14ac:dyDescent="0.2">
      <c r="A2049" s="5">
        <v>1988</v>
      </c>
      <c r="B2049" s="1832">
        <f>'Cap Outlay Deprec 26'!J16</f>
        <v>1627112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2082841</v>
      </c>
      <c r="C2051" s="2" t="s">
        <v>569</v>
      </c>
      <c r="D2051" s="2" t="str">
        <f t="shared" si="31"/>
        <v>Error?</v>
      </c>
    </row>
    <row r="2052" spans="1:4" x14ac:dyDescent="0.2">
      <c r="A2052" s="5">
        <v>1991</v>
      </c>
      <c r="B2052" s="1832">
        <f>'Cap Outlay Deprec 26'!K10</f>
        <v>146479</v>
      </c>
      <c r="C2052" s="2" t="s">
        <v>569</v>
      </c>
      <c r="D2052" s="2" t="str">
        <f t="shared" si="31"/>
        <v>Error?</v>
      </c>
    </row>
    <row r="2053" spans="1:4" x14ac:dyDescent="0.2">
      <c r="A2053" s="5">
        <v>1992</v>
      </c>
      <c r="B2053" s="1832">
        <f>'Cap Outlay Deprec 26'!K12</f>
        <v>154515</v>
      </c>
      <c r="C2053" s="2" t="s">
        <v>569</v>
      </c>
      <c r="D2053" s="2" t="str">
        <f t="shared" si="31"/>
        <v>Error?</v>
      </c>
    </row>
    <row r="2054" spans="1:4" x14ac:dyDescent="0.2">
      <c r="A2054" s="5">
        <v>1993</v>
      </c>
      <c r="B2054" s="1832">
        <f>'Cap Outlay Deprec 26'!K13</f>
        <v>391681</v>
      </c>
      <c r="C2054" s="2" t="s">
        <v>569</v>
      </c>
      <c r="D2054" s="2" t="str">
        <f t="shared" si="31"/>
        <v>Error?</v>
      </c>
    </row>
    <row r="2055" spans="1:4" x14ac:dyDescent="0.2">
      <c r="A2055" s="5">
        <v>1994</v>
      </c>
      <c r="B2055" s="1832">
        <f>'Cap Outlay Deprec 26'!K16</f>
        <v>3004230</v>
      </c>
      <c r="C2055" s="2" t="s">
        <v>569</v>
      </c>
      <c r="D2055" s="2" t="str">
        <f t="shared" si="31"/>
        <v>Error?</v>
      </c>
    </row>
    <row r="2056" spans="1:4" x14ac:dyDescent="0.2">
      <c r="A2056" s="5">
        <v>1995</v>
      </c>
      <c r="B2056" s="1832">
        <f>'Cap Outlay Deprec 26'!L5</f>
        <v>299522</v>
      </c>
      <c r="C2056" s="2" t="s">
        <v>569</v>
      </c>
      <c r="D2056" s="2" t="str">
        <f t="shared" si="31"/>
        <v>Error?</v>
      </c>
    </row>
    <row r="2057" spans="1:4" x14ac:dyDescent="0.2">
      <c r="A2057" s="5">
        <v>1996</v>
      </c>
      <c r="B2057" s="1832">
        <f>'Cap Outlay Deprec 26'!L8</f>
        <v>4358137</v>
      </c>
      <c r="C2057" s="2" t="s">
        <v>569</v>
      </c>
      <c r="D2057" s="2" t="str">
        <f t="shared" si="31"/>
        <v>Error?</v>
      </c>
    </row>
    <row r="2058" spans="1:4" x14ac:dyDescent="0.2">
      <c r="A2058" s="5">
        <v>1997</v>
      </c>
      <c r="B2058" s="1832">
        <f>'Cap Outlay Deprec 26'!L10</f>
        <v>35741</v>
      </c>
      <c r="C2058" s="2" t="s">
        <v>569</v>
      </c>
      <c r="D2058" s="2" t="str">
        <f t="shared" si="31"/>
        <v>Error?</v>
      </c>
    </row>
    <row r="2059" spans="1:4" x14ac:dyDescent="0.2">
      <c r="A2059" s="5">
        <v>1998</v>
      </c>
      <c r="B2059" s="1832">
        <f>'Cap Outlay Deprec 26'!L12</f>
        <v>184472</v>
      </c>
      <c r="C2059" s="2" t="s">
        <v>569</v>
      </c>
      <c r="D2059" s="2" t="str">
        <f t="shared" si="31"/>
        <v>Error?</v>
      </c>
    </row>
    <row r="2060" spans="1:4" x14ac:dyDescent="0.2">
      <c r="A2060" s="5">
        <v>1999</v>
      </c>
      <c r="B2060" s="1832">
        <f>'Cap Outlay Deprec 26'!L13</f>
        <v>127384</v>
      </c>
      <c r="C2060" s="2" t="s">
        <v>569</v>
      </c>
      <c r="D2060" s="2" t="str">
        <f t="shared" si="31"/>
        <v>Error?</v>
      </c>
    </row>
    <row r="2061" spans="1:4" x14ac:dyDescent="0.2">
      <c r="A2061" s="5">
        <v>2000</v>
      </c>
      <c r="B2061" s="1832">
        <f>'Cap Outlay Deprec 26'!L16</f>
        <v>5029211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433093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433093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25000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56245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88978</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159988</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1256784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3596453</v>
      </c>
      <c r="C2553" s="2" t="s">
        <v>569</v>
      </c>
      <c r="D2553" s="2" t="str">
        <f t="shared" si="38"/>
        <v>Error?</v>
      </c>
    </row>
    <row r="2554" spans="1:4" x14ac:dyDescent="0.2">
      <c r="A2554" s="5">
        <v>2493</v>
      </c>
      <c r="B2554" s="1832">
        <f>'Acct Summary 7-8'!C7</f>
        <v>934373</v>
      </c>
      <c r="C2554" s="2" t="s">
        <v>569</v>
      </c>
      <c r="D2554" s="2" t="str">
        <f t="shared" si="38"/>
        <v>Error?</v>
      </c>
    </row>
    <row r="2555" spans="1:4" x14ac:dyDescent="0.2">
      <c r="A2555" s="5">
        <v>2494</v>
      </c>
      <c r="B2555" s="1832">
        <f>'Acct Summary 7-8'!C8</f>
        <v>5787610</v>
      </c>
      <c r="C2555" s="2" t="s">
        <v>569</v>
      </c>
      <c r="D2555" s="2" t="str">
        <f t="shared" si="38"/>
        <v>Error?</v>
      </c>
    </row>
    <row r="2556" spans="1:4" x14ac:dyDescent="0.2">
      <c r="A2556" s="5">
        <v>2495</v>
      </c>
      <c r="B2556" s="1832">
        <f>'Acct Summary 7-8'!C12</f>
        <v>3926569</v>
      </c>
      <c r="C2556" s="2" t="s">
        <v>569</v>
      </c>
      <c r="D2556" s="2" t="str">
        <f t="shared" si="38"/>
        <v>Error?</v>
      </c>
    </row>
    <row r="2557" spans="1:4" x14ac:dyDescent="0.2">
      <c r="A2557" s="5">
        <v>2496</v>
      </c>
      <c r="B2557" s="1832">
        <f>'Acct Summary 7-8'!C13</f>
        <v>1448628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433093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5808290</v>
      </c>
      <c r="C2561" s="2" t="s">
        <v>569</v>
      </c>
      <c r="D2561" s="2" t="str">
        <f t="shared" si="39"/>
        <v>Error?</v>
      </c>
    </row>
    <row r="2562" spans="1:4" x14ac:dyDescent="0.2">
      <c r="A2562" s="5">
        <v>2501</v>
      </c>
      <c r="B2562" s="1832">
        <f>'Acct Summary 7-8'!C20</f>
        <v>-20680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200390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200390</v>
      </c>
      <c r="C2568" s="2" t="s">
        <v>569</v>
      </c>
      <c r="D2568" s="2" t="str">
        <f t="shared" si="39"/>
        <v>Error?</v>
      </c>
    </row>
    <row r="2569" spans="1:4" x14ac:dyDescent="0.2">
      <c r="A2569" s="5">
        <v>2508</v>
      </c>
      <c r="B2569" s="1832">
        <f>'Acct Summary 7-8'!D13</f>
        <v>165388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165388</v>
      </c>
      <c r="C2573" s="2" t="s">
        <v>569</v>
      </c>
      <c r="D2573" s="2" t="str">
        <f t="shared" si="39"/>
        <v>Error?</v>
      </c>
    </row>
    <row r="2574" spans="1:4" x14ac:dyDescent="0.2">
      <c r="A2574" s="5">
        <v>2513</v>
      </c>
      <c r="B2574" s="1832">
        <f>'Acct Summary 7-8'!D20</f>
        <v>35002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98900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106739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205639</v>
      </c>
      <c r="C2595" s="2" t="s">
        <v>569</v>
      </c>
      <c r="D2595" s="2" t="str">
        <f t="shared" si="39"/>
        <v>Error?</v>
      </c>
    </row>
    <row r="2596" spans="1:4" x14ac:dyDescent="0.2">
      <c r="A2596" s="5">
        <v>2535</v>
      </c>
      <c r="B2596" s="1832">
        <f>'Acct Summary 7-8'!F13</f>
        <v>225602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225602</v>
      </c>
      <c r="C2600" s="2" t="s">
        <v>569</v>
      </c>
      <c r="D2600" s="2" t="str">
        <f t="shared" si="39"/>
        <v>Error?</v>
      </c>
    </row>
    <row r="2601" spans="1:4" x14ac:dyDescent="0.2">
      <c r="A2601" s="5">
        <v>2540</v>
      </c>
      <c r="B2601" s="1832">
        <f>'Acct Summary 7-8'!F20</f>
        <v>-19963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191123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191123</v>
      </c>
      <c r="C2606" s="2" t="s">
        <v>569</v>
      </c>
      <c r="D2606" s="2" t="str">
        <f t="shared" si="39"/>
        <v>Error?</v>
      </c>
    </row>
    <row r="2607" spans="1:4" x14ac:dyDescent="0.2">
      <c r="A2607" s="5">
        <v>2546</v>
      </c>
      <c r="B2607" s="1832">
        <f>'Acct Summary 7-8'!G12</f>
        <v>84411</v>
      </c>
      <c r="C2607" s="2" t="s">
        <v>569</v>
      </c>
      <c r="D2607" s="2" t="str">
        <f t="shared" si="39"/>
        <v>Error?</v>
      </c>
    </row>
    <row r="2608" spans="1:4" x14ac:dyDescent="0.2">
      <c r="A2608" s="5">
        <v>2547</v>
      </c>
      <c r="B2608" s="1832">
        <f>'Acct Summary 7-8'!G13</f>
        <v>137863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222274</v>
      </c>
      <c r="C2612" s="2" t="s">
        <v>569</v>
      </c>
      <c r="D2612" s="2" t="str">
        <f t="shared" si="39"/>
        <v>Error?</v>
      </c>
    </row>
    <row r="2613" spans="1:4" x14ac:dyDescent="0.2">
      <c r="A2613" s="5">
        <v>2552</v>
      </c>
      <c r="B2613" s="1832">
        <f>'Acct Summary 7-8'!G20</f>
        <v>-31151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339512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339512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372554</v>
      </c>
      <c r="C2634" s="2" t="s">
        <v>569</v>
      </c>
      <c r="D2634" s="2" t="str">
        <f t="shared" si="40"/>
        <v>Error?</v>
      </c>
    </row>
    <row r="2635" spans="1:4" x14ac:dyDescent="0.2">
      <c r="A2635" s="5">
        <v>2574</v>
      </c>
      <c r="B2635" s="1832">
        <f>'Acct Summary 7-8'!E17</f>
        <v>372554</v>
      </c>
      <c r="C2635" s="2" t="s">
        <v>569</v>
      </c>
      <c r="D2635" s="2" t="str">
        <f t="shared" si="40"/>
        <v>Error?</v>
      </c>
    </row>
    <row r="2636" spans="1:4" x14ac:dyDescent="0.2">
      <c r="A2636" s="5">
        <v>2575</v>
      </c>
      <c r="B2636" s="1832">
        <f>'Acct Summary 7-8'!E20</f>
        <v>-33042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175039</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225039</v>
      </c>
      <c r="C2658" s="2" t="s">
        <v>569</v>
      </c>
      <c r="D2658" s="2" t="str">
        <f t="shared" si="40"/>
        <v>Error?</v>
      </c>
    </row>
    <row r="2659" spans="1:4" x14ac:dyDescent="0.2">
      <c r="A2659" s="5">
        <v>2598</v>
      </c>
      <c r="B2659" s="1832">
        <f>'Acct Summary 7-8'!H13</f>
        <v>65347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65347</v>
      </c>
      <c r="C2661" s="2" t="s">
        <v>569</v>
      </c>
      <c r="D2661" s="2" t="str">
        <f t="shared" si="40"/>
        <v>Error?</v>
      </c>
    </row>
    <row r="2662" spans="1:4" x14ac:dyDescent="0.2">
      <c r="A2662" s="5">
        <v>2601</v>
      </c>
      <c r="B2662" s="1832">
        <f>'Acct Summary 7-8'!H20</f>
        <v>159692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335200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2126386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71929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2126386</v>
      </c>
      <c r="D2912" s="2" t="str">
        <f t="shared" si="44"/>
        <v>Error?</v>
      </c>
    </row>
    <row r="2913" spans="1:4" x14ac:dyDescent="0.2">
      <c r="A2913" s="5">
        <v>2852</v>
      </c>
      <c r="B2913" s="1832">
        <f>'Assets-Liab 5-6'!I41</f>
        <v>2126386</v>
      </c>
      <c r="C2913" s="2" t="s">
        <v>569</v>
      </c>
      <c r="D2913" s="2" t="str">
        <f t="shared" si="44"/>
        <v>Error?</v>
      </c>
    </row>
    <row r="2914" spans="1:4" x14ac:dyDescent="0.2">
      <c r="A2914" s="5">
        <v>2853</v>
      </c>
      <c r="B2914" s="1832">
        <f>'Assets-Liab 5-6'!L33</f>
        <v>71929</v>
      </c>
      <c r="D2914" s="2" t="str">
        <f t="shared" si="44"/>
        <v>Error?</v>
      </c>
    </row>
    <row r="2915" spans="1:4" x14ac:dyDescent="0.2">
      <c r="A2915" s="10">
        <v>2854</v>
      </c>
      <c r="B2915" s="1832"/>
      <c r="D2915" s="2" t="str">
        <f t="shared" si="44"/>
        <v>OK</v>
      </c>
    </row>
    <row r="2916" spans="1:4" x14ac:dyDescent="0.2">
      <c r="A2916" s="5">
        <v>2855</v>
      </c>
      <c r="B2916" s="1832">
        <f>'Assets-Liab 5-6'!L34</f>
        <v>71929</v>
      </c>
      <c r="C2916" s="2" t="s">
        <v>569</v>
      </c>
      <c r="D2916" s="2" t="str">
        <f t="shared" si="44"/>
        <v>Error?</v>
      </c>
    </row>
    <row r="2917" spans="1:4" x14ac:dyDescent="0.2">
      <c r="A2917" s="5">
        <v>2856</v>
      </c>
      <c r="B2917" s="1832">
        <f>'Assets-Liab 5-6'!L41</f>
        <v>71929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433093</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433093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265412</v>
      </c>
      <c r="D3055" s="2" t="str">
        <f t="shared" si="46"/>
        <v>Error?</v>
      </c>
    </row>
    <row r="3056" spans="1:4" x14ac:dyDescent="0.2">
      <c r="A3056" s="5">
        <v>2995</v>
      </c>
      <c r="B3056" s="1832">
        <f>'Expenditures 15-22'!D10</f>
        <v>73378</v>
      </c>
      <c r="D3056" s="2" t="str">
        <f t="shared" si="46"/>
        <v>Error?</v>
      </c>
    </row>
    <row r="3057" spans="1:4" x14ac:dyDescent="0.2">
      <c r="A3057" s="5">
        <v>2996</v>
      </c>
      <c r="B3057" s="1832">
        <f>'Expenditures 15-22'!E10</f>
        <v>6125</v>
      </c>
      <c r="D3057" s="2" t="str">
        <f t="shared" si="46"/>
        <v>Error?</v>
      </c>
    </row>
    <row r="3058" spans="1:4" x14ac:dyDescent="0.2">
      <c r="A3058" s="5">
        <v>2997</v>
      </c>
      <c r="B3058" s="1832">
        <f>'Expenditures 15-22'!F10</f>
        <v>18763</v>
      </c>
      <c r="D3058" s="2" t="str">
        <f t="shared" si="46"/>
        <v>Error?</v>
      </c>
    </row>
    <row r="3059" spans="1:4" x14ac:dyDescent="0.2">
      <c r="A3059" s="5">
        <v>2998</v>
      </c>
      <c r="B3059" s="1832">
        <f>'Expenditures 15-22'!G10</f>
        <v>18863</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382541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98555</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60281</v>
      </c>
      <c r="C3225" s="2" t="s">
        <v>569</v>
      </c>
      <c r="D3225" s="2" t="str">
        <f t="shared" si="49"/>
        <v>Error?</v>
      </c>
    </row>
    <row r="3226" spans="1:4" x14ac:dyDescent="0.2">
      <c r="A3226" s="5">
        <v>3165</v>
      </c>
      <c r="B3226" s="1832">
        <f>'Acct Summary 7-8'!I8</f>
        <v>60281</v>
      </c>
      <c r="C3226" s="2" t="s">
        <v>569</v>
      </c>
      <c r="D3226" s="2" t="str">
        <f t="shared" si="49"/>
        <v>Error?</v>
      </c>
    </row>
    <row r="3227" spans="1:4" x14ac:dyDescent="0.2">
      <c r="A3227" s="5">
        <v>3166</v>
      </c>
      <c r="B3227" s="1832">
        <f>'Acct Summary 7-8'!I20</f>
        <v>60281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-20680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35002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98555</v>
      </c>
      <c r="C3252" s="2" t="s">
        <v>569</v>
      </c>
      <c r="D3252" s="2" t="str">
        <f t="shared" si="49"/>
        <v>Error?</v>
      </c>
    </row>
    <row r="3253" spans="1:4" x14ac:dyDescent="0.2">
      <c r="A3253" s="5">
        <v>3192</v>
      </c>
      <c r="B3253" s="1832">
        <f>'Acct Summary 7-8'!F75</f>
        <v>33000</v>
      </c>
      <c r="D3253" s="2" t="str">
        <f t="shared" si="49"/>
        <v>Error?</v>
      </c>
    </row>
    <row r="3254" spans="1:4" x14ac:dyDescent="0.2">
      <c r="A3254" s="5">
        <v>3193</v>
      </c>
      <c r="B3254" s="1832">
        <f>'Acct Summary 7-8'!F76</f>
        <v>33000</v>
      </c>
      <c r="C3254" s="2" t="s">
        <v>569</v>
      </c>
      <c r="D3254" s="2" t="str">
        <f t="shared" si="49"/>
        <v>Error?</v>
      </c>
    </row>
    <row r="3255" spans="1:4" x14ac:dyDescent="0.2">
      <c r="A3255" s="5">
        <v>3194</v>
      </c>
      <c r="B3255" s="1832">
        <f>'Acct Summary 7-8'!F77</f>
        <v>65555</v>
      </c>
      <c r="C3255" s="2" t="s">
        <v>569</v>
      </c>
      <c r="D3255" s="2" t="str">
        <f t="shared" si="49"/>
        <v>Error?</v>
      </c>
    </row>
    <row r="3256" spans="1:4" x14ac:dyDescent="0.2">
      <c r="A3256" s="5">
        <v>3195</v>
      </c>
      <c r="B3256" s="1832">
        <f>'Acct Summary 7-8'!F78</f>
        <v>45592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-31151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33000</v>
      </c>
      <c r="D3273" s="2" t="str">
        <f t="shared" si="50"/>
        <v>Error?</v>
      </c>
    </row>
    <row r="3274" spans="1:4" x14ac:dyDescent="0.2">
      <c r="A3274" s="5">
        <v>3213</v>
      </c>
      <c r="B3274" s="1832">
        <f>'Acct Summary 7-8'!E44</f>
        <v>33000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33000</v>
      </c>
      <c r="C3277" s="2" t="s">
        <v>569</v>
      </c>
      <c r="D3277" s="2" t="str">
        <f t="shared" si="50"/>
        <v>Error?</v>
      </c>
    </row>
    <row r="3278" spans="1:4" x14ac:dyDescent="0.2">
      <c r="A3278" s="5">
        <v>3217</v>
      </c>
      <c r="B3278" s="1832">
        <f>'Acct Summary 7-8'!E78</f>
        <v>-42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159692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25000</v>
      </c>
      <c r="C3318" s="2" t="s">
        <v>569</v>
      </c>
      <c r="D3318" s="2" t="str">
        <f t="shared" si="50"/>
        <v>Error?</v>
      </c>
    </row>
    <row r="3319" spans="1:4" x14ac:dyDescent="0.2">
      <c r="A3319" s="5">
        <v>3258</v>
      </c>
      <c r="B3319" s="1832">
        <f>'Acct Summary 7-8'!I77</f>
        <v>-25000</v>
      </c>
      <c r="C3319" s="2" t="s">
        <v>569</v>
      </c>
      <c r="D3319" s="2" t="str">
        <f t="shared" si="50"/>
        <v>Error?</v>
      </c>
    </row>
    <row r="3320" spans="1:4" x14ac:dyDescent="0.2">
      <c r="A3320" s="5">
        <v>3259</v>
      </c>
      <c r="B3320" s="1832">
        <f>'Acct Summary 7-8'!I78</f>
        <v>35281</v>
      </c>
      <c r="C3320" s="2" t="s">
        <v>569</v>
      </c>
      <c r="D3320" s="2" t="str">
        <f t="shared" si="50"/>
        <v>Error?</v>
      </c>
    </row>
    <row r="3321" spans="1:4" x14ac:dyDescent="0.2">
      <c r="A3321" s="5">
        <v>3260</v>
      </c>
      <c r="B3321" s="1832">
        <f>'Acct Summary 7-8'!I79</f>
        <v>2091105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2126386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675000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132352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170451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255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978058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26835</v>
      </c>
      <c r="D3387" s="2" t="str">
        <f t="shared" si="51"/>
        <v>Error?</v>
      </c>
    </row>
    <row r="3388" spans="1:4" x14ac:dyDescent="0.2">
      <c r="A3388" s="5">
        <v>3327</v>
      </c>
      <c r="B3388" s="1832">
        <f>'Expenditures 15-22'!D217</f>
        <v>54648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26835</v>
      </c>
      <c r="C3390" s="2" t="s">
        <v>569</v>
      </c>
      <c r="D3390" s="2" t="str">
        <f t="shared" si="51"/>
        <v>Error?</v>
      </c>
    </row>
    <row r="3391" spans="1:4" x14ac:dyDescent="0.2">
      <c r="A3391" s="5">
        <v>3330</v>
      </c>
      <c r="B3391" s="1832">
        <f>'Expenditures 15-22'!K217</f>
        <v>54648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252285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146442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88978</v>
      </c>
      <c r="D3417" s="2" t="str">
        <f t="shared" si="52"/>
        <v>Error?</v>
      </c>
    </row>
    <row r="3418" spans="1:4" x14ac:dyDescent="0.2">
      <c r="A3418" s="10">
        <v>3357</v>
      </c>
      <c r="B3418" s="1832"/>
      <c r="D3418" s="2" t="str">
        <f t="shared" si="52"/>
        <v>OK</v>
      </c>
    </row>
    <row r="3419" spans="1:4" x14ac:dyDescent="0.2">
      <c r="A3419" s="5">
        <v>3358</v>
      </c>
      <c r="B3419" s="1832">
        <f>'Assets-Liab 5-6'!F4</f>
        <v>218264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56245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159988</v>
      </c>
      <c r="D3425" s="2" t="str">
        <f t="shared" si="52"/>
        <v>Error?</v>
      </c>
    </row>
    <row r="3426" spans="1:4" x14ac:dyDescent="0.2">
      <c r="A3426" s="10">
        <v>3365</v>
      </c>
      <c r="B3426" s="1832"/>
      <c r="D3426" s="2" t="str">
        <f t="shared" si="52"/>
        <v>OK</v>
      </c>
    </row>
    <row r="3427" spans="1:4" x14ac:dyDescent="0.2">
      <c r="A3427" s="5">
        <v>3366</v>
      </c>
      <c r="B3427" s="1832">
        <f>'Assets-Liab 5-6'!I4</f>
        <v>1791186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71929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87861</v>
      </c>
      <c r="C3446" s="2" t="s">
        <v>569</v>
      </c>
      <c r="D3446" s="2" t="str">
        <f t="shared" si="52"/>
        <v>Error?</v>
      </c>
    </row>
    <row r="3447" spans="1:4" x14ac:dyDescent="0.2">
      <c r="A3447" s="5">
        <v>3386</v>
      </c>
      <c r="B3447" s="1832">
        <f>'Tax Sched 23'!D16</f>
        <v>87861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106008</v>
      </c>
      <c r="C3449" s="2" t="s">
        <v>569</v>
      </c>
      <c r="D3449" s="2" t="str">
        <f t="shared" si="52"/>
        <v>Error?</v>
      </c>
    </row>
    <row r="3450" spans="1:4" x14ac:dyDescent="0.2">
      <c r="A3450" s="5">
        <v>3389</v>
      </c>
      <c r="B3450" s="1832">
        <f>'Tax Sched 23'!E16</f>
        <v>106008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51148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51148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51148</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51148</v>
      </c>
      <c r="C3568" s="2" t="s">
        <v>569</v>
      </c>
      <c r="D3568" s="2" t="str">
        <f t="shared" si="54"/>
        <v>Error?</v>
      </c>
    </row>
    <row r="3569" spans="1:4" x14ac:dyDescent="0.2">
      <c r="A3569" s="5">
        <v>3508</v>
      </c>
      <c r="B3569" s="1832">
        <f>'Acct Summary 7-8'!K4</f>
        <v>42061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42061</v>
      </c>
      <c r="C3571" s="2" t="s">
        <v>569</v>
      </c>
      <c r="D3571" s="2" t="str">
        <f t="shared" si="54"/>
        <v>Error?</v>
      </c>
    </row>
    <row r="3572" spans="1:4" x14ac:dyDescent="0.2">
      <c r="A3572" s="5">
        <v>3511</v>
      </c>
      <c r="B3572" s="1832">
        <f>'Acct Summary 7-8'!K13</f>
        <v>13907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13907</v>
      </c>
      <c r="C3575" s="2" t="s">
        <v>569</v>
      </c>
      <c r="D3575" s="2" t="str">
        <f t="shared" si="54"/>
        <v>Error?</v>
      </c>
    </row>
    <row r="3576" spans="1:4" x14ac:dyDescent="0.2">
      <c r="A3576" s="5">
        <v>3515</v>
      </c>
      <c r="B3576" s="1832">
        <f>'Acct Summary 7-8'!K20</f>
        <v>28154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28154</v>
      </c>
      <c r="C3588" s="2" t="s">
        <v>569</v>
      </c>
      <c r="D3588" s="2" t="str">
        <f t="shared" si="55"/>
        <v>Error?</v>
      </c>
    </row>
    <row r="3589" spans="1:4" x14ac:dyDescent="0.2">
      <c r="A3589" s="5">
        <v>3528</v>
      </c>
      <c r="B3589" s="1832">
        <f>'Acct Summary 7-8'!K79</f>
        <v>22994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51148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13907</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13907</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13907</v>
      </c>
      <c r="C3635" s="2" t="s">
        <v>569</v>
      </c>
      <c r="D3635" s="2" t="str">
        <f t="shared" si="55"/>
        <v>Error?</v>
      </c>
    </row>
    <row r="3636" spans="1:4" x14ac:dyDescent="0.2">
      <c r="A3636" s="5">
        <v>3575</v>
      </c>
      <c r="B3636" s="1832">
        <f>'Expenditures 15-22'!E367</f>
        <v>13907</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13907</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13907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13907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13907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28154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163176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2587141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8374751</v>
      </c>
      <c r="C4122" s="2" t="s">
        <v>569</v>
      </c>
      <c r="D4122" s="2" t="str">
        <f t="shared" si="63"/>
        <v>Error?</v>
      </c>
    </row>
    <row r="4123" spans="1:4" x14ac:dyDescent="0.2">
      <c r="A4123" s="5">
        <v>4062</v>
      </c>
      <c r="B4123" s="1832">
        <f>'Acct Summary 7-8'!D10</f>
        <v>200390</v>
      </c>
      <c r="C4123" s="2" t="s">
        <v>569</v>
      </c>
      <c r="D4123" s="2" t="str">
        <f t="shared" si="63"/>
        <v>Error?</v>
      </c>
    </row>
    <row r="4124" spans="1:4" x14ac:dyDescent="0.2">
      <c r="A4124" s="5">
        <v>4063</v>
      </c>
      <c r="B4124" s="1832">
        <f>'Acct Summary 7-8'!E10</f>
        <v>339512</v>
      </c>
      <c r="C4124" s="2" t="s">
        <v>569</v>
      </c>
      <c r="D4124" s="2" t="str">
        <f t="shared" si="63"/>
        <v>Error?</v>
      </c>
    </row>
    <row r="4125" spans="1:4" x14ac:dyDescent="0.2">
      <c r="A4125" s="5">
        <v>4064</v>
      </c>
      <c r="B4125" s="1832">
        <f>'Acct Summary 7-8'!F10</f>
        <v>205639</v>
      </c>
      <c r="C4125" s="2" t="s">
        <v>569</v>
      </c>
      <c r="D4125" s="2" t="str">
        <f t="shared" si="63"/>
        <v>Error?</v>
      </c>
    </row>
    <row r="4126" spans="1:4" x14ac:dyDescent="0.2">
      <c r="A4126" s="5">
        <v>4065</v>
      </c>
      <c r="B4126" s="1832">
        <f>'Acct Summary 7-8'!G10</f>
        <v>191123</v>
      </c>
      <c r="C4126" s="2" t="s">
        <v>569</v>
      </c>
      <c r="D4126" s="2" t="str">
        <f t="shared" si="63"/>
        <v>Error?</v>
      </c>
    </row>
    <row r="4127" spans="1:4" x14ac:dyDescent="0.2">
      <c r="A4127" s="5">
        <v>4066</v>
      </c>
      <c r="B4127" s="1832">
        <f>'Acct Summary 7-8'!H10</f>
        <v>225039</v>
      </c>
      <c r="C4127" s="2" t="s">
        <v>569</v>
      </c>
      <c r="D4127" s="2" t="str">
        <f t="shared" si="63"/>
        <v>Error?</v>
      </c>
    </row>
    <row r="4128" spans="1:4" x14ac:dyDescent="0.2">
      <c r="A4128" s="5">
        <v>4067</v>
      </c>
      <c r="B4128" s="1832">
        <f>'Acct Summary 7-8'!I10</f>
        <v>60281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42061</v>
      </c>
      <c r="C4130" s="2" t="s">
        <v>569</v>
      </c>
      <c r="D4130" s="2" t="str">
        <f t="shared" si="63"/>
        <v>Error?</v>
      </c>
    </row>
    <row r="4131" spans="1:4" x14ac:dyDescent="0.2">
      <c r="A4131" s="5">
        <v>4070</v>
      </c>
      <c r="B4131" s="1832">
        <f>'Acct Summary 7-8'!C18</f>
        <v>2587141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8395431</v>
      </c>
      <c r="C4136" s="2" t="s">
        <v>569</v>
      </c>
      <c r="D4136" s="2" t="str">
        <f t="shared" si="63"/>
        <v>Error?</v>
      </c>
    </row>
    <row r="4137" spans="1:4" x14ac:dyDescent="0.2">
      <c r="A4137" s="5">
        <v>4076</v>
      </c>
      <c r="B4137" s="1832">
        <f>'Acct Summary 7-8'!D19</f>
        <v>165388</v>
      </c>
      <c r="C4137" s="2" t="s">
        <v>569</v>
      </c>
      <c r="D4137" s="2" t="str">
        <f t="shared" si="63"/>
        <v>Error?</v>
      </c>
    </row>
    <row r="4138" spans="1:4" x14ac:dyDescent="0.2">
      <c r="A4138" s="5">
        <v>4077</v>
      </c>
      <c r="B4138" s="1832">
        <f>'Acct Summary 7-8'!E19</f>
        <v>372554</v>
      </c>
      <c r="C4138" s="2" t="s">
        <v>569</v>
      </c>
      <c r="D4138" s="2" t="str">
        <f t="shared" si="63"/>
        <v>Error?</v>
      </c>
    </row>
    <row r="4139" spans="1:4" x14ac:dyDescent="0.2">
      <c r="A4139" s="5">
        <v>4078</v>
      </c>
      <c r="B4139" s="1832">
        <f>'Acct Summary 7-8'!F19</f>
        <v>225602</v>
      </c>
      <c r="C4139" s="2" t="s">
        <v>569</v>
      </c>
      <c r="D4139" s="2" t="str">
        <f t="shared" si="63"/>
        <v>Error?</v>
      </c>
    </row>
    <row r="4140" spans="1:4" x14ac:dyDescent="0.2">
      <c r="A4140" s="5">
        <v>4079</v>
      </c>
      <c r="B4140" s="1832">
        <f>'Acct Summary 7-8'!G19</f>
        <v>222274</v>
      </c>
      <c r="C4140" s="2" t="s">
        <v>569</v>
      </c>
      <c r="D4140" s="2" t="str">
        <f t="shared" si="63"/>
        <v>Error?</v>
      </c>
    </row>
    <row r="4141" spans="1:4" x14ac:dyDescent="0.2">
      <c r="A4141" s="5">
        <v>4080</v>
      </c>
      <c r="B4141" s="1832">
        <f>'Acct Summary 7-8'!H19</f>
        <v>65347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13907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401170</v>
      </c>
      <c r="C4171" s="2" t="s">
        <v>569</v>
      </c>
      <c r="D4171" s="2" t="str">
        <f t="shared" si="64"/>
        <v>Error?</v>
      </c>
    </row>
    <row r="4172" spans="1:4" x14ac:dyDescent="0.2">
      <c r="A4172" s="5">
        <v>4111</v>
      </c>
      <c r="B4172" s="1832">
        <f>'Short-Term Long-Term Debt 24'!J49</f>
        <v>312191</v>
      </c>
      <c r="C4172" s="2" t="s">
        <v>569</v>
      </c>
      <c r="D4172" s="2" t="str">
        <f t="shared" si="64"/>
        <v>Error?</v>
      </c>
    </row>
    <row r="4173" spans="1:4" x14ac:dyDescent="0.2">
      <c r="A4173" s="5">
        <v>4112</v>
      </c>
      <c r="B4173" s="1832">
        <f>'Short-Term Long-Term Debt 24'!H49</f>
        <v>355985</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1220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111.96000000000001</v>
      </c>
      <c r="C4267" s="2" t="s">
        <v>569</v>
      </c>
      <c r="D4267" s="2" t="str">
        <f t="shared" si="65"/>
        <v>Error?</v>
      </c>
      <c r="E4267" s="125"/>
    </row>
    <row r="4268" spans="1:5" x14ac:dyDescent="0.2">
      <c r="A4268" s="12">
        <v>4207</v>
      </c>
      <c r="B4268" s="1832">
        <f>('FP Info 3'!J10)*100000</f>
        <v>1582</v>
      </c>
      <c r="C4268" s="2" t="s">
        <v>569</v>
      </c>
      <c r="D4268" s="2" t="str">
        <f t="shared" si="65"/>
        <v>Error?</v>
      </c>
    </row>
    <row r="4269" spans="1:5" x14ac:dyDescent="0.2">
      <c r="A4269" s="12">
        <v>4208</v>
      </c>
      <c r="B4269" s="1832">
        <f>'FP Info 3'!J16</f>
        <v>2743377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14860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11640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57513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12981</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12981</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11581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1873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11.429999999999998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50000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87537405</v>
      </c>
      <c r="D4995" s="2" t="str">
        <f t="shared" si="77"/>
        <v>Error?</v>
      </c>
    </row>
    <row r="4996" spans="1:4" x14ac:dyDescent="0.2">
      <c r="A4996" s="12">
        <v>4935</v>
      </c>
      <c r="B4996" s="1832">
        <f>'FP Info 3'!H31</f>
        <v>6040080.9450000003</v>
      </c>
      <c r="D4996" s="2" t="str">
        <f t="shared" si="77"/>
        <v>Error?</v>
      </c>
    </row>
    <row r="4997" spans="1:4" x14ac:dyDescent="0.2">
      <c r="A4997" s="12">
        <v>4936</v>
      </c>
      <c r="B4997" s="1832">
        <f>'FP Info 3'!H37</f>
        <v>401170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1026311</v>
      </c>
      <c r="D5061" s="2" t="str">
        <f t="shared" si="78"/>
        <v>Error?</v>
      </c>
    </row>
    <row r="5062" spans="1:4" x14ac:dyDescent="0.2">
      <c r="A5062" s="10">
        <v>5001</v>
      </c>
      <c r="B5062" s="1832"/>
      <c r="D5062" s="2" t="str">
        <f t="shared" si="78"/>
        <v>OK</v>
      </c>
    </row>
    <row r="5063" spans="1:4" x14ac:dyDescent="0.2">
      <c r="A5063" s="5">
        <v>5002</v>
      </c>
      <c r="B5063" s="1832">
        <f>'Revenues 9-14'!C7</f>
        <v>16599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1042910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122396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122396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764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764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4893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53771</v>
      </c>
      <c r="C5096" s="2" t="s">
        <v>569</v>
      </c>
      <c r="D5096" s="2" t="str">
        <f t="shared" si="78"/>
        <v>Error?</v>
      </c>
    </row>
    <row r="5097" spans="1:4" x14ac:dyDescent="0.2">
      <c r="A5097" s="5">
        <v>5036</v>
      </c>
      <c r="B5097" s="1832">
        <f>'Revenues 9-14'!C77</f>
        <v>12048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280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12328</v>
      </c>
      <c r="C5102" s="2" t="s">
        <v>569</v>
      </c>
      <c r="D5102" s="2" t="str">
        <f t="shared" si="78"/>
        <v>Error?</v>
      </c>
    </row>
    <row r="5103" spans="1:4" x14ac:dyDescent="0.2">
      <c r="A5103" s="5">
        <v>5042</v>
      </c>
      <c r="B5103" s="1832">
        <f>'Revenues 9-14'!C84</f>
        <v>8215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8215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1265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992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14143</v>
      </c>
      <c r="D5119" s="2" t="str">
        <f t="shared" ref="D5119:D5182" si="79">IF(ISBLANK(B5119),"OK",IF(A5119-B5119=0,"OK","Error?"))</f>
        <v>Error?</v>
      </c>
    </row>
    <row r="5120" spans="1:4" x14ac:dyDescent="0.2">
      <c r="A5120" s="5">
        <v>5059</v>
      </c>
      <c r="B5120" s="1832">
        <f>'Revenues 9-14'!C108</f>
        <v>16400</v>
      </c>
      <c r="C5120" s="2" t="s">
        <v>569</v>
      </c>
      <c r="D5120" s="2" t="str">
        <f t="shared" si="79"/>
        <v>Error?</v>
      </c>
    </row>
    <row r="5121" spans="1:4" x14ac:dyDescent="0.2">
      <c r="A5121" s="5">
        <v>5060</v>
      </c>
      <c r="B5121" s="1832">
        <f>'Revenues 9-14'!C109</f>
        <v>1256784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3380762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3380762</v>
      </c>
      <c r="C5132" s="2" t="s">
        <v>569</v>
      </c>
      <c r="D5132" s="2" t="str">
        <f t="shared" si="79"/>
        <v>Error?</v>
      </c>
    </row>
    <row r="5133" spans="1:4" x14ac:dyDescent="0.2">
      <c r="A5133" s="5">
        <v>5072</v>
      </c>
      <c r="B5133" s="1832">
        <f>'Revenues 9-14'!C125</f>
        <v>2524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20679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23203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3026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189462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215691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3596453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138211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49953</v>
      </c>
      <c r="D5241" s="2" t="str">
        <f t="shared" si="80"/>
        <v>Error?</v>
      </c>
    </row>
    <row r="5242" spans="1:4" x14ac:dyDescent="0.2">
      <c r="A5242" s="5">
        <v>5181</v>
      </c>
      <c r="B5242" s="1832">
        <f>'Revenues 9-14'!C194</f>
        <v>84022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272186</v>
      </c>
      <c r="C5246" s="2" t="s">
        <v>569</v>
      </c>
      <c r="D5246" s="2" t="str">
        <f t="shared" si="80"/>
        <v>Error?</v>
      </c>
    </row>
    <row r="5247" spans="1:4" x14ac:dyDescent="0.2">
      <c r="A5247" s="5">
        <v>5186</v>
      </c>
      <c r="B5247" s="1832">
        <f>'Revenues 9-14'!C200</f>
        <v>403348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11581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418208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4752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138179</v>
      </c>
      <c r="D5278" s="2" t="str">
        <f t="shared" si="81"/>
        <v>Error?</v>
      </c>
    </row>
    <row r="5279" spans="1:4" x14ac:dyDescent="0.2">
      <c r="A5279" s="5">
        <v>5218</v>
      </c>
      <c r="B5279" s="1832">
        <f>'Revenues 9-14'!C214</f>
        <v>5460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148391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934373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934373</v>
      </c>
      <c r="C5326" s="2" t="s">
        <v>569</v>
      </c>
      <c r="D5326" s="2" t="str">
        <f t="shared" si="82"/>
        <v>Error?</v>
      </c>
    </row>
    <row r="5327" spans="1:5" x14ac:dyDescent="0.2">
      <c r="A5327" s="5">
        <v>5266</v>
      </c>
      <c r="B5327" s="1832">
        <f>'Revenues 9-14'!C268</f>
        <v>5787610</v>
      </c>
      <c r="C5327" s="2" t="s">
        <v>569</v>
      </c>
      <c r="D5327" s="2" t="str">
        <f t="shared" si="82"/>
        <v>Error?</v>
      </c>
    </row>
    <row r="5328" spans="1:5" x14ac:dyDescent="0.2">
      <c r="A5328" s="5">
        <v>5267</v>
      </c>
      <c r="B5328" s="1832">
        <f>'Revenues 9-14'!D5</f>
        <v>200132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200132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258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258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200390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200390</v>
      </c>
      <c r="C5508" s="2" t="s">
        <v>569</v>
      </c>
      <c r="D5508" s="2" t="str">
        <f t="shared" si="85"/>
        <v>Error?</v>
      </c>
    </row>
    <row r="5509" spans="1:4" x14ac:dyDescent="0.2">
      <c r="A5509" s="5">
        <v>5448</v>
      </c>
      <c r="B5509" s="1832">
        <f>'Revenues 9-14'!E5</f>
        <v>338885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338885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627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627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339512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339512</v>
      </c>
      <c r="C5552" s="2" t="s">
        <v>569</v>
      </c>
      <c r="D5552" s="2" t="str">
        <f t="shared" si="85"/>
        <v>Error?</v>
      </c>
    </row>
    <row r="5553" spans="1:4" x14ac:dyDescent="0.2">
      <c r="A5553" s="5">
        <v>5492</v>
      </c>
      <c r="B5553" s="1832">
        <f>'Revenues 9-14'!F5</f>
        <v>97633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97633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308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308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959</v>
      </c>
      <c r="D5586" s="2" t="str">
        <f t="shared" si="86"/>
        <v>Error?</v>
      </c>
    </row>
    <row r="5587" spans="1:4" x14ac:dyDescent="0.2">
      <c r="A5587" s="5">
        <v>5526</v>
      </c>
      <c r="B5587" s="1832">
        <f>'Revenues 9-14'!F108</f>
        <v>959</v>
      </c>
      <c r="C5587" s="2" t="s">
        <v>569</v>
      </c>
      <c r="D5587" s="2" t="str">
        <f t="shared" si="86"/>
        <v>Error?</v>
      </c>
    </row>
    <row r="5588" spans="1:4" x14ac:dyDescent="0.2">
      <c r="A5588" s="5">
        <v>5527</v>
      </c>
      <c r="B5588" s="1832">
        <f>'Revenues 9-14'!F109</f>
        <v>98900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64341</v>
      </c>
      <c r="D5615" s="2" t="str">
        <f t="shared" si="86"/>
        <v>Error?</v>
      </c>
    </row>
    <row r="5616" spans="1:4" x14ac:dyDescent="0.2">
      <c r="A5616" s="10">
        <v>5555</v>
      </c>
      <c r="B5616" s="1832"/>
      <c r="D5616" s="2" t="str">
        <f t="shared" si="86"/>
        <v>OK</v>
      </c>
    </row>
    <row r="5617" spans="1:5" x14ac:dyDescent="0.2">
      <c r="A5617" s="5">
        <v>5556</v>
      </c>
      <c r="B5617" s="1832">
        <f>'Revenues 9-14'!F153</f>
        <v>42398</v>
      </c>
      <c r="D5617" s="2" t="str">
        <f t="shared" si="86"/>
        <v>Error?</v>
      </c>
    </row>
    <row r="5618" spans="1:5" x14ac:dyDescent="0.2">
      <c r="A5618" s="5">
        <v>5557</v>
      </c>
      <c r="B5618" s="1832">
        <f>'Revenues 9-14'!F155</f>
        <v>106739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106739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106739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205639</v>
      </c>
      <c r="C5720" s="2" t="s">
        <v>569</v>
      </c>
      <c r="D5720" s="2" t="str">
        <f t="shared" si="88"/>
        <v>Error?</v>
      </c>
    </row>
    <row r="5721" spans="1:4" x14ac:dyDescent="0.2">
      <c r="A5721" s="5">
        <v>5660</v>
      </c>
      <c r="B5721" s="1832">
        <f>'Revenues 9-14'!G5</f>
        <v>97633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87861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185494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5438</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5438</v>
      </c>
      <c r="C5730" s="2" t="s">
        <v>569</v>
      </c>
      <c r="D5730" s="2" t="str">
        <f t="shared" si="88"/>
        <v>Error?</v>
      </c>
    </row>
    <row r="5731" spans="1:4" x14ac:dyDescent="0.2">
      <c r="A5731" s="5">
        <v>5670</v>
      </c>
      <c r="B5731" s="1832">
        <f>'Revenues 9-14'!G65</f>
        <v>191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191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191123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61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61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174978</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225039</v>
      </c>
      <c r="C5915" s="2" t="s">
        <v>569</v>
      </c>
      <c r="D5915" s="2" t="str">
        <f t="shared" si="91"/>
        <v>Error?</v>
      </c>
    </row>
    <row r="5916" spans="1:4" x14ac:dyDescent="0.2">
      <c r="A5916" s="5">
        <v>5855</v>
      </c>
      <c r="B5916" s="1832">
        <f>'Revenues 9-14'!I5</f>
        <v>41980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41980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18301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18301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60281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41980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41980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81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81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42061</v>
      </c>
      <c r="C6023" s="2" t="s">
        <v>569</v>
      </c>
      <c r="D6023" s="2" t="str">
        <f t="shared" si="93"/>
        <v>Error?</v>
      </c>
    </row>
    <row r="6024" spans="1:5" x14ac:dyDescent="0.2">
      <c r="A6024" s="5">
        <v>5963</v>
      </c>
      <c r="B6024" s="1832">
        <f>'Revenues 9-14'!G109</f>
        <v>191123</v>
      </c>
      <c r="C6024" s="2" t="s">
        <v>569</v>
      </c>
      <c r="D6024" s="2" t="str">
        <f t="shared" si="93"/>
        <v>Error?</v>
      </c>
    </row>
    <row r="6025" spans="1:5" x14ac:dyDescent="0.2">
      <c r="A6025" s="5">
        <v>5964</v>
      </c>
      <c r="B6025" s="1832">
        <f>'Revenues 9-14'!H109</f>
        <v>175039</v>
      </c>
      <c r="C6025" s="2" t="s">
        <v>569</v>
      </c>
      <c r="D6025" s="2" t="str">
        <f t="shared" si="93"/>
        <v>Error?</v>
      </c>
    </row>
    <row r="6026" spans="1:5" x14ac:dyDescent="0.2">
      <c r="A6026" s="5">
        <v>5965</v>
      </c>
      <c r="B6026" s="1832">
        <f>'Revenues 9-14'!I109</f>
        <v>60281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42061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48878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23747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637.5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8230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8230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8230</v>
      </c>
      <c r="D6216" s="2" t="str">
        <f t="shared" si="96"/>
        <v>Error?</v>
      </c>
      <c r="E6216" s="2" t="s">
        <v>189</v>
      </c>
    </row>
    <row r="6217" spans="1:5" x14ac:dyDescent="0.2">
      <c r="A6217">
        <v>6156</v>
      </c>
      <c r="B6217" s="1832">
        <f>'Assets-Liab 5-6'!J4</f>
        <v>8230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70795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70795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70795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91032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91032</v>
      </c>
      <c r="D6229" s="2" t="str">
        <f t="shared" si="96"/>
        <v>Error?</v>
      </c>
      <c r="E6229" s="2" t="s">
        <v>189</v>
      </c>
    </row>
    <row r="6230" spans="1:5" x14ac:dyDescent="0.2">
      <c r="A6230">
        <v>6169</v>
      </c>
      <c r="B6230" s="1832">
        <f>'Acct Summary 7-8'!J20</f>
        <v>-20237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25000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25000</v>
      </c>
      <c r="D6262" s="2" t="str">
        <f t="shared" si="96"/>
        <v>Error?</v>
      </c>
      <c r="E6262" s="2" t="s">
        <v>189</v>
      </c>
    </row>
    <row r="6263" spans="1:5" x14ac:dyDescent="0.2">
      <c r="A6263">
        <v>6202</v>
      </c>
      <c r="B6263" s="1832">
        <f>'Acct Summary 7-8'!J78</f>
        <v>4763</v>
      </c>
      <c r="D6263" s="2" t="str">
        <f t="shared" si="96"/>
        <v>Error?</v>
      </c>
      <c r="E6263" s="2" t="s">
        <v>189</v>
      </c>
    </row>
    <row r="6264" spans="1:5" x14ac:dyDescent="0.2">
      <c r="A6264">
        <v>6203</v>
      </c>
      <c r="B6264" s="1832">
        <f>'Acct Summary 7-8'!J79</f>
        <v>3467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8230</v>
      </c>
      <c r="D6266" s="2" t="str">
        <f t="shared" si="96"/>
        <v>Error?</v>
      </c>
      <c r="E6266" s="2" t="s">
        <v>189</v>
      </c>
    </row>
    <row r="6267" spans="1:5" x14ac:dyDescent="0.2">
      <c r="A6267">
        <v>6206</v>
      </c>
      <c r="B6267" s="1832">
        <f>'Acct Summary 7-8'!C82</f>
        <v>-20680</v>
      </c>
      <c r="D6267" s="2" t="str">
        <f t="shared" si="96"/>
        <v>Error?</v>
      </c>
      <c r="E6267" s="2" t="s">
        <v>189</v>
      </c>
    </row>
    <row r="6268" spans="1:5" x14ac:dyDescent="0.2">
      <c r="A6268">
        <v>6207</v>
      </c>
      <c r="B6268" s="1832">
        <f>'Acct Summary 7-8'!D82</f>
        <v>35002</v>
      </c>
      <c r="D6268" s="2" t="str">
        <f t="shared" si="96"/>
        <v>Error?</v>
      </c>
      <c r="E6268" s="2" t="s">
        <v>189</v>
      </c>
    </row>
    <row r="6269" spans="1:5" x14ac:dyDescent="0.2">
      <c r="A6269">
        <v>6208</v>
      </c>
      <c r="B6269" s="1832">
        <f>'Acct Summary 7-8'!E82</f>
        <v>-42</v>
      </c>
      <c r="D6269" s="2" t="str">
        <f t="shared" si="96"/>
        <v>Error?</v>
      </c>
      <c r="E6269" s="2" t="s">
        <v>189</v>
      </c>
    </row>
    <row r="6270" spans="1:5" x14ac:dyDescent="0.2">
      <c r="A6270">
        <v>6209</v>
      </c>
      <c r="B6270" s="1832">
        <f>'Acct Summary 7-8'!F82</f>
        <v>45592</v>
      </c>
      <c r="D6270" s="2" t="str">
        <f t="shared" si="96"/>
        <v>Error?</v>
      </c>
      <c r="E6270" s="2" t="s">
        <v>189</v>
      </c>
    </row>
    <row r="6271" spans="1:5" x14ac:dyDescent="0.2">
      <c r="A6271">
        <v>6210</v>
      </c>
      <c r="B6271" s="1832">
        <f>'Acct Summary 7-8'!G82</f>
        <v>-31151</v>
      </c>
      <c r="D6271" s="2" t="str">
        <f t="shared" ref="D6271:D6334" si="97">IF(ISBLANK(B6271),"OK",IF(A6271-B6271=0,"OK","Error?"))</f>
        <v>Error?</v>
      </c>
      <c r="E6271" s="2" t="s">
        <v>189</v>
      </c>
    </row>
    <row r="6272" spans="1:5" x14ac:dyDescent="0.2">
      <c r="A6272">
        <v>6211</v>
      </c>
      <c r="B6272" s="1832">
        <f>'Acct Summary 7-8'!H82</f>
        <v>159692</v>
      </c>
      <c r="D6272" s="2" t="str">
        <f t="shared" si="97"/>
        <v>Error?</v>
      </c>
      <c r="E6272" s="2" t="s">
        <v>189</v>
      </c>
    </row>
    <row r="6273" spans="1:5" x14ac:dyDescent="0.2">
      <c r="A6273">
        <v>6212</v>
      </c>
      <c r="B6273" s="1832">
        <f>'Acct Summary 7-8'!I82</f>
        <v>35281</v>
      </c>
      <c r="D6273" s="2" t="str">
        <f t="shared" si="97"/>
        <v>Error?</v>
      </c>
      <c r="E6273" s="2" t="s">
        <v>189</v>
      </c>
    </row>
    <row r="6274" spans="1:5" x14ac:dyDescent="0.2">
      <c r="A6274">
        <v>6213</v>
      </c>
      <c r="B6274" s="1832">
        <f>'Acct Summary 7-8'!J82</f>
        <v>4763</v>
      </c>
      <c r="D6274" s="2" t="str">
        <f t="shared" si="97"/>
        <v>Error?</v>
      </c>
      <c r="E6274" s="2" t="s">
        <v>189</v>
      </c>
    </row>
    <row r="6275" spans="1:5" x14ac:dyDescent="0.2">
      <c r="A6275">
        <v>6214</v>
      </c>
      <c r="B6275" s="1832">
        <f>'Acct Summary 7-8'!K82</f>
        <v>28154</v>
      </c>
      <c r="D6275" s="2" t="str">
        <f t="shared" si="97"/>
        <v>Error?</v>
      </c>
      <c r="E6275" s="2" t="s">
        <v>189</v>
      </c>
    </row>
    <row r="6276" spans="1:5" x14ac:dyDescent="0.2">
      <c r="A6276">
        <v>6215</v>
      </c>
      <c r="B6276" s="1832">
        <f>'Acct Summary 7-8'!C83</f>
        <v>-8.1970787006758236E-2</v>
      </c>
      <c r="D6276" s="2" t="str">
        <f t="shared" si="97"/>
        <v>Error?</v>
      </c>
      <c r="E6276" s="2" t="s">
        <v>189</v>
      </c>
    </row>
    <row r="6277" spans="1:5" x14ac:dyDescent="0.2">
      <c r="A6277">
        <v>6216</v>
      </c>
      <c r="B6277" s="1832">
        <f>'Acct Summary 7-8'!D83</f>
        <v>0.23901612925253685</v>
      </c>
      <c r="D6277" s="2" t="str">
        <f t="shared" si="97"/>
        <v>Error?</v>
      </c>
      <c r="E6277" s="2" t="s">
        <v>189</v>
      </c>
    </row>
    <row r="6278" spans="1:5" x14ac:dyDescent="0.2">
      <c r="A6278">
        <v>6217</v>
      </c>
      <c r="B6278" s="1832">
        <f>'Acct Summary 7-8'!E83</f>
        <v>-4.720267931398773E-4</v>
      </c>
      <c r="D6278" s="2" t="str">
        <f t="shared" si="97"/>
        <v>Error?</v>
      </c>
      <c r="E6278" s="2" t="s">
        <v>189</v>
      </c>
    </row>
    <row r="6279" spans="1:5" x14ac:dyDescent="0.2">
      <c r="A6279">
        <v>6218</v>
      </c>
      <c r="B6279" s="1832">
        <f>'Acct Summary 7-8'!F83</f>
        <v>0.20888465344720156</v>
      </c>
      <c r="D6279" s="2" t="str">
        <f t="shared" si="97"/>
        <v>Error?</v>
      </c>
      <c r="E6279" s="2" t="s">
        <v>189</v>
      </c>
    </row>
    <row r="6280" spans="1:5" x14ac:dyDescent="0.2">
      <c r="A6280">
        <v>6219</v>
      </c>
      <c r="B6280" s="1832">
        <f>'Acct Summary 7-8'!G83</f>
        <v>-0.55384478620321809</v>
      </c>
      <c r="D6280" s="2" t="str">
        <f t="shared" si="97"/>
        <v>Error?</v>
      </c>
      <c r="E6280" s="2" t="s">
        <v>189</v>
      </c>
    </row>
    <row r="6281" spans="1:5" x14ac:dyDescent="0.2">
      <c r="A6281">
        <v>6220</v>
      </c>
      <c r="B6281" s="1832">
        <f>'Acct Summary 7-8'!H83</f>
        <v>0.99814986123959293</v>
      </c>
      <c r="D6281" s="2" t="str">
        <f t="shared" si="97"/>
        <v>Error?</v>
      </c>
      <c r="E6281" s="2" t="s">
        <v>189</v>
      </c>
    </row>
    <row r="6282" spans="1:5" x14ac:dyDescent="0.2">
      <c r="A6282">
        <v>6221</v>
      </c>
      <c r="B6282" s="1832">
        <f>'Acct Summary 7-8'!I83</f>
        <v>1.6592001640341875E-2</v>
      </c>
      <c r="D6282" s="2" t="str">
        <f t="shared" si="97"/>
        <v>Error?</v>
      </c>
      <c r="E6282" s="2" t="s">
        <v>189</v>
      </c>
    </row>
    <row r="6283" spans="1:5" x14ac:dyDescent="0.2">
      <c r="A6283">
        <v>6222</v>
      </c>
      <c r="B6283" s="1832">
        <f>'Acct Summary 7-8'!J83</f>
        <v>0.57873633049817741</v>
      </c>
      <c r="D6283" s="2" t="str">
        <f t="shared" si="97"/>
        <v>Error?</v>
      </c>
      <c r="E6283" s="2" t="s">
        <v>189</v>
      </c>
    </row>
    <row r="6284" spans="1:5" x14ac:dyDescent="0.2">
      <c r="A6284">
        <v>6223</v>
      </c>
      <c r="B6284" s="1832">
        <f>'Acct Summary 7-8'!K83</f>
        <v>0.55044185500899356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70790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70790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70795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111040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211561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91032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70795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36549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36549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54483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54483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91032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91032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91032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91032</v>
      </c>
      <c r="D7224" s="2" t="str">
        <f t="shared" si="111"/>
        <v>Error?</v>
      </c>
    </row>
    <row r="7225" spans="1:4" x14ac:dyDescent="0.2">
      <c r="A7225">
        <v>7164</v>
      </c>
      <c r="B7225" s="1832">
        <f>'Expenditures 15-22'!K343</f>
        <v>-20237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27956</v>
      </c>
      <c r="D7246" s="2" t="str">
        <f t="shared" si="112"/>
        <v>Error?</v>
      </c>
    </row>
    <row r="7247" spans="1:4" x14ac:dyDescent="0.2">
      <c r="A7247">
        <f t="shared" si="113"/>
        <v>7186</v>
      </c>
      <c r="B7247" s="1832">
        <f>'Expenditures 15-22'!E7</f>
        <v>2404</v>
      </c>
      <c r="D7247" s="2" t="str">
        <f t="shared" si="112"/>
        <v>Error?</v>
      </c>
    </row>
    <row r="7248" spans="1:4" x14ac:dyDescent="0.2">
      <c r="A7248">
        <f t="shared" si="113"/>
        <v>7187</v>
      </c>
      <c r="B7248" s="1832">
        <f>'Expenditures 15-22'!F7</f>
        <v>28537</v>
      </c>
      <c r="D7248" s="2" t="str">
        <f t="shared" si="112"/>
        <v>Error?</v>
      </c>
    </row>
    <row r="7249" spans="1:4" x14ac:dyDescent="0.2">
      <c r="A7249">
        <f t="shared" si="113"/>
        <v>7188</v>
      </c>
      <c r="B7249" s="1832">
        <f>'Expenditures 15-22'!G7</f>
        <v>41624</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225928</v>
      </c>
      <c r="D7615" s="2" t="str">
        <f t="shared" ref="D7615:D7678" si="124">IF(ISBLANK(B7615),"OK",IF(A7615-B7615=0,"OK","Error?"))</f>
        <v>Error?</v>
      </c>
      <c r="E7615" s="2" t="s">
        <v>19</v>
      </c>
    </row>
    <row r="7616" spans="1:5" x14ac:dyDescent="0.2">
      <c r="A7616">
        <f t="shared" si="123"/>
        <v>7555</v>
      </c>
      <c r="B7616" s="1832">
        <f>'Cap Outlay Deprec 26'!D14</f>
        <v>31062</v>
      </c>
      <c r="D7616" s="2" t="str">
        <f t="shared" si="124"/>
        <v>Error?</v>
      </c>
      <c r="E7616" s="2" t="s">
        <v>19</v>
      </c>
    </row>
    <row r="7617" spans="1:5" x14ac:dyDescent="0.2">
      <c r="A7617">
        <f t="shared" si="123"/>
        <v>7556</v>
      </c>
      <c r="B7617" s="1832">
        <f>'Cap Outlay Deprec 26'!E14</f>
        <v>4321</v>
      </c>
      <c r="D7617" s="2" t="str">
        <f t="shared" si="124"/>
        <v>Error?</v>
      </c>
      <c r="E7617" s="2" t="s">
        <v>19</v>
      </c>
    </row>
    <row r="7618" spans="1:5" x14ac:dyDescent="0.2">
      <c r="A7618">
        <f t="shared" si="123"/>
        <v>7557</v>
      </c>
      <c r="B7618" s="1832">
        <f>'Cap Outlay Deprec 26'!F14</f>
        <v>252669</v>
      </c>
      <c r="D7618" s="2" t="str">
        <f t="shared" si="124"/>
        <v>Error?</v>
      </c>
      <c r="E7618" s="2" t="s">
        <v>19</v>
      </c>
    </row>
    <row r="7619" spans="1:5" x14ac:dyDescent="0.2">
      <c r="A7619">
        <f t="shared" si="123"/>
        <v>7558</v>
      </c>
      <c r="B7619" s="1832">
        <f>'Cap Outlay Deprec 26'!H14</f>
        <v>205626</v>
      </c>
      <c r="D7619" s="2" t="str">
        <f t="shared" si="124"/>
        <v>Error?</v>
      </c>
      <c r="E7619" s="2" t="s">
        <v>19</v>
      </c>
    </row>
    <row r="7620" spans="1:5" x14ac:dyDescent="0.2">
      <c r="A7620">
        <f t="shared" si="123"/>
        <v>7559</v>
      </c>
      <c r="B7620" s="1832">
        <f>'Cap Outlay Deprec 26'!I14</f>
        <v>27409</v>
      </c>
      <c r="D7620" s="2" t="str">
        <f t="shared" si="124"/>
        <v>Error?</v>
      </c>
      <c r="E7620" s="2" t="s">
        <v>19</v>
      </c>
    </row>
    <row r="7621" spans="1:5" x14ac:dyDescent="0.2">
      <c r="A7621">
        <f t="shared" si="123"/>
        <v>7560</v>
      </c>
      <c r="B7621" s="1832">
        <f>'Cap Outlay Deprec 26'!J14</f>
        <v>4321</v>
      </c>
      <c r="D7621" s="2" t="str">
        <f t="shared" si="124"/>
        <v>Error?</v>
      </c>
      <c r="E7621" s="2" t="s">
        <v>19</v>
      </c>
    </row>
    <row r="7622" spans="1:5" x14ac:dyDescent="0.2">
      <c r="A7622">
        <f t="shared" si="123"/>
        <v>7561</v>
      </c>
      <c r="B7622" s="1832">
        <f>'Cap Outlay Deprec 26'!K14</f>
        <v>228714</v>
      </c>
      <c r="D7622" s="2" t="str">
        <f t="shared" si="124"/>
        <v>Error?</v>
      </c>
      <c r="E7622" s="2" t="s">
        <v>19</v>
      </c>
    </row>
    <row r="7623" spans="1:5" x14ac:dyDescent="0.2">
      <c r="A7623">
        <f t="shared" si="123"/>
        <v>7562</v>
      </c>
      <c r="B7623" s="1832">
        <f>'Cap Outlay Deprec 26'!L14</f>
        <v>23955</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225357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61</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174978</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175039</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16599</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65347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65347</v>
      </c>
      <c r="D7730" s="2" t="str">
        <f t="shared" si="126"/>
        <v>Error?</v>
      </c>
      <c r="E7730" s="2" t="s">
        <v>822</v>
      </c>
    </row>
    <row r="7731" spans="1:6" x14ac:dyDescent="0.2">
      <c r="A7731">
        <v>7670</v>
      </c>
      <c r="B7731" s="1832">
        <f>'Revenues 9-14'!H103</f>
        <v>174978</v>
      </c>
      <c r="D7731" s="2" t="str">
        <f t="shared" si="126"/>
        <v>Error?</v>
      </c>
      <c r="E7731" s="2" t="s">
        <v>822</v>
      </c>
    </row>
    <row r="7732" spans="1:6" x14ac:dyDescent="0.2">
      <c r="A7732">
        <v>7671</v>
      </c>
      <c r="B7732" s="1832">
        <f>'Rest Tax Levies-Tort Im 25'!J24</f>
        <v>109692</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109692</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25000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838555</v>
      </c>
      <c r="D7817" s="2" t="str">
        <f t="shared" si="128"/>
        <v>Error?</v>
      </c>
      <c r="E7817" s="4" t="s">
        <v>1963</v>
      </c>
    </row>
    <row r="7818" spans="1:5" x14ac:dyDescent="0.2">
      <c r="A7818">
        <v>7757</v>
      </c>
      <c r="B7818" s="1832">
        <f>'PCTC-OEPP 27-28'!F172</f>
        <v>229274</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6885140</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169937</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1154518</v>
      </c>
      <c r="D7834" s="2" t="str">
        <f t="shared" si="129"/>
        <v>Error?</v>
      </c>
      <c r="E7834" s="4" t="s">
        <v>1995</v>
      </c>
    </row>
    <row r="7835" spans="1:5" x14ac:dyDescent="0.2">
      <c r="A7835">
        <v>7774</v>
      </c>
      <c r="B7835" s="1832">
        <f>'PCTC-OEPP 27-28'!F78</f>
        <v>5730622</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8989.2109803921576</v>
      </c>
      <c r="D7837" s="2" t="str">
        <f t="shared" si="129"/>
        <v>Error?</v>
      </c>
      <c r="E7837" s="4" t="s">
        <v>1995</v>
      </c>
    </row>
    <row r="7838" spans="1:5" x14ac:dyDescent="0.2">
      <c r="A7838">
        <v>7777</v>
      </c>
      <c r="B7838" s="1832">
        <f>'PCTC-OEPP 27-28'!F96</f>
        <v>12328</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23203</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106739</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12981</v>
      </c>
      <c r="D7857" s="2" t="str">
        <f t="shared" si="129"/>
        <v>Error?</v>
      </c>
      <c r="E7857" s="4" t="s">
        <v>1995</v>
      </c>
    </row>
    <row r="7858" spans="1:5" x14ac:dyDescent="0.2">
      <c r="A7858">
        <v>7797</v>
      </c>
      <c r="B7858" s="1832">
        <f>'PCTC-OEPP 27-28'!F126</f>
        <v>272186</v>
      </c>
      <c r="D7858" s="2" t="str">
        <f t="shared" si="129"/>
        <v>Error?</v>
      </c>
      <c r="E7858" s="4" t="s">
        <v>1995</v>
      </c>
    </row>
    <row r="7859" spans="1:5" x14ac:dyDescent="0.2">
      <c r="A7859">
        <v>7798</v>
      </c>
      <c r="B7859" s="1832">
        <f>'PCTC-OEPP 27-28'!F127</f>
        <v>418208</v>
      </c>
      <c r="D7859" s="2" t="str">
        <f t="shared" si="129"/>
        <v>Error?</v>
      </c>
      <c r="E7859" s="4" t="s">
        <v>1995</v>
      </c>
    </row>
    <row r="7860" spans="1:5" x14ac:dyDescent="0.2">
      <c r="A7860">
        <v>7799</v>
      </c>
      <c r="B7860" s="1832">
        <f>'PCTC-OEPP 27-28'!F128</f>
        <v>11581</v>
      </c>
      <c r="D7860" s="2" t="str">
        <f t="shared" si="129"/>
        <v>Error?</v>
      </c>
      <c r="E7860" s="4" t="s">
        <v>1995</v>
      </c>
    </row>
    <row r="7861" spans="1:5" x14ac:dyDescent="0.2">
      <c r="A7861">
        <v>7800</v>
      </c>
      <c r="B7861" s="1832">
        <f>'PCTC-OEPP 27-28'!F129</f>
        <v>138179</v>
      </c>
      <c r="D7861" s="2" t="str">
        <f t="shared" si="129"/>
        <v>Error?</v>
      </c>
      <c r="E7861" s="4" t="s">
        <v>1995</v>
      </c>
    </row>
    <row r="7862" spans="1:5" x14ac:dyDescent="0.2">
      <c r="A7862">
        <v>7801</v>
      </c>
      <c r="B7862" s="1832">
        <f>'PCTC-OEPP 27-28'!F130</f>
        <v>5460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1873</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11640</v>
      </c>
      <c r="D7874" s="2" t="str">
        <f t="shared" si="129"/>
        <v>Error?</v>
      </c>
      <c r="E7874" s="4" t="s">
        <v>1995</v>
      </c>
    </row>
    <row r="7875" spans="1:5" x14ac:dyDescent="0.2">
      <c r="A7875">
        <v>7814</v>
      </c>
      <c r="B7875" s="1832">
        <f>'PCTC-OEPP 27-28'!F170</f>
        <v>57513</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1366177</v>
      </c>
      <c r="D7877" s="2" t="str">
        <f t="shared" si="129"/>
        <v>Error?</v>
      </c>
      <c r="E7877" s="4" t="s">
        <v>1995</v>
      </c>
    </row>
    <row r="7878" spans="1:5" x14ac:dyDescent="0.2">
      <c r="A7878">
        <v>7817</v>
      </c>
      <c r="B7878" s="1832">
        <f>'PCTC-OEPP 27-28'!F176</f>
        <v>4364445</v>
      </c>
      <c r="D7878" s="2" t="str">
        <f t="shared" si="129"/>
        <v>Error?</v>
      </c>
      <c r="E7878" s="4" t="s">
        <v>1995</v>
      </c>
    </row>
    <row r="7879" spans="1:5" x14ac:dyDescent="0.2">
      <c r="A7879">
        <v>7818</v>
      </c>
      <c r="B7879" s="1832">
        <f>'PCTC-OEPP 27-28'!F178</f>
        <v>4589802</v>
      </c>
      <c r="D7879" s="2" t="str">
        <f t="shared" si="129"/>
        <v>Error?</v>
      </c>
      <c r="E7879" s="4" t="s">
        <v>1995</v>
      </c>
    </row>
    <row r="7880" spans="1:5" x14ac:dyDescent="0.2">
      <c r="A7880">
        <v>7819</v>
      </c>
      <c r="B7880" s="1832">
        <f>'PCTC-OEPP 27-28'!F180</f>
        <v>7199.6894117647062</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2" sqref="B4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Anna CCSD 37</v>
      </c>
      <c r="B7" s="2516"/>
      <c r="C7" s="2516"/>
      <c r="D7" s="2554"/>
      <c r="E7" s="2555">
        <f>COVER!A13</f>
        <v>30091037004</v>
      </c>
      <c r="F7" s="2556"/>
      <c r="G7" s="2522" t="str">
        <f>COVER!T23</f>
        <v>066-005023</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BEUSSINK HICKAM &amp; KOCHEL PC</v>
      </c>
      <c r="H9" s="2529"/>
      <c r="I9" s="2529"/>
      <c r="J9" s="2529"/>
      <c r="K9" s="2529"/>
      <c r="L9" s="2530"/>
    </row>
    <row r="10" spans="1:29" ht="13.5" customHeight="1" x14ac:dyDescent="0.2">
      <c r="A10" s="2512" t="str">
        <f>COVER!A38</f>
        <v>JULIE BULLARD</v>
      </c>
      <c r="B10" s="2513"/>
      <c r="C10" s="2513"/>
      <c r="D10" s="2513"/>
      <c r="E10" s="2513"/>
      <c r="F10" s="2514"/>
      <c r="G10" s="2528" t="str">
        <f>COVER!T17</f>
        <v>139 W VIENNA ST - PO BOX 556</v>
      </c>
      <c r="H10" s="2541"/>
      <c r="I10" s="2541"/>
      <c r="J10" s="2541"/>
      <c r="K10" s="2541"/>
      <c r="L10" s="2542"/>
    </row>
    <row r="11" spans="1:29" ht="13.5" customHeight="1" x14ac:dyDescent="0.2">
      <c r="A11" s="963" t="s">
        <v>1502</v>
      </c>
      <c r="B11" s="964"/>
      <c r="C11" s="965"/>
      <c r="D11" s="970"/>
      <c r="E11" s="965"/>
      <c r="F11" s="969"/>
      <c r="G11" s="2528" t="str">
        <f>COVER!T19</f>
        <v>ANNA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shickam@frontier.com</v>
      </c>
      <c r="J13" s="2550"/>
      <c r="K13" s="2550"/>
      <c r="L13" s="2551"/>
    </row>
    <row r="14" spans="1:29" ht="13.5" customHeight="1" x14ac:dyDescent="0.2">
      <c r="A14" s="2528" t="str">
        <f>COVER!A19</f>
        <v>301 S GREEN ST</v>
      </c>
      <c r="B14" s="2541"/>
      <c r="C14" s="2541"/>
      <c r="D14" s="2541"/>
      <c r="E14" s="2541"/>
      <c r="F14" s="2542"/>
      <c r="G14" s="974" t="s">
        <v>1175</v>
      </c>
      <c r="H14" s="972"/>
      <c r="I14" s="972"/>
      <c r="J14" s="972"/>
      <c r="K14" s="972"/>
      <c r="L14" s="973"/>
    </row>
    <row r="15" spans="1:29" ht="13.5" customHeight="1" x14ac:dyDescent="0.2">
      <c r="A15" s="2528" t="str">
        <f>COVER!A21</f>
        <v>ANNA</v>
      </c>
      <c r="B15" s="2541"/>
      <c r="C15" s="2541"/>
      <c r="D15" s="2541"/>
      <c r="E15" s="2541"/>
      <c r="F15" s="2542"/>
      <c r="G15" s="2538" t="str">
        <f>COVER!T15</f>
        <v>SCOTT A HICKAM CPA</v>
      </c>
      <c r="H15" s="2539"/>
      <c r="I15" s="2539"/>
      <c r="J15" s="2539"/>
      <c r="K15" s="2539"/>
      <c r="L15" s="2540"/>
    </row>
    <row r="16" spans="1:29" ht="12.2" customHeight="1" x14ac:dyDescent="0.2">
      <c r="A16" s="2518">
        <f>COVER!A25</f>
        <v>62906</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618-833-2721</v>
      </c>
      <c r="H18" s="2516"/>
      <c r="I18" s="2516"/>
      <c r="J18" s="2516"/>
      <c r="K18" s="2515" t="str">
        <f>COVER!X21</f>
        <v>618-833-7077</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2128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23" sqref="B123"/>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Anna CCSD 37</v>
      </c>
      <c r="B1" s="2558"/>
      <c r="C1" s="2558"/>
      <c r="D1" s="2558"/>
    </row>
    <row r="2" spans="1:11" s="991" customFormat="1" ht="12.75" x14ac:dyDescent="0.2">
      <c r="A2" s="2559">
        <f>'Single Audit Cover'!E7</f>
        <v>30091037004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2048</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2048</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2048</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2048</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2048</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2048</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2048</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2048</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2048</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2128</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2128</v>
      </c>
      <c r="C42" s="1008">
        <v>11</v>
      </c>
      <c r="D42" s="1019" t="s">
        <v>1557</v>
      </c>
      <c r="E42" s="290"/>
    </row>
    <row r="43" spans="1:5" ht="3" customHeight="1" x14ac:dyDescent="0.2">
      <c r="A43" s="998"/>
      <c r="B43" s="1015"/>
      <c r="C43" s="1016"/>
      <c r="D43" s="997"/>
    </row>
    <row r="44" spans="1:5" x14ac:dyDescent="0.2">
      <c r="A44" s="998"/>
      <c r="B44" s="1001" t="s">
        <v>2048</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2048</v>
      </c>
      <c r="C48" s="1002">
        <f>C44+1</f>
        <v>13</v>
      </c>
      <c r="D48" s="1013" t="s">
        <v>1558</v>
      </c>
    </row>
    <row r="49" spans="1:4" ht="3" customHeight="1" x14ac:dyDescent="0.2">
      <c r="A49" s="998"/>
      <c r="B49" s="1005"/>
      <c r="C49" s="1002"/>
      <c r="D49" s="1013"/>
    </row>
    <row r="50" spans="1:4" x14ac:dyDescent="0.2">
      <c r="A50" s="998"/>
      <c r="B50" s="1001" t="s">
        <v>2048</v>
      </c>
      <c r="C50" s="1002">
        <f>C48+1</f>
        <v>14</v>
      </c>
      <c r="D50" s="1013" t="s">
        <v>1202</v>
      </c>
    </row>
    <row r="51" spans="1:4" ht="3" customHeight="1" x14ac:dyDescent="0.2">
      <c r="A51" s="998"/>
      <c r="B51" s="1005"/>
      <c r="C51" s="1002"/>
      <c r="D51" s="1013"/>
    </row>
    <row r="52" spans="1:4" x14ac:dyDescent="0.2">
      <c r="A52" s="998"/>
      <c r="B52" s="1001" t="s">
        <v>2048</v>
      </c>
      <c r="C52" s="1002">
        <f>C50+1</f>
        <v>15</v>
      </c>
      <c r="D52" s="1013" t="s">
        <v>1201</v>
      </c>
    </row>
    <row r="53" spans="1:4" ht="3" customHeight="1" x14ac:dyDescent="0.2">
      <c r="A53" s="998"/>
      <c r="B53" s="1005"/>
      <c r="C53" s="1002"/>
      <c r="D53" s="1013"/>
    </row>
    <row r="54" spans="1:4" x14ac:dyDescent="0.2">
      <c r="A54" s="998"/>
      <c r="B54" s="1001" t="s">
        <v>2128</v>
      </c>
      <c r="C54" s="1002">
        <f>C52+1</f>
        <v>16</v>
      </c>
      <c r="D54" s="1013" t="s">
        <v>1200</v>
      </c>
    </row>
    <row r="55" spans="1:4" ht="3" customHeight="1" x14ac:dyDescent="0.2">
      <c r="A55" s="998"/>
      <c r="B55" s="1005"/>
      <c r="C55" s="1002"/>
      <c r="D55" s="1013"/>
    </row>
    <row r="56" spans="1:4" x14ac:dyDescent="0.2">
      <c r="A56" s="998"/>
      <c r="B56" s="1001" t="s">
        <v>2048</v>
      </c>
      <c r="C56" s="1002">
        <f>C54+1</f>
        <v>17</v>
      </c>
      <c r="D56" s="997" t="s">
        <v>1686</v>
      </c>
    </row>
    <row r="57" spans="1:4" ht="10.5" customHeight="1" x14ac:dyDescent="0.2">
      <c r="A57" s="998"/>
      <c r="D57" s="1013" t="s">
        <v>1687</v>
      </c>
    </row>
    <row r="58" spans="1:4" x14ac:dyDescent="0.2">
      <c r="A58" s="998"/>
      <c r="C58" s="1020" t="s">
        <v>2048</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2128</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2128</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2128</v>
      </c>
      <c r="D69" s="1013" t="s">
        <v>1691</v>
      </c>
    </row>
    <row r="70" spans="1:4" x14ac:dyDescent="0.2">
      <c r="A70" s="998"/>
      <c r="D70" s="1022" t="s">
        <v>1196</v>
      </c>
    </row>
    <row r="71" spans="1:4" ht="3" customHeight="1" x14ac:dyDescent="0.2">
      <c r="A71" s="998"/>
      <c r="D71" s="997"/>
    </row>
    <row r="72" spans="1:4" x14ac:dyDescent="0.2">
      <c r="A72" s="998"/>
      <c r="B72" s="1001" t="s">
        <v>2048</v>
      </c>
      <c r="C72" s="1002">
        <f>C56+1</f>
        <v>18</v>
      </c>
      <c r="D72" s="1023" t="s">
        <v>1692</v>
      </c>
    </row>
    <row r="73" spans="1:4" ht="3" customHeight="1" x14ac:dyDescent="0.2">
      <c r="A73" s="998"/>
      <c r="B73" s="1005"/>
      <c r="C73" s="1002"/>
      <c r="D73" s="1023"/>
    </row>
    <row r="74" spans="1:4" x14ac:dyDescent="0.2">
      <c r="A74" s="998"/>
      <c r="B74" s="1001" t="s">
        <v>2048</v>
      </c>
      <c r="C74" s="1002">
        <f>C72+1</f>
        <v>19</v>
      </c>
      <c r="D74" s="1013" t="s">
        <v>1195</v>
      </c>
    </row>
    <row r="75" spans="1:4" ht="3" customHeight="1" x14ac:dyDescent="0.2">
      <c r="A75" s="998"/>
      <c r="B75" s="1005"/>
      <c r="C75" s="1002"/>
      <c r="D75" s="1013"/>
    </row>
    <row r="76" spans="1:4" x14ac:dyDescent="0.2">
      <c r="A76" s="998"/>
      <c r="B76" s="1001" t="s">
        <v>2048</v>
      </c>
      <c r="C76" s="1002">
        <f>C74+1</f>
        <v>20</v>
      </c>
      <c r="D76" s="1024" t="s">
        <v>1693</v>
      </c>
    </row>
    <row r="77" spans="1:4" ht="3" customHeight="1" x14ac:dyDescent="0.2">
      <c r="A77" s="998"/>
      <c r="B77" s="1005"/>
      <c r="C77" s="1002"/>
      <c r="D77" s="1024"/>
    </row>
    <row r="78" spans="1:4" x14ac:dyDescent="0.2">
      <c r="A78" s="998"/>
      <c r="B78" s="1001" t="s">
        <v>2048</v>
      </c>
      <c r="C78" s="1002">
        <f>C76+1</f>
        <v>21</v>
      </c>
      <c r="D78" s="997" t="s">
        <v>1694</v>
      </c>
    </row>
    <row r="79" spans="1:4" ht="3" customHeight="1" x14ac:dyDescent="0.2">
      <c r="A79" s="998"/>
      <c r="B79" s="1005"/>
      <c r="C79" s="1002"/>
      <c r="D79" s="997"/>
    </row>
    <row r="80" spans="1:4" x14ac:dyDescent="0.2">
      <c r="A80" s="998"/>
      <c r="B80" s="1001" t="s">
        <v>2048</v>
      </c>
      <c r="C80" s="1002">
        <f>C78+1</f>
        <v>22</v>
      </c>
      <c r="D80" s="1025" t="s">
        <v>1695</v>
      </c>
    </row>
    <row r="81" spans="1:4" ht="3" customHeight="1" x14ac:dyDescent="0.2">
      <c r="A81" s="998"/>
      <c r="B81" s="1005"/>
      <c r="C81" s="1002"/>
      <c r="D81" s="1025"/>
    </row>
    <row r="82" spans="1:4" x14ac:dyDescent="0.2">
      <c r="A82" s="998"/>
      <c r="B82" s="1001" t="s">
        <v>2048</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2048</v>
      </c>
      <c r="C85" s="1002">
        <f>C82+1</f>
        <v>24</v>
      </c>
      <c r="D85" s="1013" t="s">
        <v>1193</v>
      </c>
    </row>
    <row r="86" spans="1:4" ht="3" customHeight="1" x14ac:dyDescent="0.2">
      <c r="A86" s="998"/>
      <c r="B86" s="1005"/>
      <c r="C86" s="1002"/>
      <c r="D86" s="1013"/>
    </row>
    <row r="87" spans="1:4" x14ac:dyDescent="0.2">
      <c r="A87" s="998"/>
      <c r="B87" s="1001" t="s">
        <v>2048</v>
      </c>
      <c r="C87" s="1002">
        <f>C85+1</f>
        <v>25</v>
      </c>
      <c r="D87" s="1013" t="s">
        <v>1192</v>
      </c>
    </row>
    <row r="88" spans="1:4" ht="3" customHeight="1" x14ac:dyDescent="0.2">
      <c r="A88" s="998"/>
      <c r="B88" s="1005"/>
      <c r="C88" s="1002"/>
      <c r="D88" s="1013"/>
    </row>
    <row r="89" spans="1:4" x14ac:dyDescent="0.2">
      <c r="A89" s="998"/>
      <c r="B89" s="1001" t="s">
        <v>2048</v>
      </c>
      <c r="C89" s="1002">
        <f>C87+1</f>
        <v>26</v>
      </c>
      <c r="D89" s="1013" t="s">
        <v>1191</v>
      </c>
    </row>
    <row r="90" spans="1:4" ht="3" customHeight="1" x14ac:dyDescent="0.2">
      <c r="A90" s="998"/>
      <c r="B90" s="1005"/>
      <c r="C90" s="1002"/>
      <c r="D90" s="1013"/>
    </row>
    <row r="91" spans="1:4" x14ac:dyDescent="0.2">
      <c r="A91" s="998"/>
      <c r="B91" s="1001" t="s">
        <v>2048</v>
      </c>
      <c r="C91" s="1002">
        <f>C89+1</f>
        <v>27</v>
      </c>
      <c r="D91" s="1013" t="s">
        <v>1697</v>
      </c>
    </row>
    <row r="92" spans="1:4" x14ac:dyDescent="0.2">
      <c r="A92" s="998"/>
      <c r="B92" s="1026"/>
      <c r="C92" s="1020" t="s">
        <v>2128</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2048</v>
      </c>
      <c r="C96" s="1002">
        <f>C91+1</f>
        <v>28</v>
      </c>
      <c r="D96" s="1013" t="s">
        <v>1698</v>
      </c>
    </row>
    <row r="97" spans="1:4" ht="3" customHeight="1" x14ac:dyDescent="0.2">
      <c r="A97" s="998"/>
      <c r="B97" s="1005"/>
      <c r="C97" s="1002"/>
      <c r="D97" s="1013"/>
    </row>
    <row r="98" spans="1:4" x14ac:dyDescent="0.2">
      <c r="A98" s="998"/>
      <c r="B98" s="1001" t="s">
        <v>2048</v>
      </c>
      <c r="C98" s="1002">
        <f>C96+1</f>
        <v>29</v>
      </c>
      <c r="D98" s="1027" t="s">
        <v>1699</v>
      </c>
    </row>
    <row r="99" spans="1:4" ht="3" customHeight="1" x14ac:dyDescent="0.2">
      <c r="A99" s="998"/>
      <c r="B99" s="1005"/>
      <c r="C99" s="1002"/>
      <c r="D99" s="1027"/>
    </row>
    <row r="100" spans="1:4" x14ac:dyDescent="0.2">
      <c r="A100" s="998"/>
      <c r="B100" s="1001" t="s">
        <v>2048</v>
      </c>
      <c r="C100" s="1002">
        <f>C98+1</f>
        <v>30</v>
      </c>
      <c r="D100" s="1013" t="s">
        <v>1700</v>
      </c>
    </row>
    <row r="101" spans="1:4" ht="3" customHeight="1" x14ac:dyDescent="0.2">
      <c r="A101" s="998"/>
      <c r="B101" s="1005"/>
      <c r="C101" s="1002"/>
      <c r="D101" s="1028"/>
    </row>
    <row r="102" spans="1:4" x14ac:dyDescent="0.2">
      <c r="A102" s="998"/>
      <c r="B102" s="1001" t="s">
        <v>2048</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2128</v>
      </c>
      <c r="C106" s="1002">
        <f>C102+1</f>
        <v>32</v>
      </c>
      <c r="D106" s="997" t="s">
        <v>1563</v>
      </c>
    </row>
    <row r="107" spans="1:4" ht="3" customHeight="1" x14ac:dyDescent="0.2">
      <c r="A107" s="998"/>
      <c r="B107" s="1005"/>
      <c r="C107" s="1002"/>
      <c r="D107" s="997"/>
    </row>
    <row r="108" spans="1:4" x14ac:dyDescent="0.2">
      <c r="A108" s="998"/>
      <c r="B108" s="1001" t="s">
        <v>2128</v>
      </c>
      <c r="C108" s="1002">
        <v>33</v>
      </c>
      <c r="D108" s="997" t="s">
        <v>1701</v>
      </c>
    </row>
    <row r="109" spans="1:4" ht="3" customHeight="1" x14ac:dyDescent="0.2">
      <c r="A109" s="998"/>
      <c r="B109" s="1005"/>
      <c r="C109" s="1002"/>
      <c r="D109" s="997"/>
    </row>
    <row r="110" spans="1:4" x14ac:dyDescent="0.2">
      <c r="A110" s="998"/>
      <c r="B110" s="1001" t="s">
        <v>2128</v>
      </c>
      <c r="C110" s="1002">
        <f>C108+1</f>
        <v>34</v>
      </c>
      <c r="D110" s="997" t="s">
        <v>1188</v>
      </c>
    </row>
    <row r="111" spans="1:4" ht="3" customHeight="1" x14ac:dyDescent="0.2">
      <c r="A111" s="998"/>
      <c r="B111" s="1005"/>
      <c r="C111" s="1002"/>
      <c r="D111" s="997"/>
    </row>
    <row r="112" spans="1:4" x14ac:dyDescent="0.2">
      <c r="A112" s="998"/>
      <c r="B112" s="1001" t="s">
        <v>2128</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2128</v>
      </c>
      <c r="C115" s="1002">
        <f>C112+1</f>
        <v>36</v>
      </c>
      <c r="D115" s="1013" t="s">
        <v>1185</v>
      </c>
    </row>
    <row r="116" spans="1:4" ht="3" customHeight="1" x14ac:dyDescent="0.2">
      <c r="A116" s="998"/>
      <c r="B116" s="1005"/>
      <c r="C116" s="1002"/>
      <c r="D116" s="1013"/>
    </row>
    <row r="117" spans="1:4" x14ac:dyDescent="0.2">
      <c r="A117" s="998"/>
      <c r="B117" s="1001" t="s">
        <v>2128</v>
      </c>
      <c r="C117" s="1002">
        <f>C115+1</f>
        <v>37</v>
      </c>
      <c r="D117" s="1013" t="s">
        <v>1702</v>
      </c>
    </row>
    <row r="118" spans="1:4" ht="3" customHeight="1" x14ac:dyDescent="0.2">
      <c r="A118" s="998"/>
      <c r="B118" s="1005"/>
      <c r="C118" s="1002"/>
      <c r="D118" s="1013"/>
    </row>
    <row r="119" spans="1:4" x14ac:dyDescent="0.2">
      <c r="A119" s="998"/>
      <c r="B119" s="1001" t="s">
        <v>2128</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2128</v>
      </c>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Anna CCSD 37</v>
      </c>
      <c r="B1" s="2562"/>
      <c r="C1" s="2562"/>
      <c r="D1" s="2562"/>
      <c r="E1" s="2562"/>
    </row>
    <row r="2" spans="1:5" x14ac:dyDescent="0.2">
      <c r="A2" s="2563">
        <f>'Single Audit Cover'!E7</f>
        <v>30091037004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934373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23747</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-57513</v>
      </c>
    </row>
    <row r="19" spans="1:4" ht="13.5" thickBot="1" x14ac:dyDescent="0.25">
      <c r="A19" s="1041" t="s">
        <v>1224</v>
      </c>
      <c r="D19" s="1042">
        <f>SUM(D10:D17)</f>
        <v>900607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900607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900607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C1:O154"/>
  <sheetViews>
    <sheetView showGridLines="0" zoomScaleNormal="100" workbookViewId="0">
      <selection activeCell="C3" sqref="C3:N3"/>
    </sheetView>
  </sheetViews>
  <sheetFormatPr defaultColWidth="33.5703125" defaultRowHeight="12.75" x14ac:dyDescent="0.2"/>
  <cols>
    <col min="1" max="2" width="0.140625" style="295" customWidth="1"/>
    <col min="3" max="3" width="36.7109375" style="295" customWidth="1"/>
    <col min="4" max="4" width="8.7109375" style="1127" customWidth="1"/>
    <col min="5" max="5" width="12.7109375" style="1128" customWidth="1"/>
    <col min="6" max="7" width="12.7109375" style="295" customWidth="1"/>
    <col min="8" max="13" width="12.7109375" style="1034" customWidth="1"/>
    <col min="14" max="14" width="12.7109375" style="295" customWidth="1"/>
    <col min="15" max="15" width="2.7109375" style="295" customWidth="1"/>
    <col min="16" max="16384" width="33.5703125" style="295"/>
  </cols>
  <sheetData>
    <row r="1" spans="3:15" ht="11.85" customHeight="1" x14ac:dyDescent="0.2">
      <c r="C1" s="2521" t="str">
        <f>'Single Audit Cover'!A7</f>
        <v>Anna CCSD 37</v>
      </c>
      <c r="D1" s="2566"/>
      <c r="E1" s="2566"/>
      <c r="F1" s="2566"/>
      <c r="G1" s="2566"/>
      <c r="H1" s="2566"/>
      <c r="I1" s="2566"/>
      <c r="J1" s="2566"/>
      <c r="K1" s="2566"/>
      <c r="L1" s="2566"/>
      <c r="M1" s="2566"/>
      <c r="N1" s="2566"/>
    </row>
    <row r="2" spans="3:15" ht="15" x14ac:dyDescent="0.2">
      <c r="C2" s="2567">
        <f>'Single Audit Cover'!E7</f>
        <v>30091037004</v>
      </c>
      <c r="D2" s="2567"/>
      <c r="E2" s="2567"/>
      <c r="F2" s="2567"/>
      <c r="G2" s="2567"/>
      <c r="H2" s="2567"/>
      <c r="I2" s="2567"/>
      <c r="J2" s="2567"/>
      <c r="K2" s="2567"/>
      <c r="L2" s="2567"/>
      <c r="M2" s="2567"/>
      <c r="N2" s="2567"/>
      <c r="O2" s="1078"/>
    </row>
    <row r="3" spans="3:15" ht="15" x14ac:dyDescent="0.2">
      <c r="C3" s="2568" t="s">
        <v>1208</v>
      </c>
      <c r="D3" s="2568"/>
      <c r="E3" s="2568"/>
      <c r="F3" s="2568"/>
      <c r="G3" s="2568"/>
      <c r="H3" s="2568"/>
      <c r="I3" s="2568"/>
      <c r="J3" s="2568"/>
      <c r="K3" s="2568"/>
      <c r="L3" s="2568"/>
      <c r="M3" s="2568"/>
      <c r="N3" s="2568"/>
      <c r="O3" s="1078"/>
    </row>
    <row r="4" spans="3:15" ht="15" x14ac:dyDescent="0.2">
      <c r="C4" s="2569" t="str">
        <f>'Single Audit Cover'!A4</f>
        <v>Year Ending June 30, 2020</v>
      </c>
      <c r="D4" s="2569"/>
      <c r="E4" s="2569"/>
      <c r="F4" s="2569"/>
      <c r="G4" s="2569"/>
      <c r="H4" s="2569"/>
      <c r="I4" s="2569"/>
      <c r="J4" s="2569"/>
      <c r="K4" s="2569"/>
      <c r="L4" s="2569"/>
      <c r="M4" s="2569"/>
      <c r="N4" s="2569"/>
      <c r="O4" s="1078"/>
    </row>
    <row r="5" spans="3:15" x14ac:dyDescent="0.2">
      <c r="I5" s="1916"/>
      <c r="K5" s="1916"/>
    </row>
    <row r="6" spans="3:15" x14ac:dyDescent="0.2">
      <c r="C6" s="1079"/>
      <c r="D6" s="1080"/>
      <c r="E6" s="1081" t="s">
        <v>1254</v>
      </c>
      <c r="F6" s="1082" t="s">
        <v>524</v>
      </c>
      <c r="G6" s="1083"/>
      <c r="H6" s="1084" t="s">
        <v>1708</v>
      </c>
      <c r="I6" s="1082"/>
      <c r="J6" s="1082"/>
      <c r="K6" s="1917"/>
      <c r="L6" s="1085"/>
      <c r="M6" s="1086"/>
      <c r="N6" s="1087"/>
    </row>
    <row r="7" spans="3:15" x14ac:dyDescent="0.2">
      <c r="C7" s="1088" t="s">
        <v>1564</v>
      </c>
      <c r="D7" s="1089"/>
      <c r="E7" s="1090"/>
      <c r="F7" s="1091"/>
      <c r="G7" s="1092"/>
      <c r="H7" s="1091"/>
      <c r="I7" s="1093" t="s">
        <v>1251</v>
      </c>
      <c r="J7" s="1091"/>
      <c r="K7" s="1094" t="s">
        <v>1251</v>
      </c>
      <c r="L7" s="1095"/>
      <c r="M7" s="1096" t="s">
        <v>1249</v>
      </c>
      <c r="N7" s="1097"/>
    </row>
    <row r="8" spans="3:15" x14ac:dyDescent="0.2">
      <c r="C8" s="1379"/>
      <c r="D8" s="1089" t="s">
        <v>1253</v>
      </c>
      <c r="E8" s="1090" t="s">
        <v>1252</v>
      </c>
      <c r="F8" s="1098" t="s">
        <v>1251</v>
      </c>
      <c r="G8" s="1099" t="s">
        <v>1251</v>
      </c>
      <c r="H8" s="1100" t="s">
        <v>1251</v>
      </c>
      <c r="I8" s="1819" t="str">
        <f>"7/1/"&amp;MID('AFR20'!$E$2,3,2)-2&amp;"-6/30/"&amp;MID('AFR20'!$E$2,3,2)-1</f>
        <v>7/1/18-6/30/19</v>
      </c>
      <c r="J8" s="1095" t="s">
        <v>1251</v>
      </c>
      <c r="K8" s="1820" t="str">
        <f>"7/1/"&amp;MID('AFR20'!$E$2,3,2)-1&amp;"-6/30/"&amp;MID('AFR20'!$E$2,3,2)</f>
        <v>7/1/19-6/30/20</v>
      </c>
      <c r="L8" s="1095" t="s">
        <v>1250</v>
      </c>
      <c r="M8" s="1096" t="s">
        <v>1246</v>
      </c>
      <c r="N8" s="1097" t="s">
        <v>30</v>
      </c>
    </row>
    <row r="9" spans="3:15" ht="14.25" x14ac:dyDescent="0.2">
      <c r="C9" s="1101" t="s">
        <v>1248</v>
      </c>
      <c r="D9" s="1089" t="s">
        <v>1709</v>
      </c>
      <c r="E9" s="1090" t="s">
        <v>1710</v>
      </c>
      <c r="F9" s="1915" t="str">
        <f>"7/1/"&amp;MID('AFR20'!$E$2,3,2)-2&amp;"-6/30/"&amp;MID('AFR20'!$E$2,3,2)-1</f>
        <v>7/1/18-6/30/19</v>
      </c>
      <c r="G9" s="1915" t="str">
        <f>"7/1/"&amp;MID('AFR20'!$E$2,3,2)-1&amp;"-6/30/"&amp;MID('AFR20'!$E$2,3,2)</f>
        <v>7/1/19-6/30/20</v>
      </c>
      <c r="H9" s="1915" t="str">
        <f>"7/1/"&amp;MID('AFR20'!$E$2,3,2)-2&amp;"-6/30/"&amp;MID('AFR20'!$E$2,3,2)-1</f>
        <v>7/1/18-6/30/19</v>
      </c>
      <c r="I9" s="1093" t="s">
        <v>1565</v>
      </c>
      <c r="J9" s="1915" t="str">
        <f>"7/1/"&amp;MID('AFR20'!$E$2,3,2)-1&amp;"-6/30/"&amp;MID('AFR20'!$E$2,3,2)</f>
        <v>7/1/19-6/30/20</v>
      </c>
      <c r="K9" s="1094" t="s">
        <v>1565</v>
      </c>
      <c r="L9" s="1095" t="s">
        <v>1247</v>
      </c>
      <c r="M9" s="1102" t="s">
        <v>1566</v>
      </c>
      <c r="N9" s="1097"/>
    </row>
    <row r="10" spans="3:15" ht="12.75" customHeight="1" x14ac:dyDescent="0.2">
      <c r="C10" s="1101" t="s">
        <v>1245</v>
      </c>
      <c r="D10" s="1103" t="s">
        <v>1244</v>
      </c>
      <c r="E10" s="1104" t="s">
        <v>1243</v>
      </c>
      <c r="F10" s="1105" t="s">
        <v>1242</v>
      </c>
      <c r="G10" s="1106" t="s">
        <v>1241</v>
      </c>
      <c r="H10" s="1107" t="s">
        <v>1240</v>
      </c>
      <c r="I10" s="1108" t="s">
        <v>1255</v>
      </c>
      <c r="J10" s="1109" t="s">
        <v>1239</v>
      </c>
      <c r="K10" s="1110" t="s">
        <v>1255</v>
      </c>
      <c r="L10" s="1111" t="s">
        <v>1238</v>
      </c>
      <c r="M10" s="1111" t="s">
        <v>1237</v>
      </c>
      <c r="N10" s="1112" t="s">
        <v>1236</v>
      </c>
    </row>
    <row r="11" spans="3:15" ht="20.100000000000001" customHeight="1" x14ac:dyDescent="0.2">
      <c r="C11" s="1113" t="s">
        <v>2101</v>
      </c>
      <c r="D11" s="1821"/>
      <c r="E11" s="1822"/>
      <c r="F11" s="1823"/>
      <c r="G11" s="1823"/>
      <c r="H11" s="1823"/>
      <c r="I11" s="1823"/>
      <c r="J11" s="1823"/>
      <c r="K11" s="1823"/>
      <c r="L11" s="1823"/>
      <c r="M11" s="1823"/>
      <c r="N11" s="1823"/>
    </row>
    <row r="12" spans="3:15" ht="20.100000000000001" customHeight="1" x14ac:dyDescent="0.2">
      <c r="C12" s="1113" t="s">
        <v>2102</v>
      </c>
      <c r="D12" s="1821"/>
      <c r="E12" s="1822"/>
      <c r="F12" s="1823"/>
      <c r="G12" s="1823"/>
      <c r="H12" s="1823"/>
      <c r="I12" s="1823"/>
      <c r="J12" s="1823"/>
      <c r="K12" s="1823"/>
      <c r="L12" s="1823"/>
      <c r="M12" s="1823"/>
      <c r="N12" s="1823"/>
    </row>
    <row r="13" spans="3:15" ht="20.100000000000001" customHeight="1" x14ac:dyDescent="0.2">
      <c r="C13" s="1113" t="s">
        <v>2109</v>
      </c>
      <c r="D13" s="1824" t="s">
        <v>2075</v>
      </c>
      <c r="E13" s="1825" t="s">
        <v>2081</v>
      </c>
      <c r="F13" s="1826">
        <v>227967</v>
      </c>
      <c r="G13" s="1826">
        <v>99011</v>
      </c>
      <c r="H13" s="1826">
        <v>263986</v>
      </c>
      <c r="I13" s="1826">
        <v>0</v>
      </c>
      <c r="J13" s="1826">
        <v>62992</v>
      </c>
      <c r="K13" s="1826">
        <v>0</v>
      </c>
      <c r="L13" s="1826">
        <v>0</v>
      </c>
      <c r="M13" s="1823">
        <f>+H13+J13+L13</f>
        <v>326978</v>
      </c>
      <c r="N13" s="1826">
        <v>348407</v>
      </c>
    </row>
    <row r="14" spans="3:15" ht="20.100000000000001" customHeight="1" x14ac:dyDescent="0.2">
      <c r="C14" s="1113" t="s">
        <v>2109</v>
      </c>
      <c r="D14" s="1824" t="s">
        <v>2075</v>
      </c>
      <c r="E14" s="1825" t="s">
        <v>2086</v>
      </c>
      <c r="F14" s="1826">
        <v>0</v>
      </c>
      <c r="G14" s="1826">
        <v>304337</v>
      </c>
      <c r="H14" s="1826">
        <v>0</v>
      </c>
      <c r="I14" s="1826">
        <v>0</v>
      </c>
      <c r="J14" s="1826">
        <v>304337</v>
      </c>
      <c r="K14" s="1826">
        <v>0</v>
      </c>
      <c r="L14" s="1826">
        <v>0</v>
      </c>
      <c r="M14" s="1823">
        <f>+H14+J14+L14</f>
        <v>304337</v>
      </c>
      <c r="N14" s="1826">
        <v>421951</v>
      </c>
    </row>
    <row r="15" spans="3:15" ht="20.100000000000001" customHeight="1" x14ac:dyDescent="0.2">
      <c r="C15" s="1113" t="s">
        <v>2110</v>
      </c>
      <c r="D15" s="1824" t="s">
        <v>2075</v>
      </c>
      <c r="E15" s="1825" t="s">
        <v>2082</v>
      </c>
      <c r="F15" s="1826">
        <v>0</v>
      </c>
      <c r="G15" s="1826">
        <v>14860</v>
      </c>
      <c r="H15" s="1826">
        <v>12754</v>
      </c>
      <c r="I15" s="1826">
        <v>0</v>
      </c>
      <c r="J15" s="1826">
        <v>2246</v>
      </c>
      <c r="K15" s="1826">
        <v>0</v>
      </c>
      <c r="L15" s="1826">
        <v>0</v>
      </c>
      <c r="M15" s="1823">
        <f>+H15+J15+L15</f>
        <v>15000</v>
      </c>
      <c r="N15" s="1826">
        <v>15000</v>
      </c>
    </row>
    <row r="16" spans="3:15" ht="20.100000000000001" customHeight="1" x14ac:dyDescent="0.2">
      <c r="C16" s="1113" t="s">
        <v>2117</v>
      </c>
      <c r="D16" s="1824"/>
      <c r="E16" s="1825"/>
      <c r="F16" s="1826">
        <f t="shared" ref="F16:L16" si="0">+F13+F14+F15</f>
        <v>227967</v>
      </c>
      <c r="G16" s="1826">
        <f t="shared" si="0"/>
        <v>418208</v>
      </c>
      <c r="H16" s="1826">
        <f t="shared" si="0"/>
        <v>276740</v>
      </c>
      <c r="I16" s="1826">
        <f t="shared" si="0"/>
        <v>0</v>
      </c>
      <c r="J16" s="1826">
        <f t="shared" si="0"/>
        <v>369575</v>
      </c>
      <c r="K16" s="1826">
        <f t="shared" si="0"/>
        <v>0</v>
      </c>
      <c r="L16" s="1826">
        <f t="shared" si="0"/>
        <v>0</v>
      </c>
      <c r="M16" s="1823">
        <f>+H16+J16+L16</f>
        <v>646315</v>
      </c>
      <c r="N16" s="1826"/>
    </row>
    <row r="17" spans="3:15" ht="20.100000000000001" customHeight="1" x14ac:dyDescent="0.2">
      <c r="C17" s="1113" t="s">
        <v>2111</v>
      </c>
      <c r="D17" s="1824" t="s">
        <v>2076</v>
      </c>
      <c r="E17" s="1825" t="s">
        <v>2087</v>
      </c>
      <c r="F17" s="1826">
        <v>0</v>
      </c>
      <c r="G17" s="1826">
        <v>1873</v>
      </c>
      <c r="H17" s="1826">
        <v>0</v>
      </c>
      <c r="I17" s="1826">
        <v>0</v>
      </c>
      <c r="J17" s="1826">
        <v>1873</v>
      </c>
      <c r="K17" s="1826">
        <v>0</v>
      </c>
      <c r="L17" s="1826">
        <v>0</v>
      </c>
      <c r="M17" s="1823">
        <f t="shared" ref="M17:M27" si="1">+H17+J17+L17</f>
        <v>1873</v>
      </c>
      <c r="N17" s="1826">
        <v>1895</v>
      </c>
    </row>
    <row r="18" spans="3:15" ht="20.100000000000001" customHeight="1" x14ac:dyDescent="0.2">
      <c r="C18" s="1113" t="s">
        <v>2121</v>
      </c>
      <c r="D18" s="1824"/>
      <c r="E18" s="1825"/>
      <c r="F18" s="1826">
        <f t="shared" ref="F18:L18" si="2">+F17</f>
        <v>0</v>
      </c>
      <c r="G18" s="1826">
        <f t="shared" si="2"/>
        <v>1873</v>
      </c>
      <c r="H18" s="1826">
        <f t="shared" si="2"/>
        <v>0</v>
      </c>
      <c r="I18" s="1826">
        <f t="shared" si="2"/>
        <v>0</v>
      </c>
      <c r="J18" s="1826">
        <f t="shared" si="2"/>
        <v>1873</v>
      </c>
      <c r="K18" s="1826">
        <f t="shared" si="2"/>
        <v>0</v>
      </c>
      <c r="L18" s="1826">
        <f t="shared" si="2"/>
        <v>0</v>
      </c>
      <c r="M18" s="1823">
        <f>+H18+J18+L18</f>
        <v>1873</v>
      </c>
      <c r="N18" s="1826"/>
    </row>
    <row r="19" spans="3:15" ht="20.100000000000001" customHeight="1" x14ac:dyDescent="0.2">
      <c r="C19" s="1113" t="s">
        <v>2112</v>
      </c>
      <c r="D19" s="1824" t="s">
        <v>2077</v>
      </c>
      <c r="E19" s="1825" t="s">
        <v>2083</v>
      </c>
      <c r="F19" s="1826">
        <v>0</v>
      </c>
      <c r="G19" s="1826">
        <v>7054</v>
      </c>
      <c r="H19" s="1826">
        <v>7054</v>
      </c>
      <c r="I19" s="1826">
        <v>0</v>
      </c>
      <c r="J19" s="1826">
        <v>0</v>
      </c>
      <c r="K19" s="1826">
        <v>0</v>
      </c>
      <c r="L19" s="1826">
        <v>0</v>
      </c>
      <c r="M19" s="1823">
        <f t="shared" si="1"/>
        <v>7054</v>
      </c>
      <c r="N19" s="1826">
        <v>7199</v>
      </c>
    </row>
    <row r="20" spans="3:15" ht="20.100000000000001" customHeight="1" x14ac:dyDescent="0.2">
      <c r="C20" s="1113" t="s">
        <v>2112</v>
      </c>
      <c r="D20" s="1824" t="s">
        <v>2077</v>
      </c>
      <c r="E20" s="1825" t="s">
        <v>2088</v>
      </c>
      <c r="F20" s="1826">
        <v>0</v>
      </c>
      <c r="G20" s="1826">
        <v>4527</v>
      </c>
      <c r="H20" s="1826">
        <v>0</v>
      </c>
      <c r="I20" s="1826">
        <v>0</v>
      </c>
      <c r="J20" s="1826">
        <v>4527</v>
      </c>
      <c r="K20" s="1826">
        <v>0</v>
      </c>
      <c r="L20" s="1826">
        <v>0</v>
      </c>
      <c r="M20" s="1823">
        <f t="shared" si="1"/>
        <v>4527</v>
      </c>
      <c r="N20" s="1826">
        <v>10772</v>
      </c>
    </row>
    <row r="21" spans="3:15" ht="20.100000000000001" customHeight="1" x14ac:dyDescent="0.2">
      <c r="C21" s="1113" t="s">
        <v>2118</v>
      </c>
      <c r="D21" s="1824"/>
      <c r="E21" s="1825"/>
      <c r="F21" s="1826">
        <f t="shared" ref="F21:L21" si="3">+F19+F20</f>
        <v>0</v>
      </c>
      <c r="G21" s="1826">
        <f t="shared" si="3"/>
        <v>11581</v>
      </c>
      <c r="H21" s="1826">
        <f t="shared" si="3"/>
        <v>7054</v>
      </c>
      <c r="I21" s="1826">
        <f t="shared" si="3"/>
        <v>0</v>
      </c>
      <c r="J21" s="1826">
        <f t="shared" si="3"/>
        <v>4527</v>
      </c>
      <c r="K21" s="1826">
        <f t="shared" si="3"/>
        <v>0</v>
      </c>
      <c r="L21" s="1826">
        <f t="shared" si="3"/>
        <v>0</v>
      </c>
      <c r="M21" s="1823">
        <f>+H21+J21+L21</f>
        <v>11581</v>
      </c>
      <c r="N21" s="1826"/>
    </row>
    <row r="22" spans="3:15" ht="20.100000000000001" customHeight="1" x14ac:dyDescent="0.2">
      <c r="C22" s="1113" t="s">
        <v>2113</v>
      </c>
      <c r="D22" s="1824" t="s">
        <v>2078</v>
      </c>
      <c r="E22" s="1825" t="s">
        <v>2084</v>
      </c>
      <c r="F22" s="1826">
        <v>12593</v>
      </c>
      <c r="G22" s="1826">
        <v>0</v>
      </c>
      <c r="H22" s="1826">
        <v>12593</v>
      </c>
      <c r="I22" s="1826">
        <v>0</v>
      </c>
      <c r="J22" s="1826">
        <v>0</v>
      </c>
      <c r="K22" s="1826">
        <v>0</v>
      </c>
      <c r="L22" s="1826">
        <v>0</v>
      </c>
      <c r="M22" s="1823">
        <f t="shared" si="1"/>
        <v>12593</v>
      </c>
      <c r="N22" s="1826">
        <v>12593</v>
      </c>
    </row>
    <row r="23" spans="3:15" ht="20.100000000000001" customHeight="1" x14ac:dyDescent="0.2">
      <c r="C23" s="1113" t="s">
        <v>2113</v>
      </c>
      <c r="D23" s="1824" t="s">
        <v>2078</v>
      </c>
      <c r="E23" s="1825" t="s">
        <v>2085</v>
      </c>
      <c r="F23" s="1826">
        <v>0</v>
      </c>
      <c r="G23" s="1826">
        <v>12981</v>
      </c>
      <c r="H23" s="1826">
        <v>0</v>
      </c>
      <c r="I23" s="1826">
        <v>0</v>
      </c>
      <c r="J23" s="1826">
        <v>12981</v>
      </c>
      <c r="K23" s="1826">
        <v>0</v>
      </c>
      <c r="L23" s="1826">
        <v>185</v>
      </c>
      <c r="M23" s="1823">
        <f t="shared" si="1"/>
        <v>13166</v>
      </c>
      <c r="N23" s="1826">
        <v>13166</v>
      </c>
    </row>
    <row r="24" spans="3:15" ht="20.100000000000001" customHeight="1" x14ac:dyDescent="0.2">
      <c r="C24" s="1113" t="s">
        <v>2119</v>
      </c>
      <c r="D24" s="1824"/>
      <c r="E24" s="1825"/>
      <c r="F24" s="1826">
        <f t="shared" ref="F24:L24" si="4">+F22+F23</f>
        <v>12593</v>
      </c>
      <c r="G24" s="1826">
        <f t="shared" si="4"/>
        <v>12981</v>
      </c>
      <c r="H24" s="1826">
        <f t="shared" si="4"/>
        <v>12593</v>
      </c>
      <c r="I24" s="1826">
        <f t="shared" si="4"/>
        <v>0</v>
      </c>
      <c r="J24" s="1826">
        <f t="shared" si="4"/>
        <v>12981</v>
      </c>
      <c r="K24" s="1826">
        <f t="shared" si="4"/>
        <v>0</v>
      </c>
      <c r="L24" s="1826">
        <f t="shared" si="4"/>
        <v>185</v>
      </c>
      <c r="M24" s="1823">
        <f>+H24+J24+L24</f>
        <v>25759</v>
      </c>
      <c r="N24" s="1826"/>
    </row>
    <row r="25" spans="3:15" ht="20.100000000000001" customHeight="1" x14ac:dyDescent="0.2">
      <c r="C25" s="1113" t="s">
        <v>2114</v>
      </c>
      <c r="D25" s="1824" t="s">
        <v>2094</v>
      </c>
      <c r="E25" s="1825" t="s">
        <v>2095</v>
      </c>
      <c r="F25" s="1826">
        <v>0</v>
      </c>
      <c r="G25" s="1826">
        <v>4752</v>
      </c>
      <c r="H25" s="1826">
        <v>0</v>
      </c>
      <c r="I25" s="1826">
        <v>0</v>
      </c>
      <c r="J25" s="1826">
        <v>5508</v>
      </c>
      <c r="K25" s="1826">
        <v>0</v>
      </c>
      <c r="L25" s="1826">
        <v>0</v>
      </c>
      <c r="M25" s="1823">
        <f>+H25+J25+L25</f>
        <v>5508</v>
      </c>
      <c r="N25" s="1826">
        <v>7748</v>
      </c>
    </row>
    <row r="26" spans="3:15" ht="20.100000000000001" customHeight="1" x14ac:dyDescent="0.2">
      <c r="C26" s="1113" t="s">
        <v>2115</v>
      </c>
      <c r="D26" s="1824" t="s">
        <v>2096</v>
      </c>
      <c r="E26" s="1825" t="s">
        <v>2097</v>
      </c>
      <c r="F26" s="1826">
        <v>0</v>
      </c>
      <c r="G26" s="1826">
        <v>138179</v>
      </c>
      <c r="H26" s="1826">
        <v>0</v>
      </c>
      <c r="I26" s="1826">
        <v>0</v>
      </c>
      <c r="J26" s="1826">
        <v>150671</v>
      </c>
      <c r="K26" s="1826">
        <v>0</v>
      </c>
      <c r="L26" s="1826">
        <v>0</v>
      </c>
      <c r="M26" s="1823">
        <f t="shared" si="1"/>
        <v>150671</v>
      </c>
      <c r="N26" s="1826">
        <v>208267</v>
      </c>
    </row>
    <row r="27" spans="3:15" ht="20.100000000000001" customHeight="1" x14ac:dyDescent="0.2">
      <c r="C27" s="1113" t="s">
        <v>2116</v>
      </c>
      <c r="D27" s="1824" t="s">
        <v>2096</v>
      </c>
      <c r="E27" s="1825" t="s">
        <v>2098</v>
      </c>
      <c r="F27" s="1826">
        <v>0</v>
      </c>
      <c r="G27" s="1826">
        <v>5460</v>
      </c>
      <c r="H27" s="1826">
        <v>0</v>
      </c>
      <c r="I27" s="1826">
        <v>0</v>
      </c>
      <c r="J27" s="1826">
        <v>5460</v>
      </c>
      <c r="K27" s="1826">
        <v>0</v>
      </c>
      <c r="L27" s="1826">
        <v>0</v>
      </c>
      <c r="M27" s="1823">
        <f t="shared" si="1"/>
        <v>5460</v>
      </c>
      <c r="N27" s="1826" t="s">
        <v>2074</v>
      </c>
    </row>
    <row r="28" spans="3:15" ht="20.100000000000001" customHeight="1" x14ac:dyDescent="0.2">
      <c r="C28" s="1113" t="s">
        <v>2120</v>
      </c>
      <c r="D28" s="1824"/>
      <c r="E28" s="1825"/>
      <c r="F28" s="1826">
        <f t="shared" ref="F28:L28" si="5">+F25+F26+F27</f>
        <v>0</v>
      </c>
      <c r="G28" s="1826">
        <f t="shared" si="5"/>
        <v>148391</v>
      </c>
      <c r="H28" s="1826">
        <f t="shared" si="5"/>
        <v>0</v>
      </c>
      <c r="I28" s="1826">
        <f t="shared" si="5"/>
        <v>0</v>
      </c>
      <c r="J28" s="1826">
        <f t="shared" si="5"/>
        <v>161639</v>
      </c>
      <c r="K28" s="1826">
        <f t="shared" si="5"/>
        <v>0</v>
      </c>
      <c r="L28" s="1826">
        <f t="shared" si="5"/>
        <v>0</v>
      </c>
      <c r="M28" s="1823">
        <f>+H28+J28+L28</f>
        <v>161639</v>
      </c>
      <c r="N28" s="1826"/>
    </row>
    <row r="29" spans="3:15" ht="20.100000000000001" customHeight="1" x14ac:dyDescent="0.2">
      <c r="C29" s="1113" t="s">
        <v>2104</v>
      </c>
      <c r="D29" s="1824"/>
      <c r="E29" s="1825"/>
      <c r="F29" s="1826">
        <f t="shared" ref="F29:M29" si="6">+F16+F18+F21+F24+F28</f>
        <v>240560</v>
      </c>
      <c r="G29" s="1826">
        <f t="shared" si="6"/>
        <v>593034</v>
      </c>
      <c r="H29" s="1826">
        <f t="shared" si="6"/>
        <v>296387</v>
      </c>
      <c r="I29" s="1826">
        <f t="shared" si="6"/>
        <v>0</v>
      </c>
      <c r="J29" s="1826">
        <f t="shared" si="6"/>
        <v>550595</v>
      </c>
      <c r="K29" s="1826">
        <f t="shared" si="6"/>
        <v>0</v>
      </c>
      <c r="L29" s="1826">
        <f t="shared" si="6"/>
        <v>185</v>
      </c>
      <c r="M29" s="1823">
        <f t="shared" si="6"/>
        <v>847167</v>
      </c>
      <c r="N29" s="1826"/>
    </row>
    <row r="30" spans="3:15" ht="12.75" customHeight="1" x14ac:dyDescent="0.2">
      <c r="C30" s="1115"/>
      <c r="D30" s="1116"/>
      <c r="E30" s="1117"/>
      <c r="F30" s="1118"/>
      <c r="G30" s="1118"/>
      <c r="H30" s="1118"/>
      <c r="I30" s="1118"/>
      <c r="J30" s="1118"/>
      <c r="K30" s="1118"/>
      <c r="L30" s="1118"/>
      <c r="M30" s="1118"/>
      <c r="N30" s="1118"/>
      <c r="O30" s="1114"/>
    </row>
    <row r="31" spans="3:15" x14ac:dyDescent="0.2">
      <c r="C31" s="1033"/>
      <c r="D31" s="1119"/>
      <c r="E31" s="1120"/>
      <c r="F31" s="1033"/>
      <c r="G31" s="1033"/>
      <c r="H31" s="1026"/>
      <c r="I31" s="1026"/>
      <c r="J31" s="1026"/>
      <c r="K31" s="1026"/>
      <c r="L31" s="1026"/>
      <c r="M31" s="1026"/>
      <c r="N31" s="1033"/>
      <c r="O31" s="1114"/>
    </row>
    <row r="32" spans="3:15" ht="13.5" customHeight="1" x14ac:dyDescent="0.2">
      <c r="C32" s="1058" t="s">
        <v>1711</v>
      </c>
      <c r="D32" s="1119"/>
      <c r="E32" s="1120"/>
      <c r="F32" s="1033"/>
      <c r="G32" s="1033"/>
      <c r="H32" s="1026"/>
      <c r="I32" s="1026"/>
      <c r="J32" s="1026"/>
      <c r="K32" s="1026"/>
      <c r="L32" s="1026"/>
      <c r="M32" s="1026"/>
      <c r="N32" s="1033"/>
      <c r="O32" s="1114"/>
    </row>
    <row r="33" spans="3:15" ht="8.25" customHeight="1" x14ac:dyDescent="0.2">
      <c r="C33" s="1058"/>
      <c r="D33" s="1119"/>
      <c r="E33" s="1120"/>
      <c r="F33" s="1033"/>
      <c r="G33" s="1033"/>
      <c r="H33" s="1026"/>
      <c r="I33" s="1026"/>
      <c r="J33" s="1026"/>
      <c r="K33" s="1026"/>
      <c r="L33" s="1026"/>
      <c r="M33" s="1026"/>
      <c r="N33" s="1033"/>
      <c r="O33" s="1114"/>
    </row>
    <row r="34" spans="3:15" x14ac:dyDescent="0.2">
      <c r="C34" s="1121" t="s">
        <v>1809</v>
      </c>
      <c r="D34" s="1122"/>
      <c r="E34" s="1123"/>
      <c r="F34" s="1124"/>
      <c r="G34" s="1124"/>
      <c r="H34" s="1124"/>
      <c r="I34" s="1124"/>
      <c r="J34" s="295"/>
      <c r="K34" s="295"/>
    </row>
    <row r="35" spans="3:15" x14ac:dyDescent="0.2">
      <c r="C35" s="1053"/>
      <c r="D35" s="1125"/>
      <c r="E35" s="1126"/>
      <c r="F35" s="1054"/>
      <c r="G35" s="1054"/>
      <c r="H35" s="295"/>
      <c r="I35" s="295"/>
      <c r="J35" s="295"/>
      <c r="K35" s="295"/>
    </row>
    <row r="36" spans="3:15" ht="13.5" customHeight="1" x14ac:dyDescent="0.2">
      <c r="C36" s="1052" t="s">
        <v>1235</v>
      </c>
      <c r="H36" s="295"/>
      <c r="I36" s="295"/>
      <c r="J36" s="295"/>
      <c r="K36" s="295"/>
    </row>
    <row r="37" spans="3:15" ht="13.5" customHeight="1" x14ac:dyDescent="0.2">
      <c r="C37" s="1129"/>
      <c r="D37" s="1130"/>
      <c r="E37" s="1131"/>
      <c r="F37" s="1073"/>
      <c r="G37" s="1073"/>
      <c r="H37" s="1073"/>
      <c r="I37" s="1073"/>
      <c r="J37" s="1073"/>
      <c r="K37" s="1073"/>
      <c r="L37" s="1132"/>
      <c r="M37" s="1132"/>
      <c r="N37" s="1073"/>
    </row>
    <row r="38" spans="3:15" ht="9.6" customHeight="1" x14ac:dyDescent="0.2">
      <c r="C38" s="1133"/>
      <c r="H38" s="295"/>
      <c r="I38" s="295"/>
      <c r="J38" s="295"/>
      <c r="K38" s="295"/>
    </row>
    <row r="39" spans="3:15" ht="11.25" customHeight="1" x14ac:dyDescent="0.2">
      <c r="C39" s="1134" t="s">
        <v>1712</v>
      </c>
      <c r="D39" s="1135"/>
      <c r="E39" s="1135"/>
      <c r="F39" s="1135"/>
      <c r="G39" s="1135"/>
      <c r="H39" s="1135"/>
      <c r="I39" s="1135"/>
      <c r="J39" s="1136"/>
      <c r="K39" s="1136"/>
      <c r="L39" s="1136"/>
      <c r="M39" s="1136"/>
      <c r="N39" s="1136"/>
    </row>
    <row r="40" spans="3:15" ht="11.25" customHeight="1" x14ac:dyDescent="0.2">
      <c r="C40" s="1137" t="s">
        <v>1567</v>
      </c>
      <c r="D40" s="1136"/>
      <c r="E40" s="1136"/>
      <c r="F40" s="1136"/>
      <c r="G40" s="1136"/>
      <c r="H40" s="1136"/>
      <c r="I40" s="1136"/>
      <c r="J40" s="1136"/>
      <c r="K40" s="1136"/>
      <c r="L40" s="1136"/>
      <c r="M40" s="1136"/>
      <c r="N40" s="1136"/>
    </row>
    <row r="41" spans="3:15" ht="3.95" customHeight="1" x14ac:dyDescent="0.2">
      <c r="C41" s="1137"/>
      <c r="D41" s="1136"/>
      <c r="E41" s="1136"/>
      <c r="F41" s="1136"/>
      <c r="G41" s="1136"/>
      <c r="H41" s="1136"/>
      <c r="I41" s="1136"/>
      <c r="J41" s="1136"/>
      <c r="K41" s="1136"/>
      <c r="L41" s="1136"/>
      <c r="M41" s="1136"/>
      <c r="N41" s="1136"/>
    </row>
    <row r="42" spans="3:15" ht="11.25" customHeight="1" x14ac:dyDescent="0.2">
      <c r="C42" s="1134" t="s">
        <v>1713</v>
      </c>
      <c r="D42" s="1136"/>
      <c r="E42" s="1136"/>
      <c r="F42" s="1136"/>
      <c r="G42" s="1136"/>
      <c r="H42" s="1136"/>
      <c r="I42" s="1136"/>
      <c r="J42" s="1136"/>
      <c r="K42" s="1136"/>
      <c r="L42" s="1136"/>
      <c r="M42" s="1136"/>
      <c r="N42" s="1136"/>
    </row>
    <row r="43" spans="3:15" ht="11.25" customHeight="1" x14ac:dyDescent="0.2">
      <c r="C43" s="1076" t="s">
        <v>1568</v>
      </c>
      <c r="D43" s="1138"/>
      <c r="E43" s="1139"/>
      <c r="F43" s="1076"/>
      <c r="G43" s="1076"/>
      <c r="H43" s="1076"/>
      <c r="I43" s="1076"/>
      <c r="J43" s="1076"/>
      <c r="K43" s="1076"/>
      <c r="L43" s="1140"/>
      <c r="M43" s="1140"/>
      <c r="N43" s="1076"/>
    </row>
    <row r="44" spans="3:15" ht="3.95" customHeight="1" x14ac:dyDescent="0.2">
      <c r="C44" s="1076"/>
      <c r="D44" s="1138"/>
      <c r="E44" s="1139"/>
      <c r="F44" s="1076"/>
      <c r="G44" s="1076"/>
      <c r="H44" s="1076"/>
      <c r="I44" s="1076"/>
      <c r="J44" s="1076"/>
      <c r="K44" s="1076"/>
      <c r="L44" s="1140"/>
      <c r="M44" s="1140"/>
      <c r="N44" s="1076"/>
    </row>
    <row r="45" spans="3:15" ht="11.25" customHeight="1" x14ac:dyDescent="0.2">
      <c r="C45" s="1141" t="s">
        <v>1714</v>
      </c>
      <c r="D45" s="1138"/>
      <c r="E45" s="1139"/>
      <c r="F45" s="1076"/>
      <c r="G45" s="1076"/>
      <c r="H45" s="1076"/>
      <c r="I45" s="1076"/>
      <c r="J45" s="1076"/>
      <c r="K45" s="1076"/>
      <c r="L45" s="1140"/>
      <c r="M45" s="1140"/>
      <c r="N45" s="1076"/>
    </row>
    <row r="46" spans="3:15" ht="3.95" customHeight="1" x14ac:dyDescent="0.2">
      <c r="C46" s="1141"/>
      <c r="D46" s="1138"/>
      <c r="E46" s="1139"/>
      <c r="F46" s="1076"/>
      <c r="G46" s="1076"/>
      <c r="H46" s="1076"/>
      <c r="I46" s="1076"/>
      <c r="J46" s="1076"/>
      <c r="K46" s="1076"/>
      <c r="L46" s="1140"/>
      <c r="M46" s="1140"/>
      <c r="N46" s="1076"/>
    </row>
    <row r="47" spans="3:15" ht="11.25" customHeight="1" x14ac:dyDescent="0.2">
      <c r="C47" s="1142" t="s">
        <v>1715</v>
      </c>
      <c r="D47" s="1138"/>
      <c r="E47" s="1139"/>
      <c r="F47" s="1076"/>
      <c r="G47" s="1076"/>
      <c r="H47" s="1076"/>
      <c r="I47" s="1076"/>
      <c r="J47" s="1076"/>
      <c r="K47" s="1076"/>
      <c r="L47" s="1140"/>
      <c r="M47" s="1140"/>
      <c r="N47" s="1076"/>
    </row>
    <row r="48" spans="3:15" ht="11.25" customHeight="1" x14ac:dyDescent="0.2">
      <c r="C48" s="1076" t="s">
        <v>1569</v>
      </c>
      <c r="H48" s="295"/>
      <c r="I48" s="295"/>
      <c r="J48" s="295"/>
      <c r="K48" s="295"/>
    </row>
    <row r="49" spans="3:14" ht="11.1" customHeight="1" x14ac:dyDescent="0.2">
      <c r="C49" s="1076"/>
      <c r="H49" s="295"/>
      <c r="I49" s="295"/>
      <c r="J49" s="295"/>
      <c r="K49" s="295"/>
    </row>
    <row r="50" spans="3:14" ht="11.1" customHeight="1" x14ac:dyDescent="0.2">
      <c r="C50" s="1076"/>
      <c r="H50" s="295"/>
      <c r="I50" s="295"/>
      <c r="J50" s="295"/>
      <c r="K50" s="295"/>
    </row>
    <row r="51" spans="3:14" ht="13.5" customHeight="1" x14ac:dyDescent="0.2">
      <c r="N51" s="1143"/>
    </row>
    <row r="52" spans="3:14" ht="13.5" customHeight="1" x14ac:dyDescent="0.2">
      <c r="N52" s="1143"/>
    </row>
    <row r="53" spans="3:14" ht="13.5" customHeight="1" x14ac:dyDescent="0.2">
      <c r="N53" s="1143"/>
    </row>
    <row r="54" spans="3:14" ht="13.5" customHeight="1" x14ac:dyDescent="0.2">
      <c r="H54" s="295"/>
      <c r="I54" s="295"/>
      <c r="J54" s="295"/>
      <c r="K54" s="295"/>
    </row>
    <row r="55" spans="3:14" ht="13.5" customHeight="1" x14ac:dyDescent="0.2">
      <c r="H55" s="295"/>
      <c r="I55" s="295"/>
      <c r="J55" s="295"/>
      <c r="K55" s="295"/>
    </row>
    <row r="56" spans="3:14" ht="13.5" customHeight="1" x14ac:dyDescent="0.2">
      <c r="H56" s="295"/>
      <c r="I56" s="295"/>
      <c r="J56" s="295"/>
      <c r="K56" s="295"/>
    </row>
    <row r="57" spans="3:14" ht="13.5" customHeight="1" x14ac:dyDescent="0.2">
      <c r="H57" s="295"/>
      <c r="I57" s="295"/>
      <c r="J57" s="295"/>
      <c r="K57" s="295"/>
    </row>
    <row r="58" spans="3:14" ht="13.5" customHeight="1" x14ac:dyDescent="0.2">
      <c r="H58" s="295"/>
      <c r="I58" s="295"/>
      <c r="J58" s="295"/>
      <c r="K58" s="295"/>
    </row>
    <row r="59" spans="3:14" ht="13.5" customHeight="1" x14ac:dyDescent="0.2">
      <c r="H59" s="295"/>
      <c r="I59" s="295"/>
      <c r="J59" s="295"/>
      <c r="K59" s="295"/>
    </row>
    <row r="60" spans="3:14" ht="13.5" customHeight="1" x14ac:dyDescent="0.2">
      <c r="H60" s="295"/>
      <c r="I60" s="295"/>
      <c r="J60" s="295"/>
      <c r="K60" s="295"/>
    </row>
    <row r="61" spans="3:14" ht="13.5" customHeight="1" x14ac:dyDescent="0.2"/>
    <row r="62" spans="3:14" ht="13.5" customHeight="1" x14ac:dyDescent="0.2"/>
    <row r="63" spans="3:14" ht="13.5" customHeight="1" x14ac:dyDescent="0.2"/>
    <row r="64" spans="3:14"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C1:N1"/>
    <mergeCell ref="C2:N2"/>
    <mergeCell ref="C3:N3"/>
    <mergeCell ref="C4:N4"/>
  </mergeCells>
  <pageMargins left="0.7" right="0.7" top="0.75" bottom="0.75" header="0.3" footer="0.3"/>
  <pageSetup scale="7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48"/>
  <sheetViews>
    <sheetView workbookViewId="0">
      <selection activeCell="A48" sqref="A48:XFD48"/>
    </sheetView>
  </sheetViews>
  <sheetFormatPr defaultRowHeight="12.75" x14ac:dyDescent="0.2"/>
  <cols>
    <col min="1" max="1" width="36.7109375" customWidth="1"/>
    <col min="2" max="2" width="8.7109375" customWidth="1"/>
    <col min="3" max="12" width="12.7109375" customWidth="1"/>
  </cols>
  <sheetData>
    <row r="1" spans="1:12" ht="11.85" customHeight="1" x14ac:dyDescent="0.2">
      <c r="A1" s="2521" t="str">
        <f>'Single Audit Cover'!A7</f>
        <v>Anna CCSD 37</v>
      </c>
      <c r="B1" s="2566"/>
      <c r="C1" s="2566"/>
      <c r="D1" s="2566"/>
      <c r="E1" s="2566"/>
      <c r="F1" s="2566"/>
      <c r="G1" s="2566"/>
      <c r="H1" s="2566"/>
      <c r="I1" s="2566"/>
      <c r="J1" s="2566"/>
      <c r="K1" s="2566"/>
      <c r="L1" s="2566"/>
    </row>
    <row r="2" spans="1:12" ht="15" customHeight="1" x14ac:dyDescent="0.2">
      <c r="A2" s="2567">
        <f>'Single Audit Cover'!E7</f>
        <v>30091037004</v>
      </c>
      <c r="B2" s="2567"/>
      <c r="C2" s="2567"/>
      <c r="D2" s="2567"/>
      <c r="E2" s="2567"/>
      <c r="F2" s="2567"/>
      <c r="G2" s="2567"/>
      <c r="H2" s="2567"/>
      <c r="I2" s="2567"/>
      <c r="J2" s="2567"/>
      <c r="K2" s="2567"/>
      <c r="L2" s="2567"/>
    </row>
    <row r="3" spans="1:12" ht="15" customHeight="1" x14ac:dyDescent="0.2">
      <c r="A3" s="2568" t="s">
        <v>1208</v>
      </c>
      <c r="B3" s="2568"/>
      <c r="C3" s="2568"/>
      <c r="D3" s="2568"/>
      <c r="E3" s="2568"/>
      <c r="F3" s="2568"/>
      <c r="G3" s="2568"/>
      <c r="H3" s="2568"/>
      <c r="I3" s="2568"/>
      <c r="J3" s="2568"/>
      <c r="K3" s="2568"/>
      <c r="L3" s="2568"/>
    </row>
    <row r="4" spans="1:12" ht="15" customHeight="1" x14ac:dyDescent="0.2">
      <c r="A4" s="2569" t="str">
        <f>'Single Audit Cover'!A4</f>
        <v>Year Ending June 30, 2020</v>
      </c>
      <c r="B4" s="2569"/>
      <c r="C4" s="2569"/>
      <c r="D4" s="2569"/>
      <c r="E4" s="2569"/>
      <c r="F4" s="2569"/>
      <c r="G4" s="2569"/>
      <c r="H4" s="2569"/>
      <c r="I4" s="2569"/>
      <c r="J4" s="2569"/>
      <c r="K4" s="2569"/>
      <c r="L4" s="2569"/>
    </row>
    <row r="5" spans="1:12" x14ac:dyDescent="0.2">
      <c r="A5" s="295"/>
      <c r="B5" s="1127"/>
      <c r="C5" s="1128"/>
      <c r="D5" s="295"/>
      <c r="E5" s="295"/>
      <c r="F5" s="1034"/>
      <c r="G5" s="1916"/>
      <c r="H5" s="1034"/>
      <c r="I5" s="1916"/>
      <c r="J5" s="1034"/>
      <c r="K5" s="1034"/>
      <c r="L5" s="295"/>
    </row>
    <row r="6" spans="1:12" x14ac:dyDescent="0.2">
      <c r="A6" s="1079"/>
      <c r="B6" s="1080"/>
      <c r="C6" s="1081" t="s">
        <v>1254</v>
      </c>
      <c r="D6" s="1082" t="s">
        <v>524</v>
      </c>
      <c r="E6" s="1083"/>
      <c r="F6" s="1084" t="s">
        <v>1708</v>
      </c>
      <c r="G6" s="1082"/>
      <c r="H6" s="1082"/>
      <c r="I6" s="1917"/>
      <c r="J6" s="1085"/>
      <c r="K6" s="1086"/>
      <c r="L6" s="1087"/>
    </row>
    <row r="7" spans="1:12" x14ac:dyDescent="0.2">
      <c r="A7" s="1088" t="s">
        <v>1564</v>
      </c>
      <c r="B7" s="1089"/>
      <c r="C7" s="1090"/>
      <c r="D7" s="1091"/>
      <c r="E7" s="1092"/>
      <c r="F7" s="1091"/>
      <c r="G7" s="1093" t="s">
        <v>1251</v>
      </c>
      <c r="H7" s="1091"/>
      <c r="I7" s="1094" t="s">
        <v>1251</v>
      </c>
      <c r="J7" s="1095"/>
      <c r="K7" s="1096" t="s">
        <v>1249</v>
      </c>
      <c r="L7" s="1097"/>
    </row>
    <row r="8" spans="1:12" x14ac:dyDescent="0.2">
      <c r="A8" s="1379"/>
      <c r="B8" s="1089" t="s">
        <v>1253</v>
      </c>
      <c r="C8" s="1090" t="s">
        <v>1252</v>
      </c>
      <c r="D8" s="1098" t="s">
        <v>1251</v>
      </c>
      <c r="E8" s="1099" t="s">
        <v>1251</v>
      </c>
      <c r="F8" s="1100" t="s">
        <v>1251</v>
      </c>
      <c r="G8" s="1819" t="s">
        <v>2079</v>
      </c>
      <c r="H8" s="1095" t="s">
        <v>1251</v>
      </c>
      <c r="I8" s="1820" t="s">
        <v>2080</v>
      </c>
      <c r="J8" s="1095" t="s">
        <v>1250</v>
      </c>
      <c r="K8" s="1096" t="s">
        <v>1246</v>
      </c>
      <c r="L8" s="1097" t="s">
        <v>30</v>
      </c>
    </row>
    <row r="9" spans="1:12" ht="14.25" x14ac:dyDescent="0.2">
      <c r="A9" s="1101" t="s">
        <v>1248</v>
      </c>
      <c r="B9" s="1089" t="s">
        <v>1709</v>
      </c>
      <c r="C9" s="1090" t="s">
        <v>1710</v>
      </c>
      <c r="D9" s="1915" t="s">
        <v>2079</v>
      </c>
      <c r="E9" s="1915" t="s">
        <v>2080</v>
      </c>
      <c r="F9" s="1915" t="s">
        <v>2079</v>
      </c>
      <c r="G9" s="1093" t="s">
        <v>1565</v>
      </c>
      <c r="H9" s="1915" t="s">
        <v>2080</v>
      </c>
      <c r="I9" s="1094" t="s">
        <v>1565</v>
      </c>
      <c r="J9" s="1095" t="s">
        <v>1247</v>
      </c>
      <c r="K9" s="1102" t="s">
        <v>1566</v>
      </c>
      <c r="L9" s="1097"/>
    </row>
    <row r="10" spans="1:12" x14ac:dyDescent="0.2">
      <c r="A10" s="1101" t="s">
        <v>1245</v>
      </c>
      <c r="B10" s="1103" t="s">
        <v>1244</v>
      </c>
      <c r="C10" s="1104" t="s">
        <v>1243</v>
      </c>
      <c r="D10" s="1105" t="s">
        <v>1242</v>
      </c>
      <c r="E10" s="1106" t="s">
        <v>1241</v>
      </c>
      <c r="F10" s="1107" t="s">
        <v>1240</v>
      </c>
      <c r="G10" s="1108" t="s">
        <v>1255</v>
      </c>
      <c r="H10" s="1109" t="s">
        <v>1239</v>
      </c>
      <c r="I10" s="1110" t="s">
        <v>1255</v>
      </c>
      <c r="J10" s="1111" t="s">
        <v>1238</v>
      </c>
      <c r="K10" s="1111" t="s">
        <v>1237</v>
      </c>
      <c r="L10" s="1112" t="s">
        <v>1236</v>
      </c>
    </row>
    <row r="11" spans="1:12" ht="20.100000000000001" customHeight="1" x14ac:dyDescent="0.2">
      <c r="A11" s="1113" t="s">
        <v>2103</v>
      </c>
      <c r="B11" s="1821"/>
      <c r="C11" s="1822"/>
      <c r="D11" s="1823"/>
      <c r="E11" s="1823"/>
      <c r="F11" s="1823"/>
      <c r="G11" s="1823"/>
      <c r="H11" s="1823"/>
      <c r="I11" s="1823"/>
      <c r="J11" s="1823"/>
      <c r="K11" s="1823">
        <f>+F11+H11+J11</f>
        <v>0</v>
      </c>
      <c r="L11" s="1823"/>
    </row>
    <row r="12" spans="1:12" ht="20.100000000000001" customHeight="1" x14ac:dyDescent="0.2">
      <c r="A12" s="1113" t="s">
        <v>2102</v>
      </c>
      <c r="B12" s="1821"/>
      <c r="C12" s="1822"/>
      <c r="D12" s="1823"/>
      <c r="E12" s="1823"/>
      <c r="F12" s="1823"/>
      <c r="G12" s="1823"/>
      <c r="H12" s="1823"/>
      <c r="I12" s="1823"/>
      <c r="J12" s="1823"/>
      <c r="K12" s="1823"/>
      <c r="L12" s="1823"/>
    </row>
    <row r="13" spans="1:12" ht="20.100000000000001" customHeight="1" x14ac:dyDescent="0.2">
      <c r="A13" s="1113" t="s">
        <v>2122</v>
      </c>
      <c r="B13" s="1824">
        <v>10.555</v>
      </c>
      <c r="C13" s="1825" t="s">
        <v>2089</v>
      </c>
      <c r="D13" s="1826">
        <v>146244</v>
      </c>
      <c r="E13" s="1826">
        <v>29919</v>
      </c>
      <c r="F13" s="1826">
        <v>146244</v>
      </c>
      <c r="G13" s="1826">
        <v>0</v>
      </c>
      <c r="H13" s="1826">
        <v>29919</v>
      </c>
      <c r="I13" s="1826">
        <v>0</v>
      </c>
      <c r="J13" s="1826">
        <v>0</v>
      </c>
      <c r="K13" s="1823">
        <f t="shared" ref="K13:K24" si="0">+F13+H13+J13</f>
        <v>176163</v>
      </c>
      <c r="L13" s="1826" t="s">
        <v>2074</v>
      </c>
    </row>
    <row r="14" spans="1:12" ht="20.100000000000001" customHeight="1" x14ac:dyDescent="0.2">
      <c r="A14" s="1113" t="s">
        <v>2122</v>
      </c>
      <c r="B14" s="1824">
        <v>10.555</v>
      </c>
      <c r="C14" s="1825" t="s">
        <v>2091</v>
      </c>
      <c r="D14" s="1826">
        <v>0</v>
      </c>
      <c r="E14" s="1826">
        <v>108292</v>
      </c>
      <c r="F14" s="1826">
        <v>0</v>
      </c>
      <c r="G14" s="1826">
        <v>0</v>
      </c>
      <c r="H14" s="1826">
        <v>108292</v>
      </c>
      <c r="I14" s="1826">
        <v>0</v>
      </c>
      <c r="J14" s="1826">
        <v>0</v>
      </c>
      <c r="K14" s="1823">
        <f t="shared" si="0"/>
        <v>108292</v>
      </c>
      <c r="L14" s="1826" t="s">
        <v>2074</v>
      </c>
    </row>
    <row r="15" spans="1:12" ht="20.100000000000001" customHeight="1" x14ac:dyDescent="0.2">
      <c r="A15" s="1113" t="s">
        <v>2123</v>
      </c>
      <c r="B15" s="1824">
        <v>10.553000000000001</v>
      </c>
      <c r="C15" s="1825" t="s">
        <v>2090</v>
      </c>
      <c r="D15" s="1826">
        <v>49444</v>
      </c>
      <c r="E15" s="1826">
        <v>11181</v>
      </c>
      <c r="F15" s="1826">
        <v>49444</v>
      </c>
      <c r="G15" s="1826">
        <v>0</v>
      </c>
      <c r="H15" s="1826">
        <v>11181</v>
      </c>
      <c r="I15" s="1826">
        <v>0</v>
      </c>
      <c r="J15" s="1826">
        <v>0</v>
      </c>
      <c r="K15" s="1823">
        <f t="shared" si="0"/>
        <v>60625</v>
      </c>
      <c r="L15" s="1826" t="s">
        <v>2074</v>
      </c>
    </row>
    <row r="16" spans="1:12" ht="20.100000000000001" customHeight="1" x14ac:dyDescent="0.2">
      <c r="A16" s="1113" t="s">
        <v>2123</v>
      </c>
      <c r="B16" s="1824">
        <v>10.553000000000001</v>
      </c>
      <c r="C16" s="1825" t="s">
        <v>2092</v>
      </c>
      <c r="D16" s="1826">
        <v>0</v>
      </c>
      <c r="E16" s="1826">
        <v>38772</v>
      </c>
      <c r="F16" s="1826">
        <v>0</v>
      </c>
      <c r="G16" s="1826">
        <v>0</v>
      </c>
      <c r="H16" s="1826">
        <v>38772</v>
      </c>
      <c r="I16" s="1826">
        <v>0</v>
      </c>
      <c r="J16" s="1826">
        <v>0</v>
      </c>
      <c r="K16" s="1823">
        <f t="shared" si="0"/>
        <v>38772</v>
      </c>
      <c r="L16" s="1826" t="s">
        <v>2074</v>
      </c>
    </row>
    <row r="17" spans="1:12" ht="20.100000000000001" customHeight="1" x14ac:dyDescent="0.2">
      <c r="A17" s="1113" t="s">
        <v>2124</v>
      </c>
      <c r="B17" s="1824">
        <v>10.558999999999999</v>
      </c>
      <c r="C17" s="1825" t="s">
        <v>2093</v>
      </c>
      <c r="D17" s="1826">
        <v>0</v>
      </c>
      <c r="E17" s="1826">
        <v>84022</v>
      </c>
      <c r="F17" s="1826">
        <v>0</v>
      </c>
      <c r="G17" s="1826">
        <v>0</v>
      </c>
      <c r="H17" s="1826">
        <v>84022</v>
      </c>
      <c r="I17" s="1826">
        <v>0</v>
      </c>
      <c r="J17" s="1826">
        <v>0</v>
      </c>
      <c r="K17" s="1823">
        <f t="shared" si="0"/>
        <v>84022</v>
      </c>
      <c r="L17" s="1826" t="s">
        <v>2074</v>
      </c>
    </row>
    <row r="18" spans="1:12" ht="20.100000000000001" customHeight="1" x14ac:dyDescent="0.2">
      <c r="A18" s="1113" t="s">
        <v>2125</v>
      </c>
      <c r="B18" s="1824">
        <v>10.555</v>
      </c>
      <c r="C18" s="1825" t="s">
        <v>2074</v>
      </c>
      <c r="D18" s="1826">
        <v>0</v>
      </c>
      <c r="E18" s="1826">
        <v>23747</v>
      </c>
      <c r="F18" s="1826">
        <v>0</v>
      </c>
      <c r="G18" s="1826">
        <v>0</v>
      </c>
      <c r="H18" s="1826">
        <v>23747</v>
      </c>
      <c r="I18" s="1826">
        <v>0</v>
      </c>
      <c r="J18" s="1826">
        <v>0</v>
      </c>
      <c r="K18" s="1823">
        <f t="shared" si="0"/>
        <v>23747</v>
      </c>
      <c r="L18" s="1826" t="s">
        <v>2074</v>
      </c>
    </row>
    <row r="19" spans="1:12" ht="20.100000000000001" customHeight="1" x14ac:dyDescent="0.2">
      <c r="A19" s="1113"/>
      <c r="B19" s="1824"/>
      <c r="C19" s="1825"/>
      <c r="D19" s="1826"/>
      <c r="E19" s="1826"/>
      <c r="F19" s="1826"/>
      <c r="G19" s="1826"/>
      <c r="H19" s="1826"/>
      <c r="I19" s="1826"/>
      <c r="J19" s="1826"/>
      <c r="K19" s="1823"/>
      <c r="L19" s="1826"/>
    </row>
    <row r="20" spans="1:12" ht="20.100000000000001" customHeight="1" x14ac:dyDescent="0.2">
      <c r="A20" s="1113" t="s">
        <v>2105</v>
      </c>
      <c r="B20" s="1824"/>
      <c r="C20" s="1825"/>
      <c r="D20" s="1826">
        <f t="shared" ref="D20:J20" si="1">+D13+D14+D15+D16+D17+D18+D19</f>
        <v>195688</v>
      </c>
      <c r="E20" s="1826">
        <f t="shared" si="1"/>
        <v>295933</v>
      </c>
      <c r="F20" s="1826">
        <f t="shared" si="1"/>
        <v>195688</v>
      </c>
      <c r="G20" s="1826">
        <f t="shared" si="1"/>
        <v>0</v>
      </c>
      <c r="H20" s="1826">
        <f t="shared" si="1"/>
        <v>295933</v>
      </c>
      <c r="I20" s="1826">
        <f t="shared" si="1"/>
        <v>0</v>
      </c>
      <c r="J20" s="1826">
        <f t="shared" si="1"/>
        <v>0</v>
      </c>
      <c r="K20" s="1823">
        <f t="shared" si="0"/>
        <v>491621</v>
      </c>
      <c r="L20" s="1826"/>
    </row>
    <row r="21" spans="1:12" ht="20.100000000000001" customHeight="1" x14ac:dyDescent="0.2">
      <c r="A21" s="1113"/>
      <c r="B21" s="1824"/>
      <c r="C21" s="1825"/>
      <c r="D21" s="1826"/>
      <c r="E21" s="1826"/>
      <c r="F21" s="1826"/>
      <c r="G21" s="1826"/>
      <c r="H21" s="1826"/>
      <c r="I21" s="1826"/>
      <c r="J21" s="1826"/>
      <c r="K21" s="1823"/>
      <c r="L21" s="1826"/>
    </row>
    <row r="22" spans="1:12" ht="30" customHeight="1" x14ac:dyDescent="0.2">
      <c r="A22" s="1113" t="s">
        <v>2107</v>
      </c>
      <c r="B22" s="1824"/>
      <c r="C22" s="1825"/>
      <c r="D22" s="1826"/>
      <c r="E22" s="1826"/>
      <c r="F22" s="1826"/>
      <c r="G22" s="1826"/>
      <c r="H22" s="1826"/>
      <c r="I22" s="1826"/>
      <c r="J22" s="1826"/>
      <c r="K22" s="1823"/>
      <c r="L22" s="1826"/>
    </row>
    <row r="23" spans="1:12" ht="30" customHeight="1" x14ac:dyDescent="0.2">
      <c r="A23" s="1113" t="s">
        <v>2106</v>
      </c>
      <c r="B23" s="1824"/>
      <c r="C23" s="1825"/>
      <c r="D23" s="1826"/>
      <c r="E23" s="1826"/>
      <c r="F23" s="1826"/>
      <c r="G23" s="1826"/>
      <c r="H23" s="1826"/>
      <c r="I23" s="1826"/>
      <c r="J23" s="1826"/>
      <c r="K23" s="1823"/>
      <c r="L23" s="1826"/>
    </row>
    <row r="24" spans="1:12" ht="20.100000000000001" customHeight="1" x14ac:dyDescent="0.2">
      <c r="A24" s="1113" t="s">
        <v>2126</v>
      </c>
      <c r="B24" s="1824">
        <v>93.778000000000006</v>
      </c>
      <c r="C24" s="1825" t="s">
        <v>2074</v>
      </c>
      <c r="D24" s="1826">
        <v>0</v>
      </c>
      <c r="E24" s="1826">
        <v>9132</v>
      </c>
      <c r="F24" s="1826">
        <v>0</v>
      </c>
      <c r="G24" s="1826">
        <v>0</v>
      </c>
      <c r="H24" s="1826">
        <v>13904</v>
      </c>
      <c r="I24" s="1826">
        <v>0</v>
      </c>
      <c r="J24" s="1826">
        <v>0</v>
      </c>
      <c r="K24" s="1823">
        <f t="shared" si="0"/>
        <v>13904</v>
      </c>
      <c r="L24" s="1826" t="s">
        <v>2074</v>
      </c>
    </row>
    <row r="25" spans="1:12" ht="20.100000000000001" customHeight="1" x14ac:dyDescent="0.2">
      <c r="A25" s="1113" t="s">
        <v>2126</v>
      </c>
      <c r="B25" s="1824">
        <v>93.778000000000006</v>
      </c>
      <c r="C25" s="1825" t="s">
        <v>2074</v>
      </c>
      <c r="D25" s="1826">
        <v>10287</v>
      </c>
      <c r="E25" s="1826">
        <v>2508</v>
      </c>
      <c r="F25" s="1826">
        <v>12795</v>
      </c>
      <c r="G25" s="1826">
        <v>0</v>
      </c>
      <c r="H25" s="1826">
        <v>0</v>
      </c>
      <c r="I25" s="1826">
        <v>0</v>
      </c>
      <c r="J25" s="1826">
        <v>0</v>
      </c>
      <c r="K25" s="1823">
        <f>+F25+H25+H25</f>
        <v>12795</v>
      </c>
      <c r="L25" s="1826" t="s">
        <v>2074</v>
      </c>
    </row>
    <row r="26" spans="1:12" ht="20.100000000000001" customHeight="1" x14ac:dyDescent="0.2">
      <c r="A26" s="1113" t="s">
        <v>2108</v>
      </c>
      <c r="B26" s="1824"/>
      <c r="C26" s="1825"/>
      <c r="D26" s="1826">
        <f t="shared" ref="D26:J26" si="2">+D24+D25</f>
        <v>10287</v>
      </c>
      <c r="E26" s="1826">
        <f t="shared" si="2"/>
        <v>11640</v>
      </c>
      <c r="F26" s="1826">
        <f t="shared" si="2"/>
        <v>12795</v>
      </c>
      <c r="G26" s="1826">
        <f t="shared" si="2"/>
        <v>0</v>
      </c>
      <c r="H26" s="1826">
        <f t="shared" si="2"/>
        <v>13904</v>
      </c>
      <c r="I26" s="1826">
        <f t="shared" si="2"/>
        <v>0</v>
      </c>
      <c r="J26" s="1826">
        <f t="shared" si="2"/>
        <v>0</v>
      </c>
      <c r="K26" s="1823">
        <f>+F26+H26+J26</f>
        <v>26699</v>
      </c>
      <c r="L26" s="1826"/>
    </row>
    <row r="27" spans="1:12" ht="20.100000000000001" customHeight="1" x14ac:dyDescent="0.2">
      <c r="A27" s="1113"/>
      <c r="B27" s="1824"/>
      <c r="C27" s="1825"/>
      <c r="D27" s="1826"/>
      <c r="E27" s="1826"/>
      <c r="F27" s="1826"/>
      <c r="G27" s="1826"/>
      <c r="H27" s="1826"/>
      <c r="I27" s="1826"/>
      <c r="J27" s="1826"/>
      <c r="K27" s="1823"/>
      <c r="L27" s="1826"/>
    </row>
    <row r="28" spans="1:12" ht="20.100000000000001" customHeight="1" x14ac:dyDescent="0.2">
      <c r="A28" s="1113" t="s">
        <v>2099</v>
      </c>
      <c r="B28" s="1824"/>
      <c r="C28" s="1825"/>
      <c r="D28" s="1826">
        <v>240560</v>
      </c>
      <c r="E28" s="1826">
        <v>593034</v>
      </c>
      <c r="F28" s="1826">
        <v>296387</v>
      </c>
      <c r="G28" s="1826">
        <v>0</v>
      </c>
      <c r="H28" s="1826">
        <v>550595</v>
      </c>
      <c r="I28" s="1826">
        <v>0</v>
      </c>
      <c r="J28" s="1826">
        <v>185</v>
      </c>
      <c r="K28" s="1823">
        <f>+F28+H28++J28</f>
        <v>847167</v>
      </c>
      <c r="L28" s="1826"/>
    </row>
    <row r="29" spans="1:12" ht="20.100000000000001" customHeight="1" x14ac:dyDescent="0.2">
      <c r="A29" s="1113" t="s">
        <v>2100</v>
      </c>
      <c r="B29" s="1824"/>
      <c r="C29" s="1825"/>
      <c r="D29" s="1826">
        <f t="shared" ref="D29:K29" si="3">+D20+D26+D28</f>
        <v>446535</v>
      </c>
      <c r="E29" s="1826">
        <f t="shared" si="3"/>
        <v>900607</v>
      </c>
      <c r="F29" s="1826">
        <f t="shared" si="3"/>
        <v>504870</v>
      </c>
      <c r="G29" s="1826">
        <f t="shared" si="3"/>
        <v>0</v>
      </c>
      <c r="H29" s="1826">
        <f t="shared" si="3"/>
        <v>860432</v>
      </c>
      <c r="I29" s="1826">
        <f t="shared" si="3"/>
        <v>0</v>
      </c>
      <c r="J29" s="1826">
        <f t="shared" si="3"/>
        <v>185</v>
      </c>
      <c r="K29" s="1823">
        <f t="shared" si="3"/>
        <v>1365487</v>
      </c>
      <c r="L29" s="1826"/>
    </row>
    <row r="30" spans="1:12" x14ac:dyDescent="0.2">
      <c r="A30" s="1115"/>
      <c r="B30" s="1116"/>
      <c r="C30" s="1117"/>
      <c r="D30" s="1118"/>
      <c r="E30" s="1118"/>
      <c r="F30" s="1118"/>
      <c r="G30" s="1118"/>
      <c r="H30" s="1118"/>
      <c r="I30" s="1118"/>
      <c r="J30" s="1118"/>
      <c r="K30" s="1118"/>
      <c r="L30" s="1118"/>
    </row>
    <row r="31" spans="1:12" x14ac:dyDescent="0.2">
      <c r="A31" s="1033"/>
      <c r="B31" s="1119"/>
      <c r="C31" s="1120"/>
      <c r="D31" s="1033"/>
      <c r="E31" s="1033"/>
      <c r="F31" s="1026"/>
      <c r="G31" s="1026"/>
      <c r="H31" s="1026"/>
      <c r="I31" s="1026"/>
      <c r="J31" s="1026"/>
      <c r="K31" s="1026"/>
      <c r="L31" s="1033"/>
    </row>
    <row r="32" spans="1:12" ht="13.5" customHeight="1" x14ac:dyDescent="0.2">
      <c r="A32" s="1058" t="s">
        <v>1711</v>
      </c>
      <c r="B32" s="1119"/>
      <c r="C32" s="1120"/>
      <c r="D32" s="1033"/>
      <c r="E32" s="1033"/>
      <c r="F32" s="1026"/>
      <c r="G32" s="1026"/>
      <c r="H32" s="1026"/>
      <c r="I32" s="1026"/>
      <c r="J32" s="1026"/>
      <c r="K32" s="1026"/>
      <c r="L32" s="1033"/>
    </row>
    <row r="33" spans="1:12" ht="8.25" customHeight="1" x14ac:dyDescent="0.2">
      <c r="A33" s="1058"/>
      <c r="B33" s="1119"/>
      <c r="C33" s="1120"/>
      <c r="D33" s="1033"/>
      <c r="E33" s="1033"/>
      <c r="F33" s="1026"/>
      <c r="G33" s="1026"/>
      <c r="H33" s="1026"/>
      <c r="I33" s="1026"/>
      <c r="J33" s="1026"/>
      <c r="K33" s="1026"/>
      <c r="L33" s="1033"/>
    </row>
    <row r="34" spans="1:12" x14ac:dyDescent="0.2">
      <c r="A34" s="1121" t="s">
        <v>1809</v>
      </c>
      <c r="B34" s="1122"/>
      <c r="C34" s="1123"/>
      <c r="D34" s="1124"/>
      <c r="E34" s="1124"/>
      <c r="F34" s="1124"/>
      <c r="G34" s="1124"/>
      <c r="H34" s="295"/>
      <c r="I34" s="295"/>
      <c r="J34" s="1034"/>
      <c r="K34" s="1034"/>
      <c r="L34" s="295"/>
    </row>
    <row r="35" spans="1:12" x14ac:dyDescent="0.2">
      <c r="A35" s="1053"/>
      <c r="B35" s="1125"/>
      <c r="C35" s="1126"/>
      <c r="D35" s="1054"/>
      <c r="E35" s="1054"/>
      <c r="F35" s="295"/>
      <c r="G35" s="295"/>
      <c r="H35" s="295"/>
      <c r="I35" s="295"/>
      <c r="J35" s="1034"/>
      <c r="K35" s="1034"/>
      <c r="L35" s="295"/>
    </row>
    <row r="36" spans="1:12" ht="13.5" customHeight="1" x14ac:dyDescent="0.2">
      <c r="A36" s="1052" t="s">
        <v>1235</v>
      </c>
      <c r="B36" s="1127"/>
      <c r="C36" s="1128"/>
      <c r="D36" s="295"/>
      <c r="E36" s="295"/>
      <c r="F36" s="295"/>
      <c r="G36" s="295"/>
      <c r="H36" s="295"/>
      <c r="I36" s="295"/>
      <c r="J36" s="1034"/>
      <c r="K36" s="1034"/>
      <c r="L36" s="295"/>
    </row>
    <row r="37" spans="1:12" ht="13.5" customHeight="1" x14ac:dyDescent="0.2">
      <c r="A37" s="1129"/>
      <c r="B37" s="1130"/>
      <c r="C37" s="1131"/>
      <c r="D37" s="1073"/>
      <c r="E37" s="1073"/>
      <c r="F37" s="1073"/>
      <c r="G37" s="1073"/>
      <c r="H37" s="1073"/>
      <c r="I37" s="1073"/>
      <c r="J37" s="1132"/>
      <c r="K37" s="1132"/>
      <c r="L37" s="1073"/>
    </row>
    <row r="38" spans="1:12" ht="9.6" customHeight="1" x14ac:dyDescent="0.2">
      <c r="A38" s="1133"/>
      <c r="B38" s="1127"/>
      <c r="C38" s="1128"/>
      <c r="D38" s="295"/>
      <c r="E38" s="295"/>
      <c r="F38" s="295"/>
      <c r="G38" s="295"/>
      <c r="H38" s="295"/>
      <c r="I38" s="295"/>
      <c r="J38" s="1034"/>
      <c r="K38" s="1034"/>
      <c r="L38" s="295"/>
    </row>
    <row r="39" spans="1:12" ht="11.25" customHeight="1" x14ac:dyDescent="0.2">
      <c r="A39" s="1134" t="s">
        <v>1712</v>
      </c>
      <c r="B39" s="1135"/>
      <c r="C39" s="1135"/>
      <c r="D39" s="1135"/>
      <c r="E39" s="1135"/>
      <c r="F39" s="1135"/>
      <c r="G39" s="1135"/>
      <c r="H39" s="1136"/>
      <c r="I39" s="1136"/>
      <c r="J39" s="1136"/>
      <c r="K39" s="1136"/>
      <c r="L39" s="1136"/>
    </row>
    <row r="40" spans="1:12" ht="11.25" customHeight="1" x14ac:dyDescent="0.2">
      <c r="A40" s="1137" t="s">
        <v>1567</v>
      </c>
      <c r="B40" s="1136"/>
      <c r="C40" s="1136"/>
      <c r="D40" s="1136"/>
      <c r="E40" s="1136"/>
      <c r="F40" s="1136"/>
      <c r="G40" s="1136"/>
      <c r="H40" s="1136"/>
      <c r="I40" s="1136"/>
      <c r="J40" s="1136"/>
      <c r="K40" s="1136"/>
      <c r="L40" s="1136"/>
    </row>
    <row r="41" spans="1:12" ht="3.95" customHeight="1" x14ac:dyDescent="0.2">
      <c r="A41" s="1137"/>
      <c r="B41" s="1136"/>
      <c r="C41" s="1136"/>
      <c r="D41" s="1136"/>
      <c r="E41" s="1136"/>
      <c r="F41" s="1136"/>
      <c r="G41" s="1136"/>
      <c r="H41" s="1136"/>
      <c r="I41" s="1136"/>
      <c r="J41" s="1136"/>
      <c r="K41" s="1136"/>
      <c r="L41" s="1136"/>
    </row>
    <row r="42" spans="1:12" ht="11.25" customHeight="1" x14ac:dyDescent="0.2">
      <c r="A42" s="1134" t="s">
        <v>1713</v>
      </c>
      <c r="B42" s="1136"/>
      <c r="C42" s="1136"/>
      <c r="D42" s="1136"/>
      <c r="E42" s="1136"/>
      <c r="F42" s="1136"/>
      <c r="G42" s="1136"/>
      <c r="H42" s="1136"/>
      <c r="I42" s="1136"/>
      <c r="J42" s="1136"/>
      <c r="K42" s="1136"/>
      <c r="L42" s="1136"/>
    </row>
    <row r="43" spans="1:12" ht="11.25" customHeight="1" x14ac:dyDescent="0.2">
      <c r="A43" s="1076" t="s">
        <v>1568</v>
      </c>
      <c r="B43" s="1138"/>
      <c r="C43" s="1139"/>
      <c r="D43" s="1076"/>
      <c r="E43" s="1076"/>
      <c r="F43" s="1076"/>
      <c r="G43" s="1076"/>
      <c r="H43" s="1076"/>
      <c r="I43" s="1076"/>
      <c r="J43" s="1140"/>
      <c r="K43" s="1140"/>
      <c r="L43" s="1076"/>
    </row>
    <row r="44" spans="1:12" ht="3.95" customHeight="1" x14ac:dyDescent="0.2">
      <c r="A44" s="1076"/>
      <c r="B44" s="1138"/>
      <c r="C44" s="1139"/>
      <c r="D44" s="1076"/>
      <c r="E44" s="1076"/>
      <c r="F44" s="1076"/>
      <c r="G44" s="1076"/>
      <c r="H44" s="1076"/>
      <c r="I44" s="1076"/>
      <c r="J44" s="1140"/>
      <c r="K44" s="1140"/>
      <c r="L44" s="1076"/>
    </row>
    <row r="45" spans="1:12" ht="11.25" customHeight="1" x14ac:dyDescent="0.2">
      <c r="A45" s="1141" t="s">
        <v>1714</v>
      </c>
      <c r="B45" s="1138"/>
      <c r="C45" s="1139"/>
      <c r="D45" s="1076"/>
      <c r="E45" s="1076"/>
      <c r="F45" s="1076"/>
      <c r="G45" s="1076"/>
      <c r="H45" s="1076"/>
      <c r="I45" s="1076"/>
      <c r="J45" s="1140"/>
      <c r="K45" s="1140"/>
      <c r="L45" s="1076"/>
    </row>
    <row r="46" spans="1:12" ht="3.95" customHeight="1" x14ac:dyDescent="0.2">
      <c r="A46" s="1141"/>
      <c r="B46" s="1138"/>
      <c r="C46" s="1139"/>
      <c r="D46" s="1076"/>
      <c r="E46" s="1076"/>
      <c r="F46" s="1076"/>
      <c r="G46" s="1076"/>
      <c r="H46" s="1076"/>
      <c r="I46" s="1076"/>
      <c r="J46" s="1140"/>
      <c r="K46" s="1140"/>
      <c r="L46" s="1076"/>
    </row>
    <row r="47" spans="1:12" ht="11.25" customHeight="1" x14ac:dyDescent="0.2">
      <c r="A47" s="1142" t="s">
        <v>1715</v>
      </c>
      <c r="B47" s="1138"/>
      <c r="C47" s="1139"/>
      <c r="D47" s="1076"/>
      <c r="E47" s="1076"/>
      <c r="F47" s="1076"/>
      <c r="G47" s="1076"/>
      <c r="H47" s="1076"/>
      <c r="I47" s="1076"/>
      <c r="J47" s="1140"/>
      <c r="K47" s="1140"/>
      <c r="L47" s="1076"/>
    </row>
    <row r="48" spans="1:12" ht="11.25" customHeight="1" x14ac:dyDescent="0.2">
      <c r="A48" s="1076" t="s">
        <v>1569</v>
      </c>
      <c r="B48" s="1127"/>
      <c r="C48" s="1128"/>
      <c r="D48" s="295"/>
      <c r="E48" s="295"/>
      <c r="F48" s="295"/>
      <c r="G48" s="295"/>
      <c r="H48" s="295"/>
      <c r="I48" s="295"/>
      <c r="J48" s="1034"/>
      <c r="K48" s="1034"/>
      <c r="L48" s="295"/>
    </row>
  </sheetData>
  <mergeCells count="4">
    <mergeCell ref="A1:L1"/>
    <mergeCell ref="A2:L2"/>
    <mergeCell ref="A3:L3"/>
    <mergeCell ref="A4:L4"/>
  </mergeCells>
  <pageMargins left="0.7" right="0.7" top="0.75" bottom="0.75" header="0.3" footer="0.3"/>
  <pageSetup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9" colorId="8" zoomScaleNormal="100" workbookViewId="0">
      <selection activeCell="H54" sqref="H5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2048</v>
      </c>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35431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1986</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1986</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2049</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C24" sqref="C2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Anna CCSD 37</v>
      </c>
      <c r="B1" s="2571"/>
      <c r="C1" s="2571"/>
      <c r="D1" s="2571"/>
      <c r="E1" s="2571"/>
      <c r="F1" s="2571"/>
    </row>
    <row r="2" spans="1:7" ht="13.5" customHeight="1" x14ac:dyDescent="0.2">
      <c r="A2" s="2567">
        <f>'Single Audit Cover'!E7</f>
        <v>30091037004</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2070</v>
      </c>
      <c r="B7" s="2570"/>
      <c r="C7" s="2570"/>
      <c r="D7" s="2570"/>
      <c r="E7" s="2570"/>
      <c r="F7" s="257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2071</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t="s">
        <v>2069</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2072</v>
      </c>
      <c r="B32" s="2578"/>
      <c r="C32" s="2578"/>
      <c r="D32" s="2578"/>
      <c r="E32" s="2578"/>
      <c r="F32" s="2578"/>
    </row>
    <row r="33" spans="1:6" ht="13.5" customHeight="1" x14ac:dyDescent="0.2">
      <c r="A33" s="306" t="s">
        <v>1417</v>
      </c>
      <c r="B33" s="306"/>
      <c r="C33" s="1064">
        <v>23747</v>
      </c>
      <c r="D33" s="1526"/>
      <c r="E33" s="1062"/>
    </row>
    <row r="34" spans="1:6" ht="13.5" customHeight="1" x14ac:dyDescent="0.2">
      <c r="A34" s="306" t="s">
        <v>1808</v>
      </c>
      <c r="B34" s="306"/>
      <c r="C34" s="1065">
        <v>0</v>
      </c>
      <c r="D34" s="1526" t="s">
        <v>1572</v>
      </c>
      <c r="E34" s="2579">
        <f>+C33+C34</f>
        <v>23747</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zoomScale="110" zoomScaleNormal="110" workbookViewId="0">
      <selection activeCell="C39" sqref="C39:F3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Anna CCSD 37</v>
      </c>
      <c r="C1" s="2587"/>
      <c r="D1" s="2587"/>
      <c r="E1" s="2587"/>
      <c r="F1" s="2587"/>
      <c r="G1" s="2587"/>
      <c r="H1" s="2587"/>
      <c r="I1" s="2587"/>
      <c r="J1" s="1178"/>
    </row>
    <row r="2" spans="2:10" s="295" customFormat="1" ht="12.75" customHeight="1" x14ac:dyDescent="0.2">
      <c r="B2" s="2588">
        <f>'Single Audit Cover'!E7</f>
        <v>30091037004</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t="s">
        <v>1154</v>
      </c>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t="s">
        <v>2073</v>
      </c>
      <c r="E29" s="2593"/>
      <c r="F29" s="2593"/>
      <c r="G29" s="2593"/>
      <c r="H29" s="2593"/>
      <c r="I29" s="2593"/>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4" t="s">
        <v>1725</v>
      </c>
      <c r="D37" s="2595"/>
      <c r="E37" s="2595"/>
      <c r="F37" s="2596"/>
      <c r="G37" s="2594" t="s">
        <v>1575</v>
      </c>
      <c r="H37" s="2595"/>
      <c r="I37" s="2596"/>
    </row>
    <row r="38" spans="2:9" ht="16.5" customHeight="1" x14ac:dyDescent="0.2">
      <c r="B38" s="1200" t="s">
        <v>2075</v>
      </c>
      <c r="C38" s="2582" t="s">
        <v>2127</v>
      </c>
      <c r="D38" s="2583"/>
      <c r="E38" s="2583"/>
      <c r="F38" s="2584"/>
      <c r="G38" s="2597">
        <v>369575</v>
      </c>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369575</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858168</v>
      </c>
      <c r="E45" s="2605"/>
    </row>
    <row r="46" spans="2:9" ht="5.25" customHeight="1" x14ac:dyDescent="0.2">
      <c r="B46" s="1201"/>
      <c r="D46" s="1202"/>
      <c r="E46" s="1203"/>
    </row>
    <row r="47" spans="2:9" ht="12.75" customHeight="1" x14ac:dyDescent="0.2">
      <c r="B47" s="1076" t="s">
        <v>1577</v>
      </c>
      <c r="C47" s="1076"/>
      <c r="D47" s="1204">
        <f>+G43/D45</f>
        <v>0.43065576903356917</v>
      </c>
      <c r="E47" s="1205"/>
      <c r="F47" s="1206"/>
      <c r="I47" s="1207"/>
    </row>
    <row r="48" spans="2:9" ht="9.9499999999999993" customHeight="1" x14ac:dyDescent="0.2"/>
    <row r="49" spans="1:9" x14ac:dyDescent="0.2">
      <c r="B49" s="1138" t="s">
        <v>1262</v>
      </c>
      <c r="C49" s="1058"/>
      <c r="D49" s="1058"/>
      <c r="E49" s="2606">
        <v>300000</v>
      </c>
      <c r="F49" s="2606"/>
      <c r="G49" s="2606"/>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Anna CCSD 37</v>
      </c>
      <c r="C1" s="2586"/>
      <c r="D1" s="2586"/>
      <c r="E1" s="2586"/>
      <c r="F1" s="2586"/>
      <c r="G1" s="2586"/>
      <c r="H1" s="2586"/>
      <c r="I1" s="2586"/>
      <c r="J1" s="2586"/>
      <c r="K1" s="2586"/>
      <c r="L1" s="1144"/>
      <c r="M1" s="1144"/>
    </row>
    <row r="2" spans="1:13" ht="12" customHeight="1" x14ac:dyDescent="0.2">
      <c r="B2" s="2588">
        <f>'Single Audit Cover'!E7</f>
        <v>30091037004</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0</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t="s">
        <v>2074</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2074</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t="s">
        <v>2074</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2" t="s">
        <v>2074</v>
      </c>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t="s">
        <v>2074</v>
      </c>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t="s">
        <v>2074</v>
      </c>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t="s">
        <v>2074</v>
      </c>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7" t="s">
        <v>2074</v>
      </c>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41" sqref="B41:K4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Anna CCSD 37</v>
      </c>
      <c r="C1" s="2613"/>
      <c r="D1" s="2613"/>
      <c r="E1" s="2613"/>
      <c r="F1" s="2613"/>
      <c r="G1" s="2613"/>
      <c r="H1" s="2613"/>
      <c r="I1" s="2613"/>
      <c r="J1" s="2613"/>
      <c r="K1" s="2613"/>
      <c r="L1" s="1221"/>
    </row>
    <row r="2" spans="1:12" ht="12.75" customHeight="1" x14ac:dyDescent="0.2">
      <c r="B2" s="2614">
        <f>'Single Audit Cover'!E7</f>
        <v>30091037004</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v>0</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t="s">
        <v>2074</v>
      </c>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t="s">
        <v>2074</v>
      </c>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t="s">
        <v>2074</v>
      </c>
      <c r="E14" s="2616"/>
      <c r="F14" s="2616"/>
      <c r="H14" s="1230" t="s">
        <v>1292</v>
      </c>
      <c r="I14" s="2617" t="s">
        <v>2074</v>
      </c>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t="s">
        <v>2074</v>
      </c>
      <c r="E16" s="2617"/>
      <c r="F16" s="2617"/>
      <c r="G16" s="2617"/>
      <c r="H16" s="2617"/>
      <c r="I16" s="2617"/>
      <c r="J16" s="2617"/>
      <c r="K16" s="2617"/>
      <c r="L16" s="300"/>
    </row>
    <row r="17" spans="2:12" ht="13.5" customHeight="1" x14ac:dyDescent="0.2">
      <c r="B17" s="1156" t="s">
        <v>1290</v>
      </c>
      <c r="C17" s="1156"/>
      <c r="D17" s="2618" t="s">
        <v>2074</v>
      </c>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t="s">
        <v>2074</v>
      </c>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8" t="s">
        <v>2074</v>
      </c>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8" t="s">
        <v>2074</v>
      </c>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8" t="s">
        <v>2074</v>
      </c>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t="s">
        <v>2074</v>
      </c>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t="s">
        <v>2074</v>
      </c>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t="s">
        <v>2074</v>
      </c>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8" t="s">
        <v>2074</v>
      </c>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Anna CCSD 37</v>
      </c>
      <c r="C1" s="2586"/>
      <c r="D1" s="2586"/>
      <c r="E1" s="1240"/>
    </row>
    <row r="2" spans="2:5" s="1058" customFormat="1" ht="12.75" customHeight="1" x14ac:dyDescent="0.2">
      <c r="B2" s="2588">
        <f>'Single Audit Cover'!E7</f>
        <v>30091037004</v>
      </c>
      <c r="C2" s="2588"/>
      <c r="D2" s="2588"/>
      <c r="E2" s="1241"/>
    </row>
    <row r="3" spans="2:5" ht="12.75" customHeight="1" x14ac:dyDescent="0.2">
      <c r="B3" s="2609" t="s">
        <v>1740</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2069</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B1"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87537405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f>1.22/100</f>
        <v>1.2199999999999999E-2</v>
      </c>
      <c r="E10" s="333" t="s">
        <v>998</v>
      </c>
      <c r="F10" s="332">
        <f>0.25/100</f>
        <v>2.5000000000000001E-3</v>
      </c>
      <c r="G10" s="333" t="s">
        <v>998</v>
      </c>
      <c r="H10" s="332">
        <f>0.11196/100</f>
        <v>1.1196000000000001E-3</v>
      </c>
      <c r="I10" s="333" t="s">
        <v>999</v>
      </c>
      <c r="J10" s="1424">
        <f>ROUND(D10+F10+H10,5)</f>
        <v>1.5820000000000001E-2</v>
      </c>
      <c r="K10" s="217"/>
      <c r="L10" s="332">
        <f>0.01143/100</f>
        <v>1.1429999999999999E-4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6253920</v>
      </c>
      <c r="E16" s="1547"/>
      <c r="F16" s="1546">
        <f>SUM('Acct Summary 7-8'!C17,'Acct Summary 7-8'!D17,'Acct Summary 7-8'!F17)</f>
        <v>6199280</v>
      </c>
      <c r="G16" s="1547"/>
      <c r="H16" s="1546">
        <f>SUM(D16-F16)</f>
        <v>54640</v>
      </c>
      <c r="I16" s="1548"/>
      <c r="J16" s="1546">
        <f>SUM('Acct Summary 7-8'!C81,'Acct Summary 7-8'!D81,'Acct Summary 7-8'!F81,'Acct Summary 7-8'!I81)</f>
        <v>2743377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6040080.9450000003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401170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Anna CCSD 37</v>
      </c>
      <c r="E7" s="368"/>
      <c r="G7" s="247"/>
      <c r="H7" s="364"/>
      <c r="I7" s="364"/>
      <c r="J7" s="364"/>
      <c r="K7" s="364"/>
      <c r="L7" s="307"/>
      <c r="M7" s="307"/>
      <c r="N7" s="307"/>
      <c r="O7" s="307"/>
      <c r="P7" s="307"/>
    </row>
    <row r="8" spans="1:18" ht="12.75" x14ac:dyDescent="0.2">
      <c r="A8" s="307"/>
      <c r="B8" s="307"/>
      <c r="C8" s="366" t="s">
        <v>1115</v>
      </c>
      <c r="D8" s="369">
        <f>COVER!A13</f>
        <v>30091037004</v>
      </c>
      <c r="E8" s="370"/>
      <c r="G8" s="307"/>
      <c r="H8" s="307"/>
      <c r="I8" s="307"/>
      <c r="J8" s="307"/>
      <c r="K8" s="307"/>
      <c r="L8" s="307"/>
      <c r="M8" s="307"/>
      <c r="N8" s="307"/>
      <c r="O8" s="307"/>
      <c r="P8" s="307"/>
    </row>
    <row r="9" spans="1:18" ht="12.75" x14ac:dyDescent="0.2">
      <c r="A9" s="307"/>
      <c r="B9" s="307"/>
      <c r="C9" s="366" t="s">
        <v>708</v>
      </c>
      <c r="D9" s="371" t="str">
        <f>COVER!A15</f>
        <v>UNION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2743377</v>
      </c>
      <c r="I12" s="380"/>
      <c r="J12" s="380"/>
      <c r="K12" s="1559">
        <f>TRUNC((H12/H13*100000),5)/100000</f>
        <v>0.43866518909999996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6253920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6199280</v>
      </c>
      <c r="I17" s="380"/>
      <c r="J17" s="389"/>
      <c r="K17" s="1559">
        <f>TRUNC((H17/H18*100000),5)/100000</f>
        <v>0.99126307969999994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6253920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2743377</v>
      </c>
      <c r="I24" s="394"/>
      <c r="J24" s="394"/>
      <c r="K24" s="1555">
        <f>TRUNC(((H24/H25*100000)/100000),2)</f>
        <v>159.31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17220.22222</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1177115.4850399999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401170</v>
      </c>
      <c r="I32" s="392"/>
      <c r="J32" s="392"/>
      <c r="K32" s="1555">
        <f>TRUNC(100-((((H32/H33*100))*100)/100),2)</f>
        <v>93.35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6040080.9450000003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41" sqref="A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244000+7500+735+50</f>
        <v>252285</v>
      </c>
      <c r="D4" s="1573">
        <v>146442</v>
      </c>
      <c r="E4" s="1573">
        <v>88978</v>
      </c>
      <c r="F4" s="1573">
        <v>218264</v>
      </c>
      <c r="G4" s="1573">
        <v>56245</v>
      </c>
      <c r="H4" s="1573">
        <v>159988</v>
      </c>
      <c r="I4" s="1573">
        <v>1791186</v>
      </c>
      <c r="J4" s="1574">
        <v>8230</v>
      </c>
      <c r="K4" s="1573">
        <v>51148</v>
      </c>
      <c r="L4" s="1573">
        <v>71929</v>
      </c>
      <c r="M4" s="1575"/>
      <c r="N4" s="1576"/>
    </row>
    <row r="5" spans="1:14" x14ac:dyDescent="0.2">
      <c r="A5" s="427" t="s">
        <v>985</v>
      </c>
      <c r="B5" s="429">
        <v>120</v>
      </c>
      <c r="C5" s="1572"/>
      <c r="D5" s="1573"/>
      <c r="E5" s="1573"/>
      <c r="F5" s="1573"/>
      <c r="G5" s="1573"/>
      <c r="H5" s="1573"/>
      <c r="I5" s="1573">
        <v>335200</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252285</v>
      </c>
      <c r="D13" s="1587">
        <f t="shared" ref="D13:L13" si="0">SUM(D4:D12)</f>
        <v>146442</v>
      </c>
      <c r="E13" s="1587">
        <f t="shared" si="0"/>
        <v>88978</v>
      </c>
      <c r="F13" s="1587">
        <f t="shared" si="0"/>
        <v>218264</v>
      </c>
      <c r="G13" s="1587">
        <f t="shared" si="0"/>
        <v>56245</v>
      </c>
      <c r="H13" s="1587">
        <f t="shared" si="0"/>
        <v>159988</v>
      </c>
      <c r="I13" s="1587">
        <f t="shared" si="0"/>
        <v>2126386</v>
      </c>
      <c r="J13" s="1587">
        <f t="shared" si="0"/>
        <v>8230</v>
      </c>
      <c r="K13" s="1587">
        <f t="shared" si="0"/>
        <v>51148</v>
      </c>
      <c r="L13" s="1587">
        <f t="shared" si="0"/>
        <v>71929</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299522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6440978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182220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338987+519065+252669</f>
        <v>1110721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88979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312191</v>
      </c>
    </row>
    <row r="23" spans="1:14" ht="13.5" customHeight="1" thickBot="1" x14ac:dyDescent="0.25">
      <c r="A23" s="1426" t="s">
        <v>638</v>
      </c>
      <c r="B23" s="1429"/>
      <c r="C23" s="1575"/>
      <c r="D23" s="1575"/>
      <c r="E23" s="1575"/>
      <c r="F23" s="1575"/>
      <c r="G23" s="1575"/>
      <c r="H23" s="1575"/>
      <c r="I23" s="1575"/>
      <c r="J23" s="1575"/>
      <c r="K23" s="1575"/>
      <c r="L23" s="1575"/>
      <c r="M23" s="1594">
        <f>SUM(M15:M22)</f>
        <v>8033441</v>
      </c>
      <c r="N23" s="1594">
        <f>SUM(N21:N22)</f>
        <v>401170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71929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71929</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401170</v>
      </c>
    </row>
    <row r="37" spans="1:14" ht="13.5" thickBot="1" x14ac:dyDescent="0.25">
      <c r="A37" s="1426" t="s">
        <v>648</v>
      </c>
      <c r="B37" s="1429"/>
      <c r="C37" s="1582"/>
      <c r="D37" s="1582"/>
      <c r="E37" s="1582"/>
      <c r="F37" s="1582"/>
      <c r="G37" s="1582"/>
      <c r="H37" s="1582"/>
      <c r="I37" s="1582"/>
      <c r="J37" s="1582"/>
      <c r="K37" s="1582"/>
      <c r="L37" s="1585"/>
      <c r="M37" s="1575"/>
      <c r="N37" s="1594">
        <f>SUM(N36:N36)</f>
        <v>401170</v>
      </c>
    </row>
    <row r="38" spans="1:14" s="307" customFormat="1" ht="13.5" customHeight="1" thickTop="1" x14ac:dyDescent="0.2">
      <c r="A38" s="438" t="s">
        <v>417</v>
      </c>
      <c r="B38" s="432">
        <v>714</v>
      </c>
      <c r="C38" s="1573">
        <v>0</v>
      </c>
      <c r="D38" s="1573">
        <v>0</v>
      </c>
      <c r="E38" s="1573">
        <v>88978</v>
      </c>
      <c r="F38" s="1573">
        <v>0</v>
      </c>
      <c r="G38" s="1573">
        <v>56245</v>
      </c>
      <c r="H38" s="1573">
        <v>159988</v>
      </c>
      <c r="I38" s="1573">
        <v>0</v>
      </c>
      <c r="J38" s="1574">
        <v>8230</v>
      </c>
      <c r="K38" s="1573">
        <v>51148</v>
      </c>
      <c r="L38" s="1586">
        <v>0</v>
      </c>
      <c r="M38" s="1604"/>
      <c r="N38" s="1604"/>
    </row>
    <row r="39" spans="1:14" s="307" customFormat="1" ht="13.5" customHeight="1" x14ac:dyDescent="0.2">
      <c r="A39" s="438" t="s">
        <v>339</v>
      </c>
      <c r="B39" s="432">
        <v>730</v>
      </c>
      <c r="C39" s="1573">
        <v>252285</v>
      </c>
      <c r="D39" s="1573">
        <v>146442</v>
      </c>
      <c r="E39" s="1573">
        <v>0</v>
      </c>
      <c r="F39" s="1573">
        <v>218264</v>
      </c>
      <c r="G39" s="1573">
        <v>0</v>
      </c>
      <c r="H39" s="1573">
        <v>0</v>
      </c>
      <c r="I39" s="1573">
        <v>2126386</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8033441</v>
      </c>
      <c r="N40" s="1604"/>
    </row>
    <row r="41" spans="1:14" ht="13.5" customHeight="1" thickBot="1" x14ac:dyDescent="0.25">
      <c r="A41" s="1426" t="s">
        <v>650</v>
      </c>
      <c r="B41" s="1405"/>
      <c r="C41" s="1594">
        <f>(SUM(C34,C37,C38,C39))</f>
        <v>252285</v>
      </c>
      <c r="D41" s="1594">
        <f t="shared" ref="D41:L41" si="2">SUM(D34,D37,D38:D39)</f>
        <v>146442</v>
      </c>
      <c r="E41" s="1594">
        <f t="shared" si="2"/>
        <v>88978</v>
      </c>
      <c r="F41" s="1594">
        <f t="shared" si="2"/>
        <v>218264</v>
      </c>
      <c r="G41" s="1594">
        <f t="shared" si="2"/>
        <v>56245</v>
      </c>
      <c r="H41" s="1594">
        <f t="shared" si="2"/>
        <v>159988</v>
      </c>
      <c r="I41" s="1594">
        <f t="shared" si="2"/>
        <v>2126386</v>
      </c>
      <c r="J41" s="1594">
        <f t="shared" si="2"/>
        <v>8230</v>
      </c>
      <c r="K41" s="1594">
        <f t="shared" si="2"/>
        <v>51148</v>
      </c>
      <c r="L41" s="1594">
        <f t="shared" si="2"/>
        <v>71929</v>
      </c>
      <c r="M41" s="1594">
        <f>SUM(M40)</f>
        <v>8033441</v>
      </c>
      <c r="N41" s="1594">
        <f>SUM(N37)</f>
        <v>401170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&amp;L&amp;8&amp;F&amp;CThe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1256784</v>
      </c>
      <c r="D4" s="1606">
        <f>'Revenues 9-14'!D109</f>
        <v>200390</v>
      </c>
      <c r="E4" s="1606">
        <f>'Revenues 9-14'!E109</f>
        <v>339512</v>
      </c>
      <c r="F4" s="1606">
        <f>'Revenues 9-14'!F109</f>
        <v>98900</v>
      </c>
      <c r="G4" s="1606">
        <f>'Revenues 9-14'!G109</f>
        <v>191123</v>
      </c>
      <c r="H4" s="1606">
        <f>'Revenues 9-14'!H109</f>
        <v>175039</v>
      </c>
      <c r="I4" s="1606">
        <f>'Revenues 9-14'!I109</f>
        <v>60281</v>
      </c>
      <c r="J4" s="1606">
        <f>'Revenues 9-14'!J109</f>
        <v>70795</v>
      </c>
      <c r="K4" s="1606">
        <f>'Revenues 9-14'!K109</f>
        <v>42061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3596453</v>
      </c>
      <c r="D6" s="1607">
        <f>'Revenues 9-14'!D170</f>
        <v>0</v>
      </c>
      <c r="E6" s="1607">
        <f>'Revenues 9-14'!E170</f>
        <v>0</v>
      </c>
      <c r="F6" s="1607">
        <f>'Revenues 9-14'!F170</f>
        <v>106739</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934373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5787610</v>
      </c>
      <c r="D8" s="1594">
        <f t="shared" ref="D8:K8" si="0">SUM(D4:D7)</f>
        <v>200390</v>
      </c>
      <c r="E8" s="1594">
        <f t="shared" si="0"/>
        <v>339512</v>
      </c>
      <c r="F8" s="1594">
        <f t="shared" si="0"/>
        <v>205639</v>
      </c>
      <c r="G8" s="1594">
        <f t="shared" si="0"/>
        <v>191123</v>
      </c>
      <c r="H8" s="1594">
        <f t="shared" si="0"/>
        <v>225039</v>
      </c>
      <c r="I8" s="1594">
        <f t="shared" si="0"/>
        <v>60281</v>
      </c>
      <c r="J8" s="1594">
        <f t="shared" si="0"/>
        <v>70795</v>
      </c>
      <c r="K8" s="1594">
        <f t="shared" si="0"/>
        <v>42061</v>
      </c>
      <c r="L8" s="325"/>
    </row>
    <row r="9" spans="1:13" ht="15.75" thickTop="1" x14ac:dyDescent="0.2">
      <c r="A9" s="449" t="s">
        <v>1634</v>
      </c>
      <c r="B9" s="450">
        <v>3998</v>
      </c>
      <c r="C9" s="1586">
        <v>2587141</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8374751</v>
      </c>
      <c r="D10" s="1594">
        <f t="shared" ref="D10:K10" si="1">SUM(D8:D9)</f>
        <v>200390</v>
      </c>
      <c r="E10" s="1594">
        <f t="shared" si="1"/>
        <v>339512</v>
      </c>
      <c r="F10" s="1594">
        <f t="shared" si="1"/>
        <v>205639</v>
      </c>
      <c r="G10" s="1594">
        <f t="shared" si="1"/>
        <v>191123</v>
      </c>
      <c r="H10" s="1594">
        <f t="shared" si="1"/>
        <v>225039</v>
      </c>
      <c r="I10" s="1594">
        <f t="shared" si="1"/>
        <v>60281</v>
      </c>
      <c r="J10" s="1594">
        <f t="shared" si="1"/>
        <v>70795</v>
      </c>
      <c r="K10" s="1594">
        <f t="shared" si="1"/>
        <v>42061</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3926569</v>
      </c>
      <c r="D12" s="1616" t="s">
        <v>1159</v>
      </c>
      <c r="E12" s="1575" t="s">
        <v>1159</v>
      </c>
      <c r="F12" s="1575" t="s">
        <v>1159</v>
      </c>
      <c r="G12" s="1606">
        <f>'Expenditures 15-22'!K229</f>
        <v>84411</v>
      </c>
      <c r="H12" s="1617"/>
      <c r="I12" s="1575" t="s">
        <v>1159</v>
      </c>
      <c r="J12" s="1575" t="s">
        <v>1159</v>
      </c>
      <c r="K12" s="1617" t="s">
        <v>1159</v>
      </c>
      <c r="L12" s="325"/>
    </row>
    <row r="13" spans="1:13" ht="15.75" customHeight="1" x14ac:dyDescent="0.2">
      <c r="A13" s="1314" t="s">
        <v>454</v>
      </c>
      <c r="B13" s="1316">
        <v>2000</v>
      </c>
      <c r="C13" s="1607">
        <f>'Expenditures 15-22'!K74</f>
        <v>1448628</v>
      </c>
      <c r="D13" s="1607">
        <f>'Expenditures 15-22'!K129</f>
        <v>165388</v>
      </c>
      <c r="E13" s="1576" t="s">
        <v>1159</v>
      </c>
      <c r="F13" s="1607">
        <f>'Expenditures 15-22'!K184</f>
        <v>225602</v>
      </c>
      <c r="G13" s="1607">
        <f>'Expenditures 15-22'!K279</f>
        <v>137863</v>
      </c>
      <c r="H13" s="1607">
        <f>'Expenditures 15-22'!K303</f>
        <v>65347</v>
      </c>
      <c r="I13" s="1575" t="s">
        <v>1159</v>
      </c>
      <c r="J13" s="1607">
        <f>'Expenditures 15-22'!K330</f>
        <v>91032</v>
      </c>
      <c r="K13" s="1618">
        <f>'Expenditures 15-22'!K352</f>
        <v>13907</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433093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372554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5808290</v>
      </c>
      <c r="D17" s="1594">
        <f t="shared" si="2"/>
        <v>165388</v>
      </c>
      <c r="E17" s="1594">
        <f t="shared" si="2"/>
        <v>372554</v>
      </c>
      <c r="F17" s="1594">
        <f t="shared" si="2"/>
        <v>225602</v>
      </c>
      <c r="G17" s="1594">
        <f t="shared" si="2"/>
        <v>222274</v>
      </c>
      <c r="H17" s="1594">
        <f t="shared" si="2"/>
        <v>65347</v>
      </c>
      <c r="I17" s="1575"/>
      <c r="J17" s="1594">
        <f>SUM(J12:J16)</f>
        <v>91032</v>
      </c>
      <c r="K17" s="1594">
        <f>SUM(K12:K16)</f>
        <v>13907</v>
      </c>
      <c r="L17" s="325"/>
    </row>
    <row r="18" spans="1:12" ht="15" customHeight="1" thickTop="1" x14ac:dyDescent="0.2">
      <c r="A18" s="1430" t="s">
        <v>1635</v>
      </c>
      <c r="B18" s="1431">
        <v>4180</v>
      </c>
      <c r="C18" s="1606">
        <f t="shared" ref="C18:H18" si="3">C9</f>
        <v>2587141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8395431</v>
      </c>
      <c r="D19" s="1594">
        <f t="shared" si="4"/>
        <v>165388</v>
      </c>
      <c r="E19" s="1594">
        <f t="shared" si="4"/>
        <v>372554</v>
      </c>
      <c r="F19" s="1594">
        <f t="shared" si="4"/>
        <v>225602</v>
      </c>
      <c r="G19" s="1594">
        <f t="shared" si="4"/>
        <v>222274</v>
      </c>
      <c r="H19" s="1594">
        <f t="shared" si="4"/>
        <v>65347</v>
      </c>
      <c r="I19" s="1575"/>
      <c r="J19" s="1594">
        <f>SUM(J17:J18)</f>
        <v>91032</v>
      </c>
      <c r="K19" s="1594">
        <f>SUM(K17:K18)</f>
        <v>13907</v>
      </c>
      <c r="L19" s="325"/>
    </row>
    <row r="20" spans="1:12" ht="16.5" thickTop="1" thickBot="1" x14ac:dyDescent="0.25">
      <c r="A20" s="2231" t="s">
        <v>1636</v>
      </c>
      <c r="B20" s="2232"/>
      <c r="C20" s="1622">
        <f>C8-C17</f>
        <v>-20680</v>
      </c>
      <c r="D20" s="1622">
        <f t="shared" ref="D20:K20" si="5">D8-D17</f>
        <v>35002</v>
      </c>
      <c r="E20" s="1622">
        <f t="shared" si="5"/>
        <v>-33042</v>
      </c>
      <c r="F20" s="1622">
        <f t="shared" si="5"/>
        <v>-19963</v>
      </c>
      <c r="G20" s="1622">
        <f t="shared" si="5"/>
        <v>-31151</v>
      </c>
      <c r="H20" s="1622">
        <f t="shared" si="5"/>
        <v>159692</v>
      </c>
      <c r="I20" s="1622">
        <f t="shared" si="5"/>
        <v>60281</v>
      </c>
      <c r="J20" s="1622">
        <f t="shared" si="5"/>
        <v>-20237</v>
      </c>
      <c r="K20" s="1622">
        <f t="shared" si="5"/>
        <v>28154</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25000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1768</v>
      </c>
      <c r="B30" s="455">
        <v>7160</v>
      </c>
      <c r="C30" s="1582"/>
      <c r="D30" s="1574">
        <v>0</v>
      </c>
      <c r="E30" s="1582"/>
      <c r="F30" s="1582"/>
      <c r="G30" s="1582"/>
      <c r="H30" s="1582"/>
      <c r="I30" s="1582"/>
      <c r="J30" s="1582"/>
      <c r="K30" s="1582"/>
      <c r="L30" s="453"/>
    </row>
    <row r="31" spans="1:12" s="433" customFormat="1" ht="26.25" x14ac:dyDescent="0.2">
      <c r="A31" s="1260" t="s">
        <v>1772</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c r="F33" s="1574">
        <v>98555</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33000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33000</v>
      </c>
      <c r="F44" s="1624">
        <f t="shared" si="6"/>
        <v>98555</v>
      </c>
      <c r="G44" s="1624">
        <f t="shared" si="6"/>
        <v>0</v>
      </c>
      <c r="H44" s="1624">
        <f t="shared" si="6"/>
        <v>0</v>
      </c>
      <c r="I44" s="1624">
        <f t="shared" si="6"/>
        <v>0</v>
      </c>
      <c r="J44" s="1624">
        <f t="shared" si="6"/>
        <v>25000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25000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33000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33000</v>
      </c>
      <c r="G76" s="1624">
        <f t="shared" si="7"/>
        <v>0</v>
      </c>
      <c r="H76" s="1624">
        <f t="shared" si="7"/>
        <v>0</v>
      </c>
      <c r="I76" s="1624">
        <f t="shared" si="7"/>
        <v>25000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33000</v>
      </c>
      <c r="F77" s="1624">
        <f t="shared" si="8"/>
        <v>65555</v>
      </c>
      <c r="G77" s="1624">
        <f t="shared" si="8"/>
        <v>0</v>
      </c>
      <c r="H77" s="1624">
        <f t="shared" si="8"/>
        <v>0</v>
      </c>
      <c r="I77" s="1624">
        <f t="shared" si="8"/>
        <v>-25000</v>
      </c>
      <c r="J77" s="1624">
        <f t="shared" si="8"/>
        <v>25000</v>
      </c>
      <c r="K77" s="1624">
        <f t="shared" si="8"/>
        <v>0</v>
      </c>
      <c r="L77" s="325"/>
    </row>
    <row r="78" spans="1:12" ht="21.75" customHeight="1" thickTop="1" thickBot="1" x14ac:dyDescent="0.25">
      <c r="A78" s="2227" t="s">
        <v>593</v>
      </c>
      <c r="B78" s="2228"/>
      <c r="C78" s="1629">
        <f t="shared" ref="C78:K78" si="9">C20+C77</f>
        <v>-20680</v>
      </c>
      <c r="D78" s="1629">
        <f t="shared" si="9"/>
        <v>35002</v>
      </c>
      <c r="E78" s="1629">
        <f t="shared" si="9"/>
        <v>-42</v>
      </c>
      <c r="F78" s="1629">
        <f t="shared" si="9"/>
        <v>45592</v>
      </c>
      <c r="G78" s="1629">
        <f t="shared" si="9"/>
        <v>-31151</v>
      </c>
      <c r="H78" s="1629">
        <f t="shared" si="9"/>
        <v>159692</v>
      </c>
      <c r="I78" s="1629">
        <f t="shared" si="9"/>
        <v>35281</v>
      </c>
      <c r="J78" s="1629">
        <f t="shared" si="9"/>
        <v>4763</v>
      </c>
      <c r="K78" s="1629">
        <f t="shared" si="9"/>
        <v>28154</v>
      </c>
      <c r="L78" s="457"/>
    </row>
    <row r="79" spans="1:12" ht="13.5" thickTop="1" x14ac:dyDescent="0.2">
      <c r="A79" s="1844" t="str">
        <f>"Fund Balances - July 1, "&amp;'AFR20'!E2-1</f>
        <v>Fund Balances - July 1, 2019</v>
      </c>
      <c r="B79" s="458"/>
      <c r="C79" s="1583">
        <v>272965</v>
      </c>
      <c r="D79" s="1630">
        <v>111440</v>
      </c>
      <c r="E79" s="1630">
        <v>89020</v>
      </c>
      <c r="F79" s="1630">
        <v>172672</v>
      </c>
      <c r="G79" s="1630">
        <v>87396</v>
      </c>
      <c r="H79" s="1630">
        <v>296</v>
      </c>
      <c r="I79" s="1630">
        <v>2091105</v>
      </c>
      <c r="J79" s="1630">
        <v>3467</v>
      </c>
      <c r="K79" s="1630">
        <v>22994</v>
      </c>
      <c r="L79" s="325"/>
    </row>
    <row r="80" spans="1:12" x14ac:dyDescent="0.2">
      <c r="A80" s="2233" t="s">
        <v>1769</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252285</v>
      </c>
      <c r="D81" s="1594">
        <f>SUM(D78:D80)</f>
        <v>146442</v>
      </c>
      <c r="E81" s="1594">
        <f t="shared" ref="E81:K81" si="10">SUM(E78:E80)</f>
        <v>88978</v>
      </c>
      <c r="F81" s="1594">
        <f t="shared" si="10"/>
        <v>218264</v>
      </c>
      <c r="G81" s="1594">
        <f t="shared" si="10"/>
        <v>56245</v>
      </c>
      <c r="H81" s="1594">
        <f t="shared" si="10"/>
        <v>159988</v>
      </c>
      <c r="I81" s="1594">
        <f t="shared" si="10"/>
        <v>2126386</v>
      </c>
      <c r="J81" s="1594">
        <f t="shared" si="10"/>
        <v>8230</v>
      </c>
      <c r="K81" s="1594">
        <f t="shared" si="10"/>
        <v>51148</v>
      </c>
      <c r="L81" s="325"/>
    </row>
    <row r="82" spans="1:12" ht="0.75" customHeight="1" thickTop="1" thickBot="1" x14ac:dyDescent="0.25">
      <c r="A82" s="459" t="s">
        <v>340</v>
      </c>
      <c r="B82" s="460"/>
      <c r="C82" s="461">
        <f>(C81-C79)</f>
        <v>-20680</v>
      </c>
      <c r="D82" s="461">
        <f t="shared" ref="D82:K82" si="11">(D81-D79)</f>
        <v>35002</v>
      </c>
      <c r="E82" s="461">
        <f t="shared" si="11"/>
        <v>-42</v>
      </c>
      <c r="F82" s="461">
        <f t="shared" si="11"/>
        <v>45592</v>
      </c>
      <c r="G82" s="461">
        <f t="shared" si="11"/>
        <v>-31151</v>
      </c>
      <c r="H82" s="461">
        <f t="shared" si="11"/>
        <v>159692</v>
      </c>
      <c r="I82" s="461">
        <f t="shared" si="11"/>
        <v>35281</v>
      </c>
      <c r="J82" s="461">
        <f t="shared" si="11"/>
        <v>4763</v>
      </c>
      <c r="K82" s="461">
        <f t="shared" si="11"/>
        <v>28154</v>
      </c>
    </row>
    <row r="83" spans="1:12" ht="14.25" hidden="1" thickTop="1" thickBot="1" x14ac:dyDescent="0.25">
      <c r="A83" s="462" t="s">
        <v>341</v>
      </c>
      <c r="B83" s="428"/>
      <c r="C83" s="463">
        <f>C82/C81</f>
        <v>-8.1970787006758236E-2</v>
      </c>
      <c r="D83" s="463">
        <f t="shared" ref="D83:K83" si="12">D82/D81</f>
        <v>0.23901612925253685</v>
      </c>
      <c r="E83" s="463">
        <f t="shared" si="12"/>
        <v>-4.720267931398773E-4</v>
      </c>
      <c r="F83" s="463">
        <f t="shared" si="12"/>
        <v>0.20888465344720156</v>
      </c>
      <c r="G83" s="463">
        <f t="shared" si="12"/>
        <v>-0.55384478620321809</v>
      </c>
      <c r="H83" s="463">
        <f t="shared" si="12"/>
        <v>0.99814986123959293</v>
      </c>
      <c r="I83" s="463">
        <f t="shared" si="12"/>
        <v>1.6592001640341875E-2</v>
      </c>
      <c r="J83" s="463">
        <f t="shared" si="12"/>
        <v>0.57873633049817741</v>
      </c>
      <c r="K83" s="463">
        <f t="shared" si="12"/>
        <v>0.55044185500899356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&amp;L&amp;8&amp;F&amp;CThe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9" activePane="bottomLeft" state="frozen"/>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1776</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1026311</v>
      </c>
      <c r="D5" s="1586">
        <v>200132</v>
      </c>
      <c r="E5" s="1573">
        <v>338885</v>
      </c>
      <c r="F5" s="1631">
        <v>97633</v>
      </c>
      <c r="G5" s="1573">
        <v>97633</v>
      </c>
      <c r="H5" s="1573"/>
      <c r="I5" s="1573">
        <v>41980</v>
      </c>
      <c r="J5" s="1574">
        <v>70790</v>
      </c>
      <c r="K5" s="1573">
        <v>41980</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16599</v>
      </c>
      <c r="D7" s="1573"/>
      <c r="E7" s="1575"/>
      <c r="F7" s="1574"/>
      <c r="G7" s="1574"/>
      <c r="H7" s="1574"/>
      <c r="I7" s="1575"/>
      <c r="J7" s="1575"/>
      <c r="K7" s="1575"/>
    </row>
    <row r="8" spans="1:12" x14ac:dyDescent="0.2">
      <c r="A8" s="427" t="s">
        <v>410</v>
      </c>
      <c r="B8" s="429">
        <v>1150</v>
      </c>
      <c r="C8" s="1580"/>
      <c r="D8" s="1580"/>
      <c r="E8" s="1582"/>
      <c r="F8" s="1582"/>
      <c r="G8" s="1586">
        <v>87861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1042910</v>
      </c>
      <c r="D12" s="1633">
        <f t="shared" si="0"/>
        <v>200132</v>
      </c>
      <c r="E12" s="1633">
        <f t="shared" si="0"/>
        <v>338885</v>
      </c>
      <c r="F12" s="1633">
        <f t="shared" si="0"/>
        <v>97633</v>
      </c>
      <c r="G12" s="1633">
        <f t="shared" si="0"/>
        <v>185494</v>
      </c>
      <c r="H12" s="1633">
        <f t="shared" si="0"/>
        <v>0</v>
      </c>
      <c r="I12" s="1633">
        <f t="shared" si="0"/>
        <v>41980</v>
      </c>
      <c r="J12" s="1633">
        <f t="shared" si="0"/>
        <v>70790</v>
      </c>
      <c r="K12" s="1594">
        <f t="shared" si="0"/>
        <v>41980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122396</v>
      </c>
      <c r="D16" s="1573"/>
      <c r="E16" s="1573"/>
      <c r="F16" s="1573"/>
      <c r="G16" s="1573">
        <v>5438</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122396</v>
      </c>
      <c r="D18" s="1635">
        <f t="shared" ref="D18:K18" si="1">SUM(D14:D17)</f>
        <v>0</v>
      </c>
      <c r="E18" s="1635">
        <f t="shared" si="1"/>
        <v>0</v>
      </c>
      <c r="F18" s="1635">
        <f t="shared" si="1"/>
        <v>0</v>
      </c>
      <c r="G18" s="1635">
        <f t="shared" si="1"/>
        <v>5438</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764</v>
      </c>
      <c r="D65" s="1573">
        <v>258</v>
      </c>
      <c r="E65" s="1573">
        <v>627</v>
      </c>
      <c r="F65" s="1574">
        <v>308</v>
      </c>
      <c r="G65" s="1573">
        <v>191</v>
      </c>
      <c r="H65" s="1573">
        <v>61</v>
      </c>
      <c r="I65" s="1573">
        <v>18301</v>
      </c>
      <c r="J65" s="1574">
        <v>5</v>
      </c>
      <c r="K65" s="1573">
        <v>81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764</v>
      </c>
      <c r="D67" s="1594">
        <f t="shared" ref="D67:K67" si="2">SUM(D65:D66)</f>
        <v>258</v>
      </c>
      <c r="E67" s="1594">
        <f t="shared" si="2"/>
        <v>627</v>
      </c>
      <c r="F67" s="1594">
        <f t="shared" si="2"/>
        <v>308</v>
      </c>
      <c r="G67" s="1594">
        <f t="shared" si="2"/>
        <v>191</v>
      </c>
      <c r="H67" s="1594">
        <f t="shared" si="2"/>
        <v>61</v>
      </c>
      <c r="I67" s="1594">
        <f t="shared" si="2"/>
        <v>18301</v>
      </c>
      <c r="J67" s="1594">
        <f t="shared" si="2"/>
        <v>5</v>
      </c>
      <c r="K67" s="1594">
        <f t="shared" si="2"/>
        <v>81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48878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4893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53771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12048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280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12328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8215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8215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1265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992</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174978</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14143</v>
      </c>
      <c r="D107" s="1573"/>
      <c r="E107" s="1573"/>
      <c r="F107" s="1573">
        <v>959</v>
      </c>
      <c r="G107" s="1573"/>
      <c r="H107" s="1573"/>
      <c r="I107" s="1573"/>
      <c r="J107" s="1574"/>
      <c r="K107" s="1573"/>
    </row>
    <row r="108" spans="1:12" ht="12.75" customHeight="1" thickBot="1" x14ac:dyDescent="0.25">
      <c r="A108" s="1406" t="s">
        <v>484</v>
      </c>
      <c r="B108" s="1408"/>
      <c r="C108" s="1633">
        <f>SUM(C95:C107)</f>
        <v>16400</v>
      </c>
      <c r="D108" s="1633">
        <f t="shared" ref="D108:K108" si="3">SUM(D95:D107)</f>
        <v>0</v>
      </c>
      <c r="E108" s="1633">
        <f t="shared" si="3"/>
        <v>0</v>
      </c>
      <c r="F108" s="1633">
        <f t="shared" si="3"/>
        <v>959</v>
      </c>
      <c r="G108" s="1633">
        <f t="shared" si="3"/>
        <v>0</v>
      </c>
      <c r="H108" s="1633">
        <f t="shared" si="3"/>
        <v>174978</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1256784</v>
      </c>
      <c r="D109" s="1641">
        <f t="shared" si="4"/>
        <v>200390</v>
      </c>
      <c r="E109" s="1641">
        <f t="shared" si="4"/>
        <v>339512</v>
      </c>
      <c r="F109" s="1641">
        <f t="shared" si="4"/>
        <v>98900</v>
      </c>
      <c r="G109" s="1641">
        <f t="shared" si="4"/>
        <v>191123</v>
      </c>
      <c r="H109" s="1641">
        <f t="shared" si="4"/>
        <v>175039</v>
      </c>
      <c r="I109" s="1641">
        <f t="shared" si="4"/>
        <v>60281</v>
      </c>
      <c r="J109" s="1641">
        <f t="shared" si="4"/>
        <v>70795</v>
      </c>
      <c r="K109" s="1629">
        <f t="shared" si="4"/>
        <v>42061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3380762</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3380762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2524</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20679</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23203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3026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64341</v>
      </c>
      <c r="G152" s="1574"/>
      <c r="H152" s="1575"/>
      <c r="I152" s="1575"/>
      <c r="J152" s="1575"/>
      <c r="K152" s="1575"/>
    </row>
    <row r="153" spans="1:11" ht="12.75" customHeight="1" x14ac:dyDescent="0.2">
      <c r="A153" s="427" t="s">
        <v>1048</v>
      </c>
      <c r="B153" s="478">
        <v>3510</v>
      </c>
      <c r="C153" s="1632"/>
      <c r="D153" s="1573"/>
      <c r="E153" s="1640"/>
      <c r="F153" s="1573">
        <v>42398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106739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189462</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v>50000</v>
      </c>
      <c r="I168" s="1656"/>
      <c r="J168" s="1656"/>
      <c r="K168" s="1657"/>
    </row>
    <row r="169" spans="1:11" ht="12.75" customHeight="1" thickTop="1" thickBot="1" x14ac:dyDescent="0.25">
      <c r="A169" s="2249" t="s">
        <v>395</v>
      </c>
      <c r="B169" s="2250"/>
      <c r="C169" s="1658">
        <f t="shared" ref="C169:K169" si="6">SUM(C132,C141,C145,C146:C150,C155,C156:C167,C168)</f>
        <v>215691</v>
      </c>
      <c r="D169" s="1658">
        <f t="shared" si="6"/>
        <v>0</v>
      </c>
      <c r="E169" s="1658">
        <f t="shared" si="6"/>
        <v>0</v>
      </c>
      <c r="F169" s="1658">
        <f t="shared" si="6"/>
        <v>106739</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3596453</v>
      </c>
      <c r="D170" s="1641">
        <f t="shared" si="7"/>
        <v>0</v>
      </c>
      <c r="E170" s="1641">
        <f t="shared" si="7"/>
        <v>0</v>
      </c>
      <c r="F170" s="1641">
        <f t="shared" si="7"/>
        <v>106739</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1777</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12981</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12981</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138211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49953</v>
      </c>
      <c r="D193" s="1575"/>
      <c r="E193" s="1640"/>
      <c r="F193" s="1575"/>
      <c r="G193" s="1664"/>
      <c r="H193" s="1575"/>
      <c r="I193" s="1575"/>
      <c r="J193" s="1575"/>
      <c r="K193" s="1575"/>
    </row>
    <row r="194" spans="1:11" ht="12.75" customHeight="1" x14ac:dyDescent="0.2">
      <c r="A194" s="427" t="s">
        <v>1434</v>
      </c>
      <c r="B194" s="429">
        <v>4225</v>
      </c>
      <c r="C194" s="1632">
        <v>84022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272186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403348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14860</v>
      </c>
      <c r="D203" s="1573"/>
      <c r="E203" s="1575"/>
      <c r="F203" s="1573"/>
      <c r="G203" s="1573"/>
      <c r="H203" s="1575"/>
      <c r="I203" s="1575"/>
      <c r="J203" s="1575"/>
      <c r="K203" s="1575"/>
    </row>
    <row r="204" spans="1:11" ht="12.75" customHeight="1" thickBot="1" x14ac:dyDescent="0.25">
      <c r="A204" s="1406" t="s">
        <v>397</v>
      </c>
      <c r="B204" s="1407"/>
      <c r="C204" s="1633">
        <f>SUM(C200:C203)</f>
        <v>418208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11581</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11581</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4752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138179</v>
      </c>
      <c r="D213" s="1573"/>
      <c r="E213" s="1575"/>
      <c r="F213" s="1573"/>
      <c r="G213" s="1573"/>
      <c r="H213" s="1575"/>
      <c r="I213" s="1575"/>
      <c r="J213" s="1575"/>
      <c r="K213" s="1575"/>
    </row>
    <row r="214" spans="1:11" ht="12.75" customHeight="1" x14ac:dyDescent="0.2">
      <c r="A214" s="427" t="s">
        <v>1045</v>
      </c>
      <c r="B214" s="429">
        <v>4625</v>
      </c>
      <c r="C214" s="1632">
        <v>5460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148391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1873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11640</v>
      </c>
      <c r="D263" s="1651"/>
      <c r="E263" s="1575"/>
      <c r="F263" s="1651"/>
      <c r="G263" s="1651"/>
      <c r="H263" s="1575"/>
      <c r="I263" s="1575"/>
      <c r="J263" s="1575"/>
      <c r="K263" s="1575"/>
    </row>
    <row r="264" spans="1:11" ht="12.75" customHeight="1" thickTop="1" thickBot="1" x14ac:dyDescent="0.25">
      <c r="A264" s="427" t="s">
        <v>374</v>
      </c>
      <c r="B264" s="429">
        <v>4992</v>
      </c>
      <c r="C264" s="1650">
        <v>57513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934373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934373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5787610</v>
      </c>
      <c r="D268" s="1641">
        <f t="shared" si="12"/>
        <v>200390</v>
      </c>
      <c r="E268" s="1641">
        <f t="shared" si="12"/>
        <v>339512</v>
      </c>
      <c r="F268" s="1641">
        <f t="shared" si="12"/>
        <v>205639</v>
      </c>
      <c r="G268" s="1641">
        <f t="shared" si="12"/>
        <v>191123</v>
      </c>
      <c r="H268" s="1641">
        <f t="shared" si="12"/>
        <v>225039</v>
      </c>
      <c r="I268" s="1641">
        <f t="shared" si="12"/>
        <v>60281</v>
      </c>
      <c r="J268" s="1641">
        <f t="shared" si="12"/>
        <v>70795</v>
      </c>
      <c r="K268" s="1629">
        <f t="shared" si="12"/>
        <v>42061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&amp;L&amp;8&amp;F&amp;CThe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L379" sqref="L37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1731807</v>
      </c>
      <c r="D5" s="1573">
        <f>223647+154538-80</f>
        <v>378105</v>
      </c>
      <c r="E5" s="1573">
        <v>7940</v>
      </c>
      <c r="F5" s="1573">
        <f>49568+2963</f>
        <v>52531</v>
      </c>
      <c r="G5" s="1573">
        <v>10029</v>
      </c>
      <c r="H5" s="1573"/>
      <c r="I5" s="1574"/>
      <c r="J5" s="1574"/>
      <c r="K5" s="1672">
        <f>SUM(C5:J5)</f>
        <v>2180412</v>
      </c>
      <c r="L5" s="1573">
        <v>2194250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f>103993+646+6401</f>
        <v>111040</v>
      </c>
      <c r="D7" s="1574">
        <f>15921+2002+10033</f>
        <v>27956</v>
      </c>
      <c r="E7" s="1574">
        <f>1115+203+500+586</f>
        <v>2404</v>
      </c>
      <c r="F7" s="1574">
        <f>20362+5520+2654+1</f>
        <v>28537</v>
      </c>
      <c r="G7" s="1574">
        <f>35009+6615</f>
        <v>41624</v>
      </c>
      <c r="H7" s="1574"/>
      <c r="I7" s="1574"/>
      <c r="J7" s="1574"/>
      <c r="K7" s="1672">
        <f t="shared" ref="K7:K32" si="0">SUM(C7:J7)</f>
        <v>211561</v>
      </c>
      <c r="L7" s="1573">
        <v>177813</v>
      </c>
    </row>
    <row r="8" spans="1:14" x14ac:dyDescent="0.2">
      <c r="A8" s="1274" t="s">
        <v>163</v>
      </c>
      <c r="B8" s="503">
        <v>1200</v>
      </c>
      <c r="C8" s="1573">
        <v>675000</v>
      </c>
      <c r="D8" s="1573">
        <f>55809+76543</f>
        <v>132352</v>
      </c>
      <c r="E8" s="1573">
        <v>170451</v>
      </c>
      <c r="F8" s="1573">
        <v>255</v>
      </c>
      <c r="G8" s="1573"/>
      <c r="H8" s="1573"/>
      <c r="I8" s="1574"/>
      <c r="J8" s="1574"/>
      <c r="K8" s="1672">
        <f t="shared" si="0"/>
        <v>978058</v>
      </c>
      <c r="L8" s="1573">
        <v>925601</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f>231874+17401+16137</f>
        <v>265412</v>
      </c>
      <c r="D10" s="1573">
        <f>53891+2755+3237+12632+863</f>
        <v>73378</v>
      </c>
      <c r="E10" s="1573">
        <v>6125</v>
      </c>
      <c r="F10" s="1573">
        <f>18654+109</f>
        <v>18763</v>
      </c>
      <c r="G10" s="1573">
        <v>18863</v>
      </c>
      <c r="H10" s="1573"/>
      <c r="I10" s="1574"/>
      <c r="J10" s="1574"/>
      <c r="K10" s="1672">
        <f t="shared" si="0"/>
        <v>382541</v>
      </c>
      <c r="L10" s="1573">
        <v>421089</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134240</v>
      </c>
      <c r="D14" s="1573">
        <f>13021+13572</f>
        <v>26593</v>
      </c>
      <c r="E14" s="1573">
        <v>6116</v>
      </c>
      <c r="F14" s="1573">
        <v>4233</v>
      </c>
      <c r="G14" s="1573"/>
      <c r="H14" s="1573">
        <v>2815</v>
      </c>
      <c r="I14" s="1574"/>
      <c r="J14" s="1574"/>
      <c r="K14" s="1672">
        <f t="shared" si="0"/>
        <v>173997</v>
      </c>
      <c r="L14" s="1573">
        <v>185127</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2917499</v>
      </c>
      <c r="D33" s="1674">
        <f t="shared" ref="D33:L33" si="1">SUM(D5:D32)</f>
        <v>638384</v>
      </c>
      <c r="E33" s="1674">
        <f t="shared" si="1"/>
        <v>193036</v>
      </c>
      <c r="F33" s="1674">
        <f t="shared" si="1"/>
        <v>104319</v>
      </c>
      <c r="G33" s="1674">
        <f t="shared" si="1"/>
        <v>70516</v>
      </c>
      <c r="H33" s="1674">
        <f t="shared" si="1"/>
        <v>2815</v>
      </c>
      <c r="I33" s="1674">
        <f t="shared" si="1"/>
        <v>0</v>
      </c>
      <c r="J33" s="1674">
        <f t="shared" si="1"/>
        <v>0</v>
      </c>
      <c r="K33" s="1674">
        <f t="shared" si="1"/>
        <v>3926569</v>
      </c>
      <c r="L33" s="1674">
        <f t="shared" si="1"/>
        <v>3903880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40488</v>
      </c>
      <c r="D37" s="1573">
        <f>5906+6600</f>
        <v>12506</v>
      </c>
      <c r="E37" s="1573">
        <v>1300</v>
      </c>
      <c r="F37" s="1573">
        <v>16</v>
      </c>
      <c r="G37" s="1573"/>
      <c r="H37" s="1573"/>
      <c r="I37" s="1574"/>
      <c r="J37" s="1574"/>
      <c r="K37" s="1672">
        <f t="shared" si="2"/>
        <v>54310</v>
      </c>
      <c r="L37" s="1573">
        <v>64165</v>
      </c>
    </row>
    <row r="38" spans="1:14" x14ac:dyDescent="0.2">
      <c r="A38" s="1274" t="s">
        <v>196</v>
      </c>
      <c r="B38" s="503">
        <v>2130</v>
      </c>
      <c r="C38" s="1573">
        <v>30241</v>
      </c>
      <c r="D38" s="1573">
        <v>6019</v>
      </c>
      <c r="E38" s="1573">
        <v>225</v>
      </c>
      <c r="F38" s="1573">
        <v>676</v>
      </c>
      <c r="G38" s="1573"/>
      <c r="H38" s="1573"/>
      <c r="I38" s="1574"/>
      <c r="J38" s="1574"/>
      <c r="K38" s="1672">
        <f t="shared" si="2"/>
        <v>37161</v>
      </c>
      <c r="L38" s="1573">
        <v>65767</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105395</v>
      </c>
      <c r="D40" s="1573">
        <f>13512+6567</f>
        <v>20079</v>
      </c>
      <c r="E40" s="1573"/>
      <c r="F40" s="1573">
        <v>493</v>
      </c>
      <c r="G40" s="1573"/>
      <c r="H40" s="1573"/>
      <c r="I40" s="1574"/>
      <c r="J40" s="1574"/>
      <c r="K40" s="1672">
        <f t="shared" si="2"/>
        <v>125967</v>
      </c>
      <c r="L40" s="1573">
        <v>126748</v>
      </c>
    </row>
    <row r="41" spans="1:14" x14ac:dyDescent="0.2">
      <c r="A41" s="1274" t="s">
        <v>1650</v>
      </c>
      <c r="B41" s="503">
        <v>2190</v>
      </c>
      <c r="C41" s="1573">
        <v>34866</v>
      </c>
      <c r="D41" s="1573">
        <v>1</v>
      </c>
      <c r="E41" s="1573">
        <v>7046</v>
      </c>
      <c r="F41" s="1573"/>
      <c r="G41" s="1573"/>
      <c r="H41" s="1573"/>
      <c r="I41" s="1574"/>
      <c r="J41" s="1574"/>
      <c r="K41" s="1672">
        <f t="shared" si="2"/>
        <v>41913</v>
      </c>
      <c r="L41" s="1573">
        <v>41598</v>
      </c>
    </row>
    <row r="42" spans="1:14" ht="12.75" customHeight="1" thickBot="1" x14ac:dyDescent="0.25">
      <c r="A42" s="1380" t="s">
        <v>556</v>
      </c>
      <c r="B42" s="1381" t="s">
        <v>711</v>
      </c>
      <c r="C42" s="1674">
        <f>SUM(C36:C41)</f>
        <v>210990</v>
      </c>
      <c r="D42" s="1674">
        <f t="shared" ref="D42:L42" si="3">SUM(D36:D41)</f>
        <v>38605</v>
      </c>
      <c r="E42" s="1674">
        <f t="shared" si="3"/>
        <v>8571</v>
      </c>
      <c r="F42" s="1674">
        <f t="shared" si="3"/>
        <v>1185</v>
      </c>
      <c r="G42" s="1674">
        <f t="shared" si="3"/>
        <v>0</v>
      </c>
      <c r="H42" s="1674">
        <f t="shared" si="3"/>
        <v>0</v>
      </c>
      <c r="I42" s="1674">
        <f t="shared" si="3"/>
        <v>0</v>
      </c>
      <c r="J42" s="1674">
        <f t="shared" si="3"/>
        <v>0</v>
      </c>
      <c r="K42" s="1674">
        <f t="shared" si="3"/>
        <v>259351</v>
      </c>
      <c r="L42" s="1674">
        <f t="shared" si="3"/>
        <v>298278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85</v>
      </c>
      <c r="D44" s="1586">
        <v>1</v>
      </c>
      <c r="E44" s="1586">
        <v>1786</v>
      </c>
      <c r="F44" s="1586"/>
      <c r="G44" s="1586"/>
      <c r="H44" s="1586"/>
      <c r="I44" s="1574"/>
      <c r="J44" s="1574"/>
      <c r="K44" s="1678">
        <f>SUM(C44:J44)</f>
        <v>1872</v>
      </c>
      <c r="L44" s="1586">
        <v>10607</v>
      </c>
    </row>
    <row r="45" spans="1:14" x14ac:dyDescent="0.2">
      <c r="A45" s="1274" t="s">
        <v>810</v>
      </c>
      <c r="B45" s="503">
        <v>2220</v>
      </c>
      <c r="C45" s="1573">
        <v>18466</v>
      </c>
      <c r="D45" s="1573"/>
      <c r="E45" s="1573">
        <v>1733</v>
      </c>
      <c r="F45" s="1573">
        <v>6194</v>
      </c>
      <c r="G45" s="1573"/>
      <c r="H45" s="1573"/>
      <c r="I45" s="1574"/>
      <c r="J45" s="1574"/>
      <c r="K45" s="1678">
        <f>SUM(C45:J45)</f>
        <v>26393</v>
      </c>
      <c r="L45" s="1573">
        <v>30624</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18551</v>
      </c>
      <c r="D47" s="1674">
        <f t="shared" ref="D47:K47" si="4">SUM(D44:D46)</f>
        <v>1</v>
      </c>
      <c r="E47" s="1674">
        <f t="shared" si="4"/>
        <v>3519</v>
      </c>
      <c r="F47" s="1674">
        <f t="shared" si="4"/>
        <v>6194</v>
      </c>
      <c r="G47" s="1674">
        <f t="shared" si="4"/>
        <v>0</v>
      </c>
      <c r="H47" s="1674">
        <f t="shared" si="4"/>
        <v>0</v>
      </c>
      <c r="I47" s="1674">
        <f t="shared" si="4"/>
        <v>0</v>
      </c>
      <c r="J47" s="1674">
        <f t="shared" si="4"/>
        <v>0</v>
      </c>
      <c r="K47" s="1674">
        <f t="shared" si="4"/>
        <v>28265</v>
      </c>
      <c r="L47" s="1674">
        <f>SUM(L44:L46)</f>
        <v>41231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14863</v>
      </c>
      <c r="D49" s="1586"/>
      <c r="E49" s="1586">
        <v>26217</v>
      </c>
      <c r="F49" s="1586">
        <v>4972</v>
      </c>
      <c r="G49" s="1586"/>
      <c r="H49" s="1586">
        <v>150</v>
      </c>
      <c r="I49" s="1574"/>
      <c r="J49" s="1574"/>
      <c r="K49" s="1678">
        <f>SUM(C49:J49)</f>
        <v>46202</v>
      </c>
      <c r="L49" s="1586">
        <v>50863</v>
      </c>
    </row>
    <row r="50" spans="1:14" x14ac:dyDescent="0.2">
      <c r="A50" s="1274" t="s">
        <v>813</v>
      </c>
      <c r="B50" s="503">
        <v>2320</v>
      </c>
      <c r="C50" s="1573">
        <v>111233</v>
      </c>
      <c r="D50" s="1573">
        <v>14350</v>
      </c>
      <c r="E50" s="1573">
        <v>2018</v>
      </c>
      <c r="F50" s="1573">
        <v>1536</v>
      </c>
      <c r="G50" s="1573"/>
      <c r="H50" s="1573">
        <v>370</v>
      </c>
      <c r="I50" s="1574"/>
      <c r="J50" s="1574"/>
      <c r="K50" s="1678">
        <f>SUM(C50:J50)</f>
        <v>129507</v>
      </c>
      <c r="L50" s="1573">
        <v>126378</v>
      </c>
    </row>
    <row r="51" spans="1:14" x14ac:dyDescent="0.2">
      <c r="A51" s="1274" t="s">
        <v>42</v>
      </c>
      <c r="B51" s="503">
        <v>2330</v>
      </c>
      <c r="C51" s="1573"/>
      <c r="D51" s="1573"/>
      <c r="E51" s="1573"/>
      <c r="F51" s="1573"/>
      <c r="G51" s="1573"/>
      <c r="H51" s="1573"/>
      <c r="I51" s="1574"/>
      <c r="J51" s="1574"/>
      <c r="K51" s="1678">
        <f>SUM(C51:J51)</f>
        <v>0</v>
      </c>
      <c r="L51" s="1573">
        <v>500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126096</v>
      </c>
      <c r="D53" s="1674">
        <f t="shared" ref="D53:L53" si="5">SUM(D49:D52)</f>
        <v>14350</v>
      </c>
      <c r="E53" s="1674">
        <f t="shared" si="5"/>
        <v>28235</v>
      </c>
      <c r="F53" s="1674">
        <f t="shared" si="5"/>
        <v>6508</v>
      </c>
      <c r="G53" s="1674">
        <f t="shared" si="5"/>
        <v>0</v>
      </c>
      <c r="H53" s="1674">
        <f t="shared" si="5"/>
        <v>520</v>
      </c>
      <c r="I53" s="1674">
        <f t="shared" si="5"/>
        <v>0</v>
      </c>
      <c r="J53" s="1674">
        <f t="shared" si="5"/>
        <v>0</v>
      </c>
      <c r="K53" s="1674">
        <f t="shared" si="5"/>
        <v>175709</v>
      </c>
      <c r="L53" s="1674">
        <f t="shared" si="5"/>
        <v>177741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232879</v>
      </c>
      <c r="D55" s="1586">
        <f>22873+19904</f>
        <v>42777</v>
      </c>
      <c r="E55" s="1586">
        <v>4922</v>
      </c>
      <c r="F55" s="1586">
        <v>631</v>
      </c>
      <c r="G55" s="1586"/>
      <c r="H55" s="1586">
        <v>897</v>
      </c>
      <c r="I55" s="1574"/>
      <c r="J55" s="1574"/>
      <c r="K55" s="1678">
        <f>SUM(C55:J55)</f>
        <v>282106</v>
      </c>
      <c r="L55" s="1586">
        <v>314742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232879</v>
      </c>
      <c r="D57" s="1679">
        <f t="shared" ref="D57:K57" si="6">SUM(D55:D56)</f>
        <v>42777</v>
      </c>
      <c r="E57" s="1679">
        <f t="shared" si="6"/>
        <v>4922</v>
      </c>
      <c r="F57" s="1679">
        <f t="shared" si="6"/>
        <v>631</v>
      </c>
      <c r="G57" s="1679">
        <f t="shared" si="6"/>
        <v>0</v>
      </c>
      <c r="H57" s="1679">
        <f t="shared" si="6"/>
        <v>897</v>
      </c>
      <c r="I57" s="1679">
        <f t="shared" si="6"/>
        <v>0</v>
      </c>
      <c r="J57" s="1679">
        <f t="shared" si="6"/>
        <v>0</v>
      </c>
      <c r="K57" s="1679">
        <f t="shared" si="6"/>
        <v>282106</v>
      </c>
      <c r="L57" s="1674">
        <f>SUM(L55:L56)</f>
        <v>314742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v>25636</v>
      </c>
      <c r="F59" s="1586">
        <v>3267</v>
      </c>
      <c r="G59" s="1586"/>
      <c r="H59" s="1586"/>
      <c r="I59" s="1574"/>
      <c r="J59" s="1574"/>
      <c r="K59" s="1678">
        <f t="shared" ref="K59:K64" si="7">SUM(C59:J59)</f>
        <v>28903</v>
      </c>
      <c r="L59" s="1586">
        <v>36913</v>
      </c>
      <c r="M59" s="501"/>
      <c r="N59" s="501"/>
    </row>
    <row r="60" spans="1:14" s="321" customFormat="1" x14ac:dyDescent="0.2">
      <c r="A60" s="1274" t="s">
        <v>460</v>
      </c>
      <c r="B60" s="503">
        <v>2520</v>
      </c>
      <c r="C60" s="1573">
        <v>102453</v>
      </c>
      <c r="D60" s="1573">
        <v>6923</v>
      </c>
      <c r="E60" s="1573">
        <v>5556</v>
      </c>
      <c r="F60" s="1573">
        <v>4646</v>
      </c>
      <c r="G60" s="1573">
        <v>2169</v>
      </c>
      <c r="H60" s="1573"/>
      <c r="I60" s="1574"/>
      <c r="J60" s="1574"/>
      <c r="K60" s="1678">
        <f t="shared" si="7"/>
        <v>121747</v>
      </c>
      <c r="L60" s="1573">
        <v>129191</v>
      </c>
      <c r="M60" s="501"/>
      <c r="N60" s="501"/>
    </row>
    <row r="61" spans="1:14" s="321" customFormat="1" x14ac:dyDescent="0.2">
      <c r="A61" s="1274" t="s">
        <v>195</v>
      </c>
      <c r="B61" s="503">
        <v>2540</v>
      </c>
      <c r="C61" s="1573">
        <v>219380</v>
      </c>
      <c r="D61" s="1573">
        <v>24726</v>
      </c>
      <c r="E61" s="1573"/>
      <c r="F61" s="1573">
        <v>192</v>
      </c>
      <c r="G61" s="1573"/>
      <c r="H61" s="1573"/>
      <c r="I61" s="1574"/>
      <c r="J61" s="1574"/>
      <c r="K61" s="1678">
        <f t="shared" si="7"/>
        <v>244298</v>
      </c>
      <c r="L61" s="1573">
        <v>250260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106048</v>
      </c>
      <c r="D63" s="1573">
        <v>21349</v>
      </c>
      <c r="E63" s="1573">
        <v>5518</v>
      </c>
      <c r="F63" s="1573">
        <f>163176+11945</f>
        <v>175121</v>
      </c>
      <c r="G63" s="1573"/>
      <c r="H63" s="1573">
        <v>213</v>
      </c>
      <c r="I63" s="1574"/>
      <c r="J63" s="1574"/>
      <c r="K63" s="1678">
        <f t="shared" si="7"/>
        <v>308249</v>
      </c>
      <c r="L63" s="1573">
        <v>360218</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427881</v>
      </c>
      <c r="D65" s="1674">
        <f t="shared" ref="D65:L65" si="8">SUM(D59:D64)</f>
        <v>52998</v>
      </c>
      <c r="E65" s="1674">
        <f t="shared" si="8"/>
        <v>36710</v>
      </c>
      <c r="F65" s="1674">
        <f t="shared" si="8"/>
        <v>183226</v>
      </c>
      <c r="G65" s="1674">
        <f t="shared" si="8"/>
        <v>2169</v>
      </c>
      <c r="H65" s="1674">
        <f t="shared" si="8"/>
        <v>213</v>
      </c>
      <c r="I65" s="1674">
        <f t="shared" si="8"/>
        <v>0</v>
      </c>
      <c r="J65" s="1674">
        <f t="shared" si="8"/>
        <v>0</v>
      </c>
      <c r="K65" s="1674">
        <f t="shared" si="8"/>
        <v>703197</v>
      </c>
      <c r="L65" s="1674">
        <f t="shared" si="8"/>
        <v>776582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1016397</v>
      </c>
      <c r="D74" s="1681">
        <f t="shared" ref="D74:K74" si="10">SUM(D42,D47,D53,D57,D65,D72,D73)</f>
        <v>148731</v>
      </c>
      <c r="E74" s="1681">
        <f t="shared" si="10"/>
        <v>81957</v>
      </c>
      <c r="F74" s="1681">
        <f t="shared" si="10"/>
        <v>197744</v>
      </c>
      <c r="G74" s="1681">
        <f t="shared" si="10"/>
        <v>2169</v>
      </c>
      <c r="H74" s="1681">
        <f t="shared" si="10"/>
        <v>1630</v>
      </c>
      <c r="I74" s="1681">
        <f t="shared" si="10"/>
        <v>0</v>
      </c>
      <c r="J74" s="1681">
        <f t="shared" si="10"/>
        <v>0</v>
      </c>
      <c r="K74" s="1681">
        <f t="shared" si="10"/>
        <v>1448628</v>
      </c>
      <c r="L74" s="1681">
        <f>SUM(L42,L47,L53,L57,L65,L72,L73)</f>
        <v>1608574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2500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433093</v>
      </c>
      <c r="I79" s="1582"/>
      <c r="J79" s="1582"/>
      <c r="K79" s="1672">
        <f t="shared" si="11"/>
        <v>433093</v>
      </c>
      <c r="L79" s="1573">
        <v>342000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433093</v>
      </c>
      <c r="I84" s="1582"/>
      <c r="J84" s="1582"/>
      <c r="K84" s="1674">
        <f>SUM(K78:K83)</f>
        <v>433093</v>
      </c>
      <c r="L84" s="1674">
        <f>SUM(L78:L83)</f>
        <v>342000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40870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40870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433093</v>
      </c>
      <c r="I102" s="1582"/>
      <c r="J102" s="1582"/>
      <c r="K102" s="1681">
        <f>SUM(K84,K92,K100,K101)</f>
        <v>433093</v>
      </c>
      <c r="L102" s="1681">
        <f>SUM(L84,L92,L100,L101)</f>
        <v>382870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3933896</v>
      </c>
      <c r="D114" s="1674">
        <f t="shared" ref="D114:K114" si="13">SUM(D33,D74,D75,D102,D112,D113)</f>
        <v>787115</v>
      </c>
      <c r="E114" s="1674">
        <f t="shared" si="13"/>
        <v>274993</v>
      </c>
      <c r="F114" s="1674">
        <f t="shared" si="13"/>
        <v>302063</v>
      </c>
      <c r="G114" s="1674">
        <f t="shared" si="13"/>
        <v>72685</v>
      </c>
      <c r="H114" s="1674">
        <f>SUM(H33,H74,H75,H102,H112,H113)</f>
        <v>437538</v>
      </c>
      <c r="I114" s="1674">
        <f t="shared" si="13"/>
        <v>0</v>
      </c>
      <c r="J114" s="1674">
        <f t="shared" si="13"/>
        <v>0</v>
      </c>
      <c r="K114" s="1674">
        <f t="shared" si="13"/>
        <v>5808290</v>
      </c>
      <c r="L114" s="1674">
        <f>SUM(L33,L74,L75,L102,L112,L113)</f>
        <v>5897824</v>
      </c>
    </row>
    <row r="115" spans="1:14" ht="13.5" thickTop="1" x14ac:dyDescent="0.2">
      <c r="A115" s="2261" t="s">
        <v>989</v>
      </c>
      <c r="B115" s="2262"/>
      <c r="C115" s="1675"/>
      <c r="D115" s="1675"/>
      <c r="E115" s="1675"/>
      <c r="F115" s="1675"/>
      <c r="G115" s="1675"/>
      <c r="H115" s="1675"/>
      <c r="I115" s="1675"/>
      <c r="J115" s="1675"/>
      <c r="K115" s="1689">
        <f>'Revenues 9-14'!C268-'Expenditures 15-22'!K114</f>
        <v>-20680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363</v>
      </c>
      <c r="F123" s="1573"/>
      <c r="G123" s="1573"/>
      <c r="H123" s="1573"/>
      <c r="I123" s="1574"/>
      <c r="J123" s="1574"/>
      <c r="K123" s="1674">
        <f>SUM(C123:J123)</f>
        <v>363</v>
      </c>
      <c r="L123" s="1573">
        <v>400</v>
      </c>
    </row>
    <row r="124" spans="1:14" ht="14.25" thickTop="1" thickBot="1" x14ac:dyDescent="0.25">
      <c r="A124" s="1274" t="s">
        <v>195</v>
      </c>
      <c r="B124" s="503">
        <v>2540</v>
      </c>
      <c r="C124" s="1573"/>
      <c r="D124" s="1573"/>
      <c r="E124" s="1573">
        <f>31+9157+2450+26561+229+6281</f>
        <v>44709</v>
      </c>
      <c r="F124" s="1573">
        <f>56969+27184+11900</f>
        <v>96053</v>
      </c>
      <c r="G124" s="1573">
        <v>24263</v>
      </c>
      <c r="H124" s="1573"/>
      <c r="I124" s="1574"/>
      <c r="J124" s="1574"/>
      <c r="K124" s="1674">
        <f>SUM(C124:J124)</f>
        <v>165025</v>
      </c>
      <c r="L124" s="1573">
        <v>277997</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45072</v>
      </c>
      <c r="F127" s="1674">
        <f t="shared" si="14"/>
        <v>96053</v>
      </c>
      <c r="G127" s="1674">
        <f t="shared" si="14"/>
        <v>24263</v>
      </c>
      <c r="H127" s="1674">
        <f t="shared" si="14"/>
        <v>0</v>
      </c>
      <c r="I127" s="1674">
        <f t="shared" si="14"/>
        <v>0</v>
      </c>
      <c r="J127" s="1674">
        <f t="shared" si="14"/>
        <v>0</v>
      </c>
      <c r="K127" s="1674">
        <f t="shared" si="14"/>
        <v>165388</v>
      </c>
      <c r="L127" s="1674">
        <f t="shared" si="14"/>
        <v>278397</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45072</v>
      </c>
      <c r="F129" s="1681">
        <f t="shared" si="15"/>
        <v>96053</v>
      </c>
      <c r="G129" s="1681">
        <f t="shared" si="15"/>
        <v>24263</v>
      </c>
      <c r="H129" s="1681">
        <f t="shared" si="15"/>
        <v>0</v>
      </c>
      <c r="I129" s="1681">
        <f t="shared" si="15"/>
        <v>0</v>
      </c>
      <c r="J129" s="1681">
        <f t="shared" si="15"/>
        <v>0</v>
      </c>
      <c r="K129" s="1681">
        <f t="shared" si="15"/>
        <v>165388</v>
      </c>
      <c r="L129" s="1681">
        <f t="shared" si="15"/>
        <v>278397</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45072</v>
      </c>
      <c r="F151" s="1674">
        <f t="shared" si="16"/>
        <v>96053</v>
      </c>
      <c r="G151" s="1674">
        <f t="shared" si="16"/>
        <v>24263</v>
      </c>
      <c r="H151" s="1674">
        <f t="shared" si="16"/>
        <v>0</v>
      </c>
      <c r="I151" s="1674">
        <f t="shared" si="16"/>
        <v>0</v>
      </c>
      <c r="J151" s="1674">
        <f t="shared" si="16"/>
        <v>0</v>
      </c>
      <c r="K151" s="1674">
        <f t="shared" si="16"/>
        <v>165388</v>
      </c>
      <c r="L151" s="1674">
        <f>SUM(L129,L130,L139,L149,L150)</f>
        <v>278397</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35002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16569</v>
      </c>
      <c r="I169" s="1673"/>
      <c r="J169" s="1673"/>
      <c r="K169" s="1672">
        <f>SUM(C169:H169)</f>
        <v>16569</v>
      </c>
      <c r="L169" s="1695"/>
    </row>
    <row r="170" spans="1:14" ht="33.75" customHeight="1" x14ac:dyDescent="0.2">
      <c r="A170" s="543" t="s">
        <v>1651</v>
      </c>
      <c r="B170" s="545" t="s">
        <v>31</v>
      </c>
      <c r="C170" s="1673"/>
      <c r="D170" s="1673"/>
      <c r="E170" s="1673"/>
      <c r="F170" s="1673"/>
      <c r="G170" s="1673"/>
      <c r="H170" s="1646">
        <v>355985</v>
      </c>
      <c r="I170" s="1673"/>
      <c r="J170" s="1673"/>
      <c r="K170" s="1672">
        <f>SUM(C170:J170)</f>
        <v>355985</v>
      </c>
      <c r="L170" s="1646">
        <v>323400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372554</v>
      </c>
      <c r="I172" s="1684"/>
      <c r="J172" s="1673"/>
      <c r="K172" s="1681">
        <f>SUM(K168,K169,K170,K171)</f>
        <v>372554</v>
      </c>
      <c r="L172" s="1681">
        <f>SUM(L168,L169,L170,L171)</f>
        <v>323400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372554</v>
      </c>
      <c r="I174" s="1684"/>
      <c r="J174" s="1673"/>
      <c r="K174" s="1681">
        <f>SUM(K160,K172,K173)</f>
        <v>372554</v>
      </c>
      <c r="L174" s="1681">
        <f>SUM(L160,L172,L173)</f>
        <v>323400</v>
      </c>
    </row>
    <row r="175" spans="1:14" ht="13.5" thickTop="1" x14ac:dyDescent="0.2">
      <c r="A175" s="2261" t="s">
        <v>989</v>
      </c>
      <c r="B175" s="2262"/>
      <c r="C175" s="1673"/>
      <c r="D175" s="1673"/>
      <c r="E175" s="1673"/>
      <c r="F175" s="1673"/>
      <c r="G175" s="1673"/>
      <c r="H175" s="1675"/>
      <c r="I175" s="1673"/>
      <c r="J175" s="1673"/>
      <c r="K175" s="1689">
        <f>'Revenues 9-14'!E268-'Expenditures 15-22'!K174</f>
        <v>-33042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68025</v>
      </c>
      <c r="D182" s="1573">
        <v>3596</v>
      </c>
      <c r="E182" s="1573">
        <v>39174</v>
      </c>
      <c r="F182" s="1573">
        <v>16252</v>
      </c>
      <c r="G182" s="1573">
        <v>98555</v>
      </c>
      <c r="H182" s="1573"/>
      <c r="I182" s="1574"/>
      <c r="J182" s="1574"/>
      <c r="K182" s="1672">
        <f>SUM(C182:J182)</f>
        <v>225602</v>
      </c>
      <c r="L182" s="1573">
        <v>188693</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68025</v>
      </c>
      <c r="D184" s="1681">
        <f t="shared" ref="D184:J184" si="17">SUM(D180,D182,D183)</f>
        <v>3596</v>
      </c>
      <c r="E184" s="1681">
        <f t="shared" si="17"/>
        <v>39174</v>
      </c>
      <c r="F184" s="1681">
        <f t="shared" si="17"/>
        <v>16252</v>
      </c>
      <c r="G184" s="1681">
        <f t="shared" si="17"/>
        <v>98555</v>
      </c>
      <c r="H184" s="1681">
        <f t="shared" si="17"/>
        <v>0</v>
      </c>
      <c r="I184" s="1681">
        <f t="shared" si="17"/>
        <v>0</v>
      </c>
      <c r="J184" s="1681">
        <f t="shared" si="17"/>
        <v>0</v>
      </c>
      <c r="K184" s="1681">
        <f>SUM(K180,K182,K183)</f>
        <v>225602</v>
      </c>
      <c r="L184" s="1681">
        <f>SUM(L180, L182:L183)</f>
        <v>188693</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68025</v>
      </c>
      <c r="D210" s="1674">
        <f>SUM(D184,D185)</f>
        <v>3596</v>
      </c>
      <c r="E210" s="1674">
        <f>SUM(E184,E185,E196)</f>
        <v>39174</v>
      </c>
      <c r="F210" s="1674">
        <f>SUM(F184,F185)</f>
        <v>16252</v>
      </c>
      <c r="G210" s="1674">
        <f>SUM(G184,G185)</f>
        <v>98555</v>
      </c>
      <c r="H210" s="1674">
        <f>SUM(H184,H185,H196,H208,H209)</f>
        <v>0</v>
      </c>
      <c r="I210" s="1674">
        <f>SUM(I184,I185)</f>
        <v>0</v>
      </c>
      <c r="J210" s="1674">
        <f>SUM(J184,J185)</f>
        <v>0</v>
      </c>
      <c r="K210" s="1672">
        <f>SUM(K184,K185,K196,K208,K209)</f>
        <v>225602</v>
      </c>
      <c r="L210" s="1674">
        <f>SUM(L184,L185,L196,L208,L209)</f>
        <v>188693</v>
      </c>
    </row>
    <row r="211" spans="1:14" ht="13.5" thickTop="1" x14ac:dyDescent="0.2">
      <c r="A211" s="2261" t="s">
        <v>989</v>
      </c>
      <c r="B211" s="2262"/>
      <c r="C211" s="1675"/>
      <c r="D211" s="1675"/>
      <c r="E211" s="1675"/>
      <c r="F211" s="1675"/>
      <c r="G211" s="1675"/>
      <c r="H211" s="1675"/>
      <c r="I211" s="1673"/>
      <c r="J211" s="1673"/>
      <c r="K211" s="1689">
        <f>'Revenues 9-14'!F268-'Expenditures 15-22'!K210</f>
        <v>-19963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26835</v>
      </c>
      <c r="E215" s="1673"/>
      <c r="F215" s="1673"/>
      <c r="G215" s="1673"/>
      <c r="H215" s="1673"/>
      <c r="I215" s="1673"/>
      <c r="J215" s="1673"/>
      <c r="K215" s="1672">
        <f>D215</f>
        <v>26835</v>
      </c>
      <c r="L215" s="1573">
        <v>36013</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54648</v>
      </c>
      <c r="E217" s="1673"/>
      <c r="F217" s="1673"/>
      <c r="G217" s="1673"/>
      <c r="H217" s="1673"/>
      <c r="I217" s="1673"/>
      <c r="J217" s="1673"/>
      <c r="K217" s="1672">
        <f t="shared" si="19"/>
        <v>54648</v>
      </c>
      <c r="L217" s="1573">
        <v>67771</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2928</v>
      </c>
      <c r="E223" s="1673"/>
      <c r="F223" s="1673"/>
      <c r="G223" s="1673"/>
      <c r="H223" s="1673"/>
      <c r="I223" s="1673"/>
      <c r="J223" s="1673"/>
      <c r="K223" s="1672">
        <f t="shared" si="19"/>
        <v>2928</v>
      </c>
      <c r="L223" s="1573">
        <v>3891</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84411</v>
      </c>
      <c r="E229" s="1673"/>
      <c r="F229" s="1673"/>
      <c r="G229" s="1673"/>
      <c r="H229" s="1673"/>
      <c r="I229" s="1673"/>
      <c r="J229" s="1673"/>
      <c r="K229" s="1674">
        <f>SUM(K215:K228)</f>
        <v>84411</v>
      </c>
      <c r="L229" s="1674">
        <f>SUM(L215:L228)</f>
        <v>107675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572</v>
      </c>
      <c r="E233" s="1673"/>
      <c r="F233" s="1673"/>
      <c r="G233" s="1673"/>
      <c r="H233" s="1673"/>
      <c r="I233" s="1673"/>
      <c r="J233" s="1673"/>
      <c r="K233" s="1672">
        <f t="shared" si="20"/>
        <v>572</v>
      </c>
      <c r="L233" s="1573">
        <v>687</v>
      </c>
    </row>
    <row r="234" spans="1:12" x14ac:dyDescent="0.2">
      <c r="A234" s="1274" t="s">
        <v>196</v>
      </c>
      <c r="B234" s="503">
        <v>2130</v>
      </c>
      <c r="C234" s="1673"/>
      <c r="D234" s="1573">
        <v>6835</v>
      </c>
      <c r="E234" s="1673"/>
      <c r="F234" s="1673"/>
      <c r="G234" s="1673"/>
      <c r="H234" s="1673"/>
      <c r="I234" s="1673"/>
      <c r="J234" s="1673"/>
      <c r="K234" s="1672">
        <f t="shared" si="20"/>
        <v>6835</v>
      </c>
      <c r="L234" s="1573">
        <v>7191</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1351</v>
      </c>
      <c r="E236" s="1673"/>
      <c r="F236" s="1673"/>
      <c r="G236" s="1673"/>
      <c r="H236" s="1673"/>
      <c r="I236" s="1673"/>
      <c r="J236" s="1673"/>
      <c r="K236" s="1672">
        <f t="shared" si="20"/>
        <v>1351</v>
      </c>
      <c r="L236" s="1573">
        <v>1511</v>
      </c>
    </row>
    <row r="237" spans="1:12" x14ac:dyDescent="0.2">
      <c r="A237" s="1274" t="s">
        <v>164</v>
      </c>
      <c r="B237" s="503">
        <v>2190</v>
      </c>
      <c r="C237" s="1673"/>
      <c r="D237" s="1573">
        <v>6863</v>
      </c>
      <c r="E237" s="1673"/>
      <c r="F237" s="1673"/>
      <c r="G237" s="1673"/>
      <c r="H237" s="1673"/>
      <c r="I237" s="1673"/>
      <c r="J237" s="1673"/>
      <c r="K237" s="1672">
        <f t="shared" si="20"/>
        <v>6863</v>
      </c>
      <c r="L237" s="1573">
        <v>8578</v>
      </c>
    </row>
    <row r="238" spans="1:12" ht="12.75" customHeight="1" thickBot="1" x14ac:dyDescent="0.25">
      <c r="A238" s="1380" t="s">
        <v>556</v>
      </c>
      <c r="B238" s="1383" t="s">
        <v>711</v>
      </c>
      <c r="C238" s="1673"/>
      <c r="D238" s="1674">
        <f>SUM(D232:D237)</f>
        <v>15621</v>
      </c>
      <c r="E238" s="1673"/>
      <c r="F238" s="1673"/>
      <c r="G238" s="1673"/>
      <c r="H238" s="1673"/>
      <c r="I238" s="1673"/>
      <c r="J238" s="1673"/>
      <c r="K238" s="1674">
        <f>SUM(K232:K237)</f>
        <v>15621</v>
      </c>
      <c r="L238" s="1674">
        <f>SUM(L232:L237)</f>
        <v>17967</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v>
      </c>
      <c r="E240" s="1673"/>
      <c r="F240" s="1673"/>
      <c r="G240" s="1673"/>
      <c r="H240" s="1673"/>
      <c r="I240" s="1673"/>
      <c r="J240" s="1673"/>
      <c r="K240" s="1678">
        <f>D240</f>
        <v>1</v>
      </c>
      <c r="L240" s="1586">
        <v>1</v>
      </c>
    </row>
    <row r="241" spans="1:12" x14ac:dyDescent="0.2">
      <c r="A241" s="1274" t="s">
        <v>810</v>
      </c>
      <c r="B241" s="503">
        <v>2220</v>
      </c>
      <c r="C241" s="1673"/>
      <c r="D241" s="1573">
        <v>1412</v>
      </c>
      <c r="E241" s="1673"/>
      <c r="F241" s="1673"/>
      <c r="G241" s="1673"/>
      <c r="H241" s="1673"/>
      <c r="I241" s="1673"/>
      <c r="J241" s="1673"/>
      <c r="K241" s="1678">
        <f>D241</f>
        <v>1412</v>
      </c>
      <c r="L241" s="1573">
        <v>2296</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1413</v>
      </c>
      <c r="E243" s="1673"/>
      <c r="F243" s="1673"/>
      <c r="G243" s="1673"/>
      <c r="H243" s="1673"/>
      <c r="I243" s="1673"/>
      <c r="J243" s="1673"/>
      <c r="K243" s="1674">
        <f>SUM(K240:K242)</f>
        <v>1413</v>
      </c>
      <c r="L243" s="1674">
        <f>SUM(L240:L242)</f>
        <v>2297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964</v>
      </c>
      <c r="E245" s="1673"/>
      <c r="F245" s="1673"/>
      <c r="G245" s="1673"/>
      <c r="H245" s="1673"/>
      <c r="I245" s="1673"/>
      <c r="J245" s="1673"/>
      <c r="K245" s="1678">
        <f>D245</f>
        <v>964</v>
      </c>
      <c r="L245" s="1586">
        <v>2814</v>
      </c>
    </row>
    <row r="246" spans="1:12" x14ac:dyDescent="0.2">
      <c r="A246" s="1274" t="s">
        <v>813</v>
      </c>
      <c r="B246" s="503">
        <v>2320</v>
      </c>
      <c r="C246" s="1673"/>
      <c r="D246" s="1573">
        <v>1613</v>
      </c>
      <c r="E246" s="1673"/>
      <c r="F246" s="1673"/>
      <c r="G246" s="1673"/>
      <c r="H246" s="1673"/>
      <c r="I246" s="1673"/>
      <c r="J246" s="1673"/>
      <c r="K246" s="1678">
        <f t="shared" ref="K246:K256" si="21">D246</f>
        <v>1613</v>
      </c>
      <c r="L246" s="1573">
        <v>1566</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2577</v>
      </c>
      <c r="E257" s="1673"/>
      <c r="F257" s="1673"/>
      <c r="G257" s="1673"/>
      <c r="H257" s="1673"/>
      <c r="I257" s="1673"/>
      <c r="J257" s="1673"/>
      <c r="K257" s="1674">
        <f>SUM(K245:K256)</f>
        <v>2577</v>
      </c>
      <c r="L257" s="1674">
        <f>SUM(L245:L256)</f>
        <v>4380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15349</v>
      </c>
      <c r="E259" s="1673"/>
      <c r="F259" s="1673"/>
      <c r="G259" s="1673"/>
      <c r="H259" s="1673"/>
      <c r="I259" s="1673"/>
      <c r="J259" s="1673"/>
      <c r="K259" s="1678">
        <f>D259</f>
        <v>15349</v>
      </c>
      <c r="L259" s="1586">
        <v>14499</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15349</v>
      </c>
      <c r="E261" s="1673"/>
      <c r="F261" s="1673"/>
      <c r="G261" s="1673"/>
      <c r="H261" s="1673"/>
      <c r="I261" s="1673"/>
      <c r="J261" s="1673"/>
      <c r="K261" s="1674">
        <f>SUM(K259:K260)</f>
        <v>15349</v>
      </c>
      <c r="L261" s="1674">
        <f>SUM(L259:L260)</f>
        <v>14499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26986</v>
      </c>
      <c r="E264" s="1673"/>
      <c r="F264" s="1673"/>
      <c r="G264" s="1673"/>
      <c r="H264" s="1673"/>
      <c r="I264" s="1673"/>
      <c r="J264" s="1673"/>
      <c r="K264" s="1678">
        <f t="shared" ref="K264:K269" si="22">D264</f>
        <v>26986</v>
      </c>
      <c r="L264" s="1573">
        <v>30090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42270</v>
      </c>
      <c r="E266" s="1673"/>
      <c r="F266" s="1673"/>
      <c r="G266" s="1673"/>
      <c r="H266" s="1673"/>
      <c r="I266" s="1673"/>
      <c r="J266" s="1673"/>
      <c r="K266" s="1678">
        <f t="shared" si="22"/>
        <v>42270</v>
      </c>
      <c r="L266" s="1573">
        <v>42851</v>
      </c>
    </row>
    <row r="267" spans="1:14" x14ac:dyDescent="0.2">
      <c r="A267" s="1274" t="s">
        <v>947</v>
      </c>
      <c r="B267" s="503">
        <v>2550</v>
      </c>
      <c r="C267" s="1673"/>
      <c r="D267" s="1573">
        <v>12907</v>
      </c>
      <c r="E267" s="1673"/>
      <c r="F267" s="1673"/>
      <c r="G267" s="1673"/>
      <c r="H267" s="1673"/>
      <c r="I267" s="1673"/>
      <c r="J267" s="1673"/>
      <c r="K267" s="1678">
        <f t="shared" si="22"/>
        <v>12907</v>
      </c>
      <c r="L267" s="1573">
        <v>12961</v>
      </c>
    </row>
    <row r="268" spans="1:14" x14ac:dyDescent="0.2">
      <c r="A268" s="1274" t="s">
        <v>100</v>
      </c>
      <c r="B268" s="503">
        <v>2560</v>
      </c>
      <c r="C268" s="1673"/>
      <c r="D268" s="1573">
        <v>20740</v>
      </c>
      <c r="E268" s="1673"/>
      <c r="F268" s="1673"/>
      <c r="G268" s="1673"/>
      <c r="H268" s="1673"/>
      <c r="I268" s="1673"/>
      <c r="J268" s="1673"/>
      <c r="K268" s="1678">
        <f t="shared" si="22"/>
        <v>20740</v>
      </c>
      <c r="L268" s="1573">
        <v>22481</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102903</v>
      </c>
      <c r="E270" s="1673"/>
      <c r="F270" s="1673"/>
      <c r="G270" s="1673"/>
      <c r="H270" s="1673"/>
      <c r="I270" s="1673"/>
      <c r="J270" s="1673"/>
      <c r="K270" s="1674">
        <f>SUM(K263:K269)</f>
        <v>102903</v>
      </c>
      <c r="L270" s="1674">
        <f>SUM(L263:L269)</f>
        <v>108383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137863</v>
      </c>
      <c r="E279" s="1673"/>
      <c r="F279" s="1673"/>
      <c r="G279" s="1673"/>
      <c r="H279" s="1673"/>
      <c r="I279" s="1673"/>
      <c r="J279" s="1673"/>
      <c r="K279" s="1681">
        <f>SUM(K238,K243,K257,K261,K270,K277,K278)</f>
        <v>137863</v>
      </c>
      <c r="L279" s="1681">
        <f>SUM(L238,L243,L257,L261,L270,L277,L278)</f>
        <v>147526</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222274</v>
      </c>
      <c r="E295" s="1673"/>
      <c r="F295" s="1673"/>
      <c r="G295" s="1673"/>
      <c r="H295" s="1674">
        <f>H293</f>
        <v>0</v>
      </c>
      <c r="I295" s="1673"/>
      <c r="J295" s="1673"/>
      <c r="K295" s="1674">
        <f>SUM(K229,K279,K280,K285,K293,K294)</f>
        <v>222274</v>
      </c>
      <c r="L295" s="1674">
        <f>SUM(L229,L279,L280,L285,L293,L294)</f>
        <v>255201</v>
      </c>
    </row>
    <row r="296" spans="1:14" ht="13.5" thickTop="1" x14ac:dyDescent="0.2">
      <c r="A296" s="2261" t="s">
        <v>989</v>
      </c>
      <c r="B296" s="2262"/>
      <c r="C296" s="1673"/>
      <c r="D296" s="1675"/>
      <c r="E296" s="1673"/>
      <c r="F296" s="1673"/>
      <c r="G296" s="1673"/>
      <c r="H296" s="1707"/>
      <c r="I296" s="1673"/>
      <c r="J296" s="1673"/>
      <c r="K296" s="1689">
        <f>'Revenues 9-14'!G268-'Expenditures 15-22'!K295</f>
        <v>-31151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65347</v>
      </c>
      <c r="F301" s="1573"/>
      <c r="G301" s="1573"/>
      <c r="H301" s="1573"/>
      <c r="I301" s="1574"/>
      <c r="J301" s="1574"/>
      <c r="K301" s="1672">
        <f>SUM(C301:J301)</f>
        <v>65347</v>
      </c>
      <c r="L301" s="1574">
        <v>99499</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65347</v>
      </c>
      <c r="F303" s="1681">
        <f t="shared" si="23"/>
        <v>0</v>
      </c>
      <c r="G303" s="1681">
        <f t="shared" si="23"/>
        <v>0</v>
      </c>
      <c r="H303" s="1681">
        <f t="shared" si="23"/>
        <v>0</v>
      </c>
      <c r="I303" s="1681">
        <f t="shared" si="23"/>
        <v>0</v>
      </c>
      <c r="J303" s="1681">
        <f t="shared" si="23"/>
        <v>0</v>
      </c>
      <c r="K303" s="1681">
        <f t="shared" si="23"/>
        <v>65347</v>
      </c>
      <c r="L303" s="1681">
        <f t="shared" si="23"/>
        <v>99499</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65347</v>
      </c>
      <c r="F312" s="1674">
        <f>SUM(F303)</f>
        <v>0</v>
      </c>
      <c r="G312" s="1674">
        <f>SUM(G303)</f>
        <v>0</v>
      </c>
      <c r="H312" s="1674">
        <f>SUM(H303,H310)</f>
        <v>0</v>
      </c>
      <c r="I312" s="1674">
        <f>SUM(I303)</f>
        <v>0</v>
      </c>
      <c r="J312" s="1674">
        <f>SUM(J303)</f>
        <v>0</v>
      </c>
      <c r="K312" s="1674">
        <f>SUM(K303,K310,K311)</f>
        <v>65347</v>
      </c>
      <c r="L312" s="1674">
        <f>SUM(L303,L310,L311)</f>
        <v>99499</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159692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36549</v>
      </c>
      <c r="F320" s="1574"/>
      <c r="G320" s="1574"/>
      <c r="H320" s="1574"/>
      <c r="I320" s="1574"/>
      <c r="J320" s="1574"/>
      <c r="K320" s="1672">
        <f t="shared" ref="K320:K327" si="24">SUM(C320:J320)</f>
        <v>36549</v>
      </c>
      <c r="L320" s="1574">
        <v>36219</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54483</v>
      </c>
      <c r="F322" s="1574"/>
      <c r="G322" s="1574"/>
      <c r="H322" s="1574"/>
      <c r="I322" s="1574"/>
      <c r="J322" s="1574"/>
      <c r="K322" s="1672">
        <f t="shared" si="24"/>
        <v>54483</v>
      </c>
      <c r="L322" s="1574">
        <v>55000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91032</v>
      </c>
      <c r="F330" s="1674">
        <f t="shared" si="25"/>
        <v>0</v>
      </c>
      <c r="G330" s="1674">
        <f t="shared" si="25"/>
        <v>0</v>
      </c>
      <c r="H330" s="1674">
        <f t="shared" si="25"/>
        <v>0</v>
      </c>
      <c r="I330" s="1674">
        <f t="shared" si="25"/>
        <v>0</v>
      </c>
      <c r="J330" s="1674">
        <f t="shared" si="25"/>
        <v>0</v>
      </c>
      <c r="K330" s="1674">
        <f>SUM(K319:K329)</f>
        <v>91032</v>
      </c>
      <c r="L330" s="1674">
        <f>SUM(L319:L329)</f>
        <v>91219</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91032</v>
      </c>
      <c r="F342" s="1674">
        <f>SUM(F330)</f>
        <v>0</v>
      </c>
      <c r="G342" s="1674">
        <f>SUM(G330)</f>
        <v>0</v>
      </c>
      <c r="H342" s="1674">
        <f>SUM(H330,H334,H340)</f>
        <v>0</v>
      </c>
      <c r="I342" s="1674">
        <f>SUM(I330)</f>
        <v>0</v>
      </c>
      <c r="J342" s="1674">
        <f>SUM(J330)</f>
        <v>0</v>
      </c>
      <c r="K342" s="1674">
        <f>SUM(K330,K334,K340)</f>
        <v>91032</v>
      </c>
      <c r="L342" s="1681">
        <f>SUM(L330,L334,L340,L341)</f>
        <v>91219</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-20237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13907</v>
      </c>
      <c r="F348" s="1573"/>
      <c r="G348" s="1573"/>
      <c r="H348" s="1573"/>
      <c r="I348" s="1574"/>
      <c r="J348" s="1574"/>
      <c r="K348" s="1672">
        <f>SUM(C348:J348)</f>
        <v>13907</v>
      </c>
      <c r="L348" s="1573">
        <v>2000</v>
      </c>
    </row>
    <row r="349" spans="1:14" x14ac:dyDescent="0.2">
      <c r="A349" s="1274" t="s">
        <v>195</v>
      </c>
      <c r="B349" s="503">
        <v>2540</v>
      </c>
      <c r="C349" s="1573"/>
      <c r="D349" s="1573"/>
      <c r="E349" s="1573"/>
      <c r="F349" s="1573"/>
      <c r="G349" s="1573"/>
      <c r="H349" s="1573"/>
      <c r="I349" s="1574"/>
      <c r="J349" s="1574"/>
      <c r="K349" s="1672">
        <f>SUM(C349:J349)</f>
        <v>0</v>
      </c>
      <c r="L349" s="1573">
        <v>21000</v>
      </c>
    </row>
    <row r="350" spans="1:14" ht="12.75" customHeight="1" thickBot="1" x14ac:dyDescent="0.25">
      <c r="A350" s="1380" t="s">
        <v>714</v>
      </c>
      <c r="B350" s="1381" t="s">
        <v>35</v>
      </c>
      <c r="C350" s="1674">
        <f>SUM(C348:C349)</f>
        <v>0</v>
      </c>
      <c r="D350" s="1674">
        <f t="shared" ref="D350:L350" si="26">SUM(D348:D349)</f>
        <v>0</v>
      </c>
      <c r="E350" s="1674">
        <f t="shared" si="26"/>
        <v>13907</v>
      </c>
      <c r="F350" s="1674">
        <f t="shared" si="26"/>
        <v>0</v>
      </c>
      <c r="G350" s="1674">
        <f t="shared" si="26"/>
        <v>0</v>
      </c>
      <c r="H350" s="1674">
        <f t="shared" si="26"/>
        <v>0</v>
      </c>
      <c r="I350" s="1674">
        <f t="shared" si="26"/>
        <v>0</v>
      </c>
      <c r="J350" s="1674">
        <f t="shared" si="26"/>
        <v>0</v>
      </c>
      <c r="K350" s="1674">
        <f t="shared" si="26"/>
        <v>13907</v>
      </c>
      <c r="L350" s="1674">
        <f t="shared" si="26"/>
        <v>23000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13907</v>
      </c>
      <c r="F352" s="1674">
        <f t="shared" si="27"/>
        <v>0</v>
      </c>
      <c r="G352" s="1674">
        <f t="shared" si="27"/>
        <v>0</v>
      </c>
      <c r="H352" s="1674">
        <f t="shared" si="27"/>
        <v>0</v>
      </c>
      <c r="I352" s="1674">
        <f t="shared" si="27"/>
        <v>0</v>
      </c>
      <c r="J352" s="1674">
        <f t="shared" si="27"/>
        <v>0</v>
      </c>
      <c r="K352" s="1674">
        <f t="shared" si="27"/>
        <v>13907</v>
      </c>
      <c r="L352" s="1674">
        <f t="shared" si="27"/>
        <v>23000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13907</v>
      </c>
      <c r="F367" s="1674">
        <f t="shared" si="28"/>
        <v>0</v>
      </c>
      <c r="G367" s="1674">
        <f t="shared" si="28"/>
        <v>0</v>
      </c>
      <c r="H367" s="1674">
        <f t="shared" si="28"/>
        <v>0</v>
      </c>
      <c r="I367" s="1674">
        <f t="shared" si="28"/>
        <v>0</v>
      </c>
      <c r="J367" s="1674">
        <f t="shared" si="28"/>
        <v>0</v>
      </c>
      <c r="K367" s="1674">
        <f t="shared" si="28"/>
        <v>13907</v>
      </c>
      <c r="L367" s="1674">
        <f t="shared" si="28"/>
        <v>23000</v>
      </c>
    </row>
    <row r="368" spans="1:14" ht="13.5" thickTop="1" x14ac:dyDescent="0.2">
      <c r="A368" s="2261" t="s">
        <v>989</v>
      </c>
      <c r="B368" s="2262"/>
      <c r="C368" s="1694"/>
      <c r="D368" s="1694"/>
      <c r="E368" s="1677"/>
      <c r="F368" s="1677"/>
      <c r="G368" s="1677"/>
      <c r="H368" s="1677"/>
      <c r="I368" s="1677"/>
      <c r="J368" s="1676"/>
      <c r="K368" s="1672">
        <f>'Revenues 9-14'!K268-'Expenditures 15-22'!K367</f>
        <v>28154</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&amp;L&amp;8&amp;F&amp;CThe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purl.org/dc/terms/"/>
    <ds:schemaRef ds:uri="http://www.w3.org/XML/1998/namespace"/>
    <ds:schemaRef ds:uri="http://purl.org/dc/dcmitype/"/>
    <ds:schemaRef ds:uri="http://purl.org/dc/elements/1.1/"/>
    <ds:schemaRef ds:uri="http://schemas.microsoft.com/office/2006/documentManagement/types"/>
    <ds:schemaRef ds:uri="d21dc803-237d-4c68-8692-8d731fd29118"/>
    <ds:schemaRef ds:uri="http://schemas.microsoft.com/sharepoint/v3"/>
    <ds:schemaRef ds:uri="http://schemas.microsoft.com/office/infopath/2007/PartnerControls"/>
    <ds:schemaRef ds:uri="http://schemas.openxmlformats.org/package/2006/metadata/core-properties"/>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SEFA1</vt:lpstr>
      <vt:lpstr>SEFA2</vt:lpstr>
      <vt:lpstr>SEFA NOTES</vt:lpstr>
      <vt:lpstr>SF&amp;QC Sec-1</vt:lpstr>
      <vt:lpstr>SF&amp;QC Sec-2</vt:lpstr>
      <vt:lpstr>SF&amp;QC Sec-3</vt:lpstr>
      <vt:lpstr>SSPAF</vt:lpstr>
      <vt:lpstr>'Contracts Paid in CY 29'!Print_Area</vt:lpstr>
      <vt:lpstr>'ICR Computation 30'!Print_Area</vt:lpstr>
      <vt:lpstr>'SEFA NOTES'!Print_Area</vt:lpstr>
      <vt:lpstr>'SEFA Reconcile'!Print_Area</vt:lpstr>
      <vt:lpstr>SEFA1!Print_Area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2020-12-16T09:30:49Z</cp:lastPrinted>
  <dcterms:created xsi:type="dcterms:W3CDTF">2003-10-29T19:06:34Z</dcterms:created>
  <dcterms:modified xsi:type="dcterms:W3CDTF">2021-02-23T15:25:45Z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