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3_ncr:1_{DD6BC8A0-2DE5-40D6-9199-497DF3849BC8}"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14">'Contracts Paid in CY 29'!$A$1:$F$31</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31'!$A$1:$F$45</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8" i="29" l="1"/>
  <c r="D13" i="29"/>
  <c r="D5" i="29"/>
  <c r="F5" i="29" l="1"/>
  <c r="E5" i="29"/>
  <c r="D55" i="29"/>
  <c r="D50" i="29"/>
  <c r="D40" i="29"/>
  <c r="D37" i="29"/>
  <c r="D17" i="29"/>
  <c r="D14" i="29"/>
  <c r="C5" i="29"/>
  <c r="D10" i="29" l="1"/>
  <c r="D8" i="29"/>
  <c r="D7" i="29"/>
  <c r="L10" i="37" l="1"/>
  <c r="H10" i="37"/>
  <c r="F10" i="37"/>
  <c r="D10" i="37"/>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L22" i="37"/>
  <c r="D24" i="37"/>
  <c r="B4270" i="106" s="1"/>
  <c r="D4270" i="106" s="1"/>
  <c r="D31" i="108" l="1"/>
  <c r="E16" i="184"/>
  <c r="H16" i="184" s="1"/>
  <c r="B7696" i="106"/>
  <c r="D7696" i="106" s="1"/>
  <c r="E66" i="184"/>
  <c r="N66" i="184" s="1"/>
  <c r="B7189" i="106"/>
  <c r="D7189" i="106" s="1"/>
  <c r="E64" i="184"/>
  <c r="N64" i="184" s="1"/>
  <c r="B7171" i="106"/>
  <c r="D7171" i="106" s="1"/>
  <c r="E62" i="184"/>
  <c r="N62" i="184" s="1"/>
  <c r="F50" i="34"/>
  <c r="C342" i="29"/>
  <c r="B7216" i="106" s="1"/>
  <c r="D7216" i="106" s="1"/>
  <c r="B7705" i="106"/>
  <c r="D7705" i="106" s="1"/>
  <c r="E67" i="184"/>
  <c r="N67" i="184" s="1"/>
  <c r="B7180" i="106"/>
  <c r="D7180" i="106" s="1"/>
  <c r="E63" i="184"/>
  <c r="N63" i="184" s="1"/>
  <c r="B7162" i="106"/>
  <c r="D7162" i="106" s="1"/>
  <c r="E61" i="184"/>
  <c r="N61" i="184" s="1"/>
  <c r="B7126" i="106"/>
  <c r="D7126" i="106" s="1"/>
  <c r="E57" i="184"/>
  <c r="N57" i="184" s="1"/>
  <c r="G33" i="108"/>
  <c r="E17" i="184"/>
  <c r="H17" i="184" s="1"/>
  <c r="G30" i="108"/>
  <c r="H12" i="184"/>
  <c r="H19" i="184" s="1"/>
  <c r="L20" i="184" s="1"/>
  <c r="B7198" i="106"/>
  <c r="D7198" i="106" s="1"/>
  <c r="E65" i="184"/>
  <c r="N65" i="184" s="1"/>
  <c r="B7153" i="106"/>
  <c r="D7153" i="106" s="1"/>
  <c r="E60" i="184"/>
  <c r="N60" i="184" s="1"/>
  <c r="B7135" i="106"/>
  <c r="D7135" i="106" s="1"/>
  <c r="E58" i="184"/>
  <c r="D69" i="36"/>
  <c r="H28" i="118"/>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20" i="106" l="1"/>
  <c r="D7220" i="106" s="1"/>
  <c r="F75" i="34"/>
  <c r="B7886" i="106" s="1"/>
  <c r="D7886" i="106" s="1"/>
  <c r="B7222" i="106"/>
  <c r="D7222" i="106" s="1"/>
  <c r="F76" i="34"/>
  <c r="B7887" i="106" s="1"/>
  <c r="D7887" i="106" s="1"/>
  <c r="B6216" i="106"/>
  <c r="D6216" i="106" s="1"/>
  <c r="E19" i="184"/>
  <c r="B5527" i="106"/>
  <c r="D5527" i="106" s="1"/>
  <c r="F41" i="108"/>
  <c r="G43" i="108" s="1"/>
  <c r="K342" i="29"/>
  <c r="F13" i="34" s="1"/>
  <c r="N58" i="184"/>
  <c r="N68" i="184" s="1"/>
  <c r="E68" i="184"/>
  <c r="E367" i="29"/>
  <c r="B3635" i="106"/>
  <c r="N23" i="3"/>
  <c r="B284" i="106" s="1"/>
  <c r="D284" i="106" s="1"/>
  <c r="L16" i="11"/>
  <c r="B2061" i="106" s="1"/>
  <c r="D2061" i="106" s="1"/>
  <c r="H77" i="4"/>
  <c r="B3299" i="106" s="1"/>
  <c r="D3299" i="106" s="1"/>
  <c r="K77" i="4"/>
  <c r="B3587" i="106" s="1"/>
  <c r="D358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F77" i="34" l="1"/>
  <c r="J20" i="4"/>
  <c r="D8" i="146"/>
  <c r="K17" i="4"/>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<sst xmlns="http://schemas.openxmlformats.org/spreadsheetml/2006/main" count="5146" uniqueCount="2079">
  <si>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</si>
  <si>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</si>
  <si>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</si>
  <si>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</si>
  <si>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</si>
  <si>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</si>
  <si>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</si>
  <si>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</si>
  <si>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</si>
  <si>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</si>
  <si>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</si>
  <si>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</si>
  <si>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</si>
  <si>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</si>
  <si>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</si>
  <si>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</si>
  <si>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</si>
  <si>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</si>
  <si>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</si>
  <si>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</si>
  <si>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</si>
  <si>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</si>
  <si>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</si>
  <si>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</si>
  <si>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</si>
  <si>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</si>
  <si>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</si>
  <si>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</si>
  <si>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</si>
  <si>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</si>
  <si>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</si>
  <si>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</si>
  <si>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</si>
  <si>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</si>
  <si>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</si>
  <si>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</si>
  <si>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</si>
  <si>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</si>
  <si>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</si>
  <si>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</si>
  <si>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</si>
  <si>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</si>
  <si>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</si>
  <si>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</si>
  <si>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</si>
  <si>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</si>
  <si>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</si>
  <si>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</si>
  <si>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</si>
  <si>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</si>
  <si>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</si>
  <si>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</si>
  <si>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</si>
  <si>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</si>
  <si>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</si>
  <si>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</si>
  <si>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</si>
  <si>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</si>
  <si>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</si>
  <si>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</si>
  <si>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</si>
  <si>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</si>
  <si>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</si>
  <si>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</si>
  <si>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</si>
  <si>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</si>
  <si>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</si>
  <si>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</si>
  <si>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</si>
  <si>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</si>
  <si>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</si>
  <si>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</si>
  <si>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</si>
  <si>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</si>
  <si>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</si>
  <si>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</si>
  <si>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</si>
  <si>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</si>
  <si>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</si>
  <si>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</si>
  <si>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</si>
  <si>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</si>
  <si>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</si>
  <si>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</si>
  <si>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</si>
  <si>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</si>
  <si>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</si>
  <si>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</si>
  <si>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</si>
  <si>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</si>
  <si>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</si>
  <si>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</si>
  <si>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</si>
  <si>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</si>
  <si>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</si>
  <si>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</si>
  <si>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</si>
  <si>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</si>
  <si>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</si>
  <si>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</si>
  <si>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</si>
  <si>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</si>
  <si>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</si>
  <si>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</si>
  <si>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</si>
  <si>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</si>
  <si>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</si>
  <si>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</si>
  <si>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</si>
  <si>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</si>
  <si>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</si>
  <si>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</si>
  <si>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</si>
  <si>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</si>
  <si>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</si>
  <si>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</si>
  <si>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</si>
  <si>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</si>
  <si>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</si>
  <si>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</si>
  <si>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</si>
  <si>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</si>
  <si>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</si>
  <si>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</si>
  <si>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</si>
  <si>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</si>
  <si>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</si>
  <si>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</si>
  <si>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</si>
  <si>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</si>
  <si>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</si>
  <si>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</si>
  <si>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</si>
  <si>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</si>
  <si>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</si>
  <si>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</si>
  <si>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</si>
  <si>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</si>
  <si>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</si>
  <si>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</si>
  <si>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</si>
  <si>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</si>
  <si>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</si>
  <si>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</si>
  <si>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</si>
  <si>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</si>
  <si>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</si>
  <si>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</si>
  <si>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</si>
  <si>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</si>
  <si>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</si>
  <si>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</si>
  <si>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</si>
  <si>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</si>
  <si>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</si>
  <si>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</si>
  <si>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</si>
  <si>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</si>
  <si>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</si>
  <si>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</si>
  <si>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</si>
  <si>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</si>
  <si>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</si>
  <si>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</si>
  <si>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</si>
  <si>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</si>
  <si>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</si>
  <si>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</si>
  <si>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</si>
  <si>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</si>
  <si>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</si>
  <si>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</si>
  <si>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</si>
  <si>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</si>
  <si>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</si>
  <si>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</si>
  <si>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</si>
  <si>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</si>
  <si>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</si>
  <si>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</si>
  <si>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</si>
  <si>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</si>
  <si>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</si>
  <si>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</si>
  <si>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</si>
  <si>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</si>
  <si>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</si>
  <si>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</si>
  <si>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</si>
  <si>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</si>
  <si>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</si>
  <si>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</si>
  <si>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</si>
  <si>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</si>
  <si>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</si>
  <si>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</si>
  <si>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</si>
  <si>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</si>
  <si>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</si>
  <si>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</si>
  <si>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</si>
  <si>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</si>
  <si>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</si>
  <si>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</si>
  <si>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</si>
  <si>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</si>
  <si>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</si>
  <si>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</si>
  <si>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</si>
  <si>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</si>
  <si>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</si>
  <si>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</si>
  <si>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</si>
  <si>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</si>
  <si>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</si>
  <si>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</si>
  <si>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</si>
  <si>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</si>
  <si>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</si>
  <si>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</si>
  <si>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</si>
  <si>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</si>
  <si>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</si>
  <si>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</si>
  <si>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</si>
  <si>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</si>
  <si>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</si>
  <si>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</si>
  <si>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</si>
  <si>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</si>
  <si>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</si>
  <si>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</si>
  <si>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</si>
  <si>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</si>
  <si>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</si>
  <si>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</si>
  <si>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</si>
  <si>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</si>
  <si>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</si>
  <si>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</si>
  <si>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</si>
  <si>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</si>
  <si>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</si>
  <si>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</si>
  <si>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</si>
  <si>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</si>
  <si>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</si>
  <si>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</si>
  <si>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</si>
  <si>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</si>
  <si>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</si>
  <si>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</si>
  <si>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</si>
  <si>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</si>
  <si>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</si>
  <si>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</si>
  <si>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</si>
  <si>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</si>
  <si>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</si>
  <si>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</si>
  <si>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</si>
  <si>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</si>
  <si>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</si>
  <si>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</si>
  <si>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</si>
  <si>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</si>
  <si>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</si>
  <si>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</si>
  <si>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</si>
  <si>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</si>
  <si>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</si>
  <si>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</si>
  <si>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</si>
  <si>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</si>
  <si>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</si>
  <si>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</si>
  <si>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</si>
  <si>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</si>
  <si>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</si>
  <si>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</si>
  <si>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</si>
  <si>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</si>
  <si>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</si>
  <si>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</si>
  <si>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</si>
  <si>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</si>
  <si>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</si>
  <si>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</si>
  <si>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</si>
  <si>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</si>
  <si>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</si>
  <si>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</si>
  <si>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</si>
  <si>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</si>
  <si>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</si>
  <si>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</si>
  <si>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</si>
  <si>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</si>
  <si>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</si>
  <si>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</si>
  <si>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</si>
  <si>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</si>
  <si>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</si>
  <si>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</si>
  <si>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</si>
  <si>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</si>
  <si>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</si>
  <si>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</si>
  <si>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</si>
  <si>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</si>
  <si>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</si>
  <si>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</si>
  <si>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</si>
  <si>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</si>
  <si>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</si>
  <si>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</si>
  <si>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</si>
  <si>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</si>
  <si>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</si>
  <si>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</si>
  <si>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</si>
  <si>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</si>
  <si>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</si>
  <si>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</si>
  <si>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</si>
  <si>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</si>
  <si>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</si>
  <si>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</si>
  <si>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</si>
  <si>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</si>
  <si>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</si>
  <si>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</si>
  <si>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</si>
  <si>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</si>
  <si>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</si>
  <si>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</si>
  <si>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</si>
  <si>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</si>
  <si>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</si>
  <si>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</si>
  <si>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</si>
  <si>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</si>
  <si>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</si>
  <si>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</si>
  <si>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</si>
  <si>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</si>
  <si>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</si>
  <si>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</si>
  <si>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</si>
  <si>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</si>
  <si>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</si>
  <si>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</si>
  <si>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</si>
  <si>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</si>
  <si>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</si>
  <si>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</si>
  <si>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</si>
  <si>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</si>
  <si>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</si>
  <si>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</si>
  <si>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</si>
  <si>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</si>
  <si>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</si>
  <si>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</si>
  <si>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</si>
  <si>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</si>
  <si>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</si>
  <si>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</si>
  <si>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</si>
  <si>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</si>
  <si>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</si>
  <si>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</si>
  <si>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</si>
  <si>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</si>
  <si>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</si>
  <si>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</si>
  <si>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</si>
  <si>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</si>
  <si>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</si>
  <si>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</si>
  <si>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</si>
  <si>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</si>
  <si>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</si>
  <si>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</si>
  <si>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</si>
  <si>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</si>
  <si>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</si>
  <si>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</si>
  <si>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</si>
  <si>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</si>
  <si>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</si>
  <si>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</si>
  <si>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</si>
  <si>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</si>
  <si>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</si>
  <si>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</si>
  <si>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</si>
  <si>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</si>
  <si>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</si>
  <si>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</si>
  <si>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</si>
  <si>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</si>
  <si>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</si>
  <si>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</si>
  <si>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</si>
  <si>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</si>
  <si>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</si>
  <si>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</si>
  <si>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</si>
  <si>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</si>
  <si>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</si>
  <si>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</si>
  <si>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</si>
  <si>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</si>
  <si>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</si>
  <si>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</si>
  <si>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</si>
  <si>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</si>
  <si>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</si>
  <si>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</si>
  <si>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</si>
  <si>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</si>
  <si>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</si>
  <si>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</si>
  <si>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</si>
  <si>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</si>
  <si>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</si>
  <si>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</si>
  <si>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</si>
  <si>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</si>
  <si>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</si>
  <si>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</si>
  <si>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</si>
  <si>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</si>
  <si>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</si>
  <si>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</si>
  <si>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</si>
  <si>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</si>
  <si>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</si>
  <si>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</si>
  <si>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</si>
  <si>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</si>
  <si>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</si>
  <si>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</si>
  <si>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</si>
  <si>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</si>
  <si>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</si>
  <si>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</si>
  <si>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</si>
  <si>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</si>
  <si>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</si>
  <si>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</si>
  <si>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</si>
  <si>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</si>
  <si>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</si>
  <si>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</si>
  <si>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</si>
  <si>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</si>
  <si>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</si>
  <si>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</si>
  <si>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</si>
  <si>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</si>
  <si>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</si>
  <si>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</si>
  <si>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</si>
  <si>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</si>
  <si>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</si>
  <si>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</si>
  <si>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</si>
  <si>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</si>
  <si>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</si>
  <si>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</si>
  <si>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</si>
  <si>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</si>
  <si>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</si>
  <si>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</si>
  <si>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</si>
  <si>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</si>
  <si>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</si>
  <si>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</si>
  <si>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</si>
  <si>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</si>
  <si>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</si>
  <si>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</si>
  <si>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</si>
  <si>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</si>
  <si>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</si>
  <si>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</si>
  <si>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</si>
  <si>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</si>
  <si>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</si>
  <si>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</si>
  <si>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</si>
  <si>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</si>
  <si>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</si>
  <si>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</si>
  <si>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</si>
  <si>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</si>
  <si>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</si>
  <si>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</si>
  <si>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</si>
  <si>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</si>
  <si>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</si>
  <si>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</si>
  <si>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</si>
  <si>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</si>
  <si>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</si>
  <si>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</si>
  <si>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</si>
  <si>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</si>
  <si>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</si>
  <si>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</si>
  <si>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</si>
  <si>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</si>
  <si>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</si>
  <si>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</si>
  <si>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</si>
  <si>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</si>
  <si>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</si>
  <si>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</si>
  <si>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</si>
  <si>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</si>
  <si>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</si>
  <si>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</si>
  <si>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</si>
  <si>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</si>
  <si>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</si>
  <si>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</si>
  <si>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</si>
  <si>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</si>
  <si>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</si>
  <si>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</si>
  <si>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</si>
  <si>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</si>
  <si>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</si>
  <si>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</si>
  <si>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</si>
  <si>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</si>
  <si>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</si>
  <si>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</si>
  <si>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</si>
  <si>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</si>
  <si>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</si>
  <si>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</si>
  <si>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</si>
  <si>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</si>
  <si>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</si>
  <si>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</si>
  <si>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</si>
  <si>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</si>
  <si>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</si>
  <si>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</si>
  <si>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</si>
  <si>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</si>
  <si>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</si>
  <si>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</si>
  <si>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</si>
  <si>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</si>
  <si>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</si>
  <si>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</si>
  <si>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</si>
  <si>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</si>
  <si>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</si>
  <si>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</si>
  <si>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</si>
  <si>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</si>
  <si>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</si>
  <si>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</si>
  <si>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</si>
  <si>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</si>
  <si>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</si>
  <si>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</si>
  <si>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</si>
  <si>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</si>
  <si>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</si>
  <si>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</si>
  <si>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</si>
  <si>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</si>
  <si>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</si>
  <si>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</si>
  <si>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</si>
  <si>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</si>
  <si>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</si>
  <si>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</si>
  <si>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</si>
  <si>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</si>
  <si>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</si>
  <si>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</si>
  <si>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</si>
  <si>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</si>
  <si>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</si>
  <si>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</si>
  <si>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</si>
  <si>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</si>
  <si>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</si>
  <si>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</si>
  <si>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</si>
  <si>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</si>
  <si>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</si>
  <si>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</si>
  <si>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</si>
  <si>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</si>
  <si>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</si>
  <si>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</si>
  <si>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</si>
  <si>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</si>
  <si>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</si>
  <si>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</si>
  <si>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</si>
  <si>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</si>
  <si>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</si>
  <si>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</si>
  <si>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</si>
  <si>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</si>
  <si>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</si>
  <si>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</si>
  <si>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</si>
  <si>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</si>
  <si>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</si>
  <si>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</si>
  <si>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</si>
  <si>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</si>
  <si>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</si>
  <si>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</si>
  <si>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</si>
  <si>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</si>
  <si>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</si>
  <si>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</si>
  <si>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</si>
  <si>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</si>
  <si>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</si>
  <si>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</si>
  <si>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</si>
  <si>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</si>
  <si>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</si>
  <si>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</si>
  <si>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</si>
  <si>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</si>
  <si>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</si>
  <si>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</si>
  <si>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</si>
  <si>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</si>
  <si>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</si>
  <si>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</si>
  <si>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</si>
  <si>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</si>
  <si>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</si>
  <si>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</si>
  <si>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</si>
  <si>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</si>
  <si>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</si>
  <si>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</si>
  <si>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</si>
  <si>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</si>
  <si>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</si>
  <si>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</si>
  <si>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</si>
  <si>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</si>
  <si>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</si>
  <si>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</si>
  <si>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</si>
  <si>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</si>
  <si>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</si>
  <si>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</si>
  <si>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</si>
  <si>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</si>
  <si>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</si>
  <si>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</si>
  <si>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</si>
  <si>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</si>
  <si>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</si>
  <si>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</si>
  <si>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</si>
  <si>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</si>
  <si>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</si>
  <si>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</si>
  <si>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</si>
  <si>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</si>
  <si>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</si>
  <si>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</si>
  <si>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</si>
  <si>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</si>
  <si>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</si>
  <si>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</si>
  <si>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</si>
  <si>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</si>
  <si>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</si>
  <si>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</si>
  <si>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</si>
  <si>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</si>
  <si>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</si>
  <si>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</si>
  <si>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</si>
  <si>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</si>
  <si>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</si>
  <si>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</si>
  <si>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</si>
  <si>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</si>
  <si>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</si>
  <si>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</si>
  <si>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</si>
  <si>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</si>
  <si>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</si>
  <si>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</si>
  <si>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</si>
  <si>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</si>
  <si>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</si>
  <si>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</si>
  <si>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</si>
  <si>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</si>
  <si>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</si>
  <si>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</si>
  <si>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</si>
  <si>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</si>
  <si>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</si>
  <si>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</si>
  <si>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</si>
  <si>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</si>
  <si>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</si>
  <si>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</si>
  <si>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</si>
  <si>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</si>
  <si>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</si>
  <si>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</si>
  <si>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</si>
  <si>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</si>
  <si>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</si>
  <si>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</si>
  <si>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</si>
  <si>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</si>
  <si>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</si>
  <si>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</si>
  <si>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</si>
  <si>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</si>
  <si>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</si>
  <si>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</si>
  <si>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</si>
  <si>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</si>
  <si>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</si>
  <si>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</si>
  <si>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</si>
  <si>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</si>
  <si>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</si>
  <si>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</si>
  <si>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</si>
  <si>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</si>
  <si>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</si>
  <si>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</si>
  <si>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</si>
  <si>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</si>
  <si>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</si>
  <si>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</si>
  <si>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</si>
  <si>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</si>
  <si>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</si>
  <si>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</si>
  <si>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</si>
  <si>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</si>
  <si>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</si>
  <si>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</si>
  <si>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</si>
  <si>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</si>
  <si>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</si>
  <si>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</si>
  <si>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</si>
  <si>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</si>
  <si>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</si>
  <si>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</si>
  <si>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</si>
  <si>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</si>
  <si>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</si>
  <si>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</si>
  <si>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</si>
  <si>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</si>
  <si>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</si>
  <si>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</si>
  <si>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</si>
  <si>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</si>
  <si>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</si>
  <si>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</si>
  <si>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</si>
  <si>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</si>
  <si>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</si>
  <si>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</si>
  <si>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</si>
  <si>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</si>
  <si>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</si>
  <si>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</si>
  <si>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</si>
  <si>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</si>
  <si>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</si>
  <si>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</si>
  <si>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</si>
  <si>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</si>
  <si>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</si>
  <si>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</si>
  <si>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</si>
  <si>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</si>
  <si>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</si>
  <si>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</si>
  <si>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</si>
  <si>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</si>
  <si>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</si>
  <si>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</si>
  <si>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</si>
  <si>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</si>
  <si>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</si>
  <si>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</si>
  <si>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</si>
  <si>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</si>
  <si>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</si>
  <si>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</si>
  <si>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</si>
  <si>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</si>
  <si>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</si>
  <si>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</si>
  <si>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</si>
  <si>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</si>
  <si>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</si>
  <si>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</si>
  <si>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</si>
  <si>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</si>
  <si>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</si>
  <si>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</si>
  <si>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</si>
  <si>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</si>
  <si>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</si>
  <si>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</si>
  <si>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</si>
  <si>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</si>
  <si>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</si>
  <si>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</si>
  <si>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</si>
  <si>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</si>
  <si>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</si>
  <si>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</si>
  <si>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</si>
  <si>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</si>
  <si>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</si>
  <si>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</si>
  <si>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</si>
  <si>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</si>
  <si>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</si>
  <si>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</si>
  <si>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</si>
  <si>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</si>
  <si>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</si>
  <si>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</si>
  <si>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</si>
  <si>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</si>
  <si>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</si>
  <si>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</si>
  <si>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</si>
  <si>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</si>
  <si>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</si>
  <si>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</si>
  <si>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</si>
  <si>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</si>
  <si>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</si>
  <si>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</si>
  <si>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</si>
  <si>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</si>
  <si>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</si>
  <si>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</si>
  <si>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</si>
  <si>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</si>
  <si>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</si>
  <si>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</si>
  <si>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</si>
  <si>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</si>
  <si>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</si>
  <si>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</si>
  <si>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</si>
  <si>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</si>
  <si>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</si>
  <si>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</si>
  <si>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</si>
  <si>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</si>
  <si>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</si>
  <si>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</si>
  <si>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</si>
  <si>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</si>
  <si>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</si>
  <si>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</si>
  <si>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</si>
  <si>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</si>
  <si>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</si>
  <si>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</si>
  <si>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</si>
  <si>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</si>
  <si>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</si>
  <si>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</si>
  <si>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</si>
  <si>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</si>
  <si>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</si>
  <si>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</si>
  <si>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</si>
  <si>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</si>
  <si>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</si>
  <si>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</si>
  <si>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</si>
  <si>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</si>
  <si>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</si>
  <si>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</si>
  <si>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</si>
  <si>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</si>
  <si>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</si>
  <si>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</si>
  <si>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</si>
  <si>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</si>
  <si>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</si>
  <si>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</si>
  <si>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</si>
  <si>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</si>
  <si>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</si>
  <si>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</si>
  <si>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</si>
  <si>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</si>
  <si>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</si>
  <si>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</si>
  <si>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</si>
  <si>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</si>
  <si>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</si>
  <si>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</si>
  <si>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</si>
  <si>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</si>
  <si>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</si>
  <si>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</si>
  <si>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</si>
  <si>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</si>
  <si>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</si>
  <si>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</si>
  <si>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</si>
  <si>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</si>
  <si>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</si>
  <si>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</si>
  <si>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</si>
  <si>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</si>
  <si>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</si>
  <si>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</si>
  <si>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</si>
  <si>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</si>
  <si>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</si>
  <si>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</si>
  <si>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</si>
  <si>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</si>
  <si>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</si>
  <si>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</si>
  <si>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</si>
  <si>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</si>
  <si>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</si>
  <si>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</si>
  <si>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</si>
  <si>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</si>
  <si>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</si>
  <si>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</si>
  <si>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</si>
  <si>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</si>
  <si>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</si>
  <si>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</si>
  <si>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</si>
  <si>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</si>
  <si>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</si>
  <si>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</si>
  <si>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</si>
  <si>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</si>
  <si>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</si>
  <si>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</si>
  <si>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</si>
  <si>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</si>
  <si>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</si>
  <si>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</si>
  <si>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</si>
  <si>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</si>
  <si>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</si>
  <si>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</si>
  <si>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</si>
  <si>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</si>
  <si>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</si>
  <si>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</si>
  <si>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</si>
  <si>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</si>
  <si>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</si>
  <si>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</si>
  <si>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</si>
  <si>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</si>
  <si>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</si>
  <si>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</si>
  <si>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</si>
  <si>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</si>
  <si>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</si>
  <si>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</si>
  <si>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</si>
  <si>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</si>
  <si>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</si>
  <si>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</si>
  <si>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</si>
  <si>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</si>
  <si>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</si>
  <si>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</si>
  <si>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</si>
  <si>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</si>
  <si>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</si>
  <si>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</si>
  <si>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</si>
  <si>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</si>
  <si>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</si>
  <si>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</si>
  <si>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</si>
  <si>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</si>
  <si>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</si>
  <si>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</si>
  <si>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</si>
  <si>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</si>
  <si>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</si>
  <si>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</si>
  <si>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</si>
  <si>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</si>
  <si>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</si>
  <si>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</si>
  <si>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</si>
  <si>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</si>
  <si>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</si>
  <si>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</si>
  <si>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</si>
  <si>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</si>
  <si>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</si>
  <si>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</si>
  <si>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</si>
  <si>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</si>
  <si>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</si>
  <si>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</si>
  <si>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</si>
  <si>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</si>
  <si>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</si>
  <si>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</si>
  <si>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</si>
  <si>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</si>
  <si>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</si>
  <si>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</si>
  <si>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</si>
  <si>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</si>
  <si>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</si>
  <si>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</si>
  <si>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</si>
  <si>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</si>
  <si>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</si>
  <si>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</si>
  <si>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</si>
  <si>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</si>
  <si>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</si>
  <si>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</si>
  <si>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</si>
  <si>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</si>
  <si>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</si>
  <si>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</si>
  <si>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</si>
  <si>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</si>
  <si>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</si>
  <si>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</si>
  <si>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</si>
  <si>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</si>
  <si>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</si>
  <si>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</si>
  <si>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</si>
  <si>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</si>
  <si>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</si>
  <si>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</si>
  <si>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</si>
  <si>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</si>
  <si>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</si>
  <si>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</si>
  <si>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</si>
  <si>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</si>
  <si>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</si>
  <si>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</si>
  <si>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</si>
  <si>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</si>
  <si>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</si>
  <si>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</si>
  <si>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</si>
  <si>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</si>
  <si>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</si>
  <si>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</si>
  <si>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</si>
  <si>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</si>
  <si>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</si>
  <si>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</si>
  <si>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</si>
  <si>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</si>
  <si>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</si>
  <si>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</si>
  <si>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</si>
  <si>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</si>
  <si>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</si>
  <si>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</si>
  <si>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</si>
  <si>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</si>
  <si>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</si>
  <si>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</si>
  <si>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</si>
  <si>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</si>
  <si>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</si>
  <si>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</si>
  <si>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</si>
  <si>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</si>
  <si>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</si>
  <si>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</si>
  <si>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</si>
  <si>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</si>
  <si>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</si>
  <si>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</si>
  <si>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</si>
  <si>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</si>
  <si>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</si>
  <si>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</si>
  <si>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</si>
  <si>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</si>
  <si>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</si>
  <si>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</si>
  <si>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</si>
  <si>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</si>
  <si>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</si>
  <si>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</si>
  <si>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</si>
  <si>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</si>
  <si>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</si>
  <si>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</si>
  <si>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</si>
  <si>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</si>
  <si>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</si>
  <si>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</si>
  <si>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</si>
  <si>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</si>
  <si>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</si>
  <si>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</si>
  <si>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</si>
  <si>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</si>
  <si>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</si>
  <si>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</si>
  <si>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</si>
  <si>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</si>
  <si>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</si>
  <si>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</si>
  <si>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</si>
  <si>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</si>
  <si>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</si>
  <si>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</si>
  <si>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</si>
  <si>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</si>
  <si>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</si>
  <si>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</si>
  <si>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</si>
  <si>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</si>
  <si>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</si>
  <si>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</si>
  <si>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</si>
  <si>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</si>
  <si>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</si>
  <si>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</si>
  <si>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</si>
  <si>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</si>
  <si>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</si>
  <si>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</si>
  <si>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</si>
  <si>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</si>
  <si>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</si>
  <si>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</si>
  <si>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</si>
  <si>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</si>
  <si>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</si>
  <si>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</si>
  <si>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</si>
  <si>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</si>
  <si>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</si>
  <si>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</si>
  <si>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</si>
  <si>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</si>
  <si>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</si>
  <si>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</si>
  <si>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</si>
  <si>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</si>
  <si>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</si>
  <si>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</si>
  <si>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</si>
  <si>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</si>
  <si>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</si>
  <si>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</si>
  <si>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</si>
  <si>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</si>
  <si>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</si>
  <si>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</si>
  <si>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</si>
  <si>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</si>
  <si>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</si>
  <si>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</si>
  <si>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</si>
  <si>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</si>
  <si>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</si>
  <si>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</si>
  <si>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</si>
  <si>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</si>
  <si>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</si>
  <si>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</si>
  <si>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</si>
  <si>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</si>
  <si>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</si>
  <si>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</si>
  <si>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</si>
  <si>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</si>
  <si>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</si>
  <si>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</si>
  <si>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</si>
  <si>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</si>
  <si>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</si>
  <si>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</si>
  <si>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</si>
  <si>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</si>
  <si>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</si>
  <si>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</si>
  <si>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</si>
  <si>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</si>
  <si>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</si>
  <si>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</si>
  <si>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</si>
  <si>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</si>
  <si>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</si>
  <si>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</si>
  <si>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</si>
  <si>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</si>
  <si>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</si>
  <si>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</si>
  <si>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</si>
  <si>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</si>
  <si>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</si>
  <si>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</si>
  <si>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</si>
  <si>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</si>
  <si>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</si>
  <si>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</si>
  <si>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</si>
  <si>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</si>
  <si>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</si>
  <si>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</si>
  <si>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</si>
  <si>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</si>
  <si>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</si>
  <si>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</si>
  <si>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</si>
  <si>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</si>
  <si>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</si>
  <si>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</si>
  <si>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</si>
  <si>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</si>
  <si>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</si>
  <si>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</si>
  <si>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</si>
  <si>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</si>
  <si>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</si>
  <si>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</si>
  <si>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</si>
  <si>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</si>
  <si>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</si>
  <si>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</si>
  <si>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</si>
  <si>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</si>
  <si>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</si>
  <si>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</si>
  <si>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</si>
  <si>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</si>
  <si>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</si>
  <si>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</si>
  <si>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</si>
  <si>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</si>
  <si>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</si>
  <si>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</si>
  <si>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</si>
  <si>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</si>
  <si>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</si>
  <si>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</si>
  <si>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</si>
  <si>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</si>
  <si>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</si>
  <si>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</si>
  <si>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</si>
  <si>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</si>
  <si>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</si>
  <si>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</si>
  <si>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</si>
  <si>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</si>
  <si>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</si>
  <si>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</si>
  <si>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</si>
  <si>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</si>
  <si>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</si>
  <si>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</si>
  <si>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</si>
  <si>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</si>
  <si>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</si>
  <si>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</si>
  <si>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</si>
  <si>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</si>
  <si>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</si>
  <si>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</si>
  <si>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</si>
  <si>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</si>
  <si>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</si>
  <si>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</si>
  <si>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</si>
  <si>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</si>
  <si>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</si>
  <si>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</si>
  <si>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</si>
  <si>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</si>
  <si>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</si>
  <si>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</si>
  <si>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</si>
  <si>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</si>
  <si>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</si>
  <si>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</si>
  <si>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</si>
  <si>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</si>
  <si>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</si>
  <si>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</si>
  <si>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</si>
  <si>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</si>
  <si>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</si>
  <si>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</si>
  <si>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</si>
  <si>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</si>
  <si>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</si>
  <si>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</si>
  <si>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</si>
  <si>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</si>
  <si>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</si>
  <si>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</si>
  <si>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</si>
  <si>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</si>
  <si>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</si>
  <si>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</si>
  <si>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</si>
  <si>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</si>
  <si>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</si>
  <si>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</si>
  <si>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</si>
  <si>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</si>
  <si>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</si>
  <si>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</si>
  <si>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</si>
  <si>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</si>
  <si>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</si>
  <si>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</si>
  <si>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</si>
  <si>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</si>
  <si>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</si>
  <si>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</si>
  <si>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</si>
  <si>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</si>
  <si>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</si>
  <si>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</si>
  <si>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</si>
  <si>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</si>
  <si>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</si>
  <si>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</si>
  <si>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</si>
  <si>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</si>
  <si>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</si>
  <si>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</si>
  <si>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</si>
  <si>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</si>
  <si>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</si>
  <si>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</si>
  <si>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</si>
  <si>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</si>
  <si>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</si>
  <si>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</si>
  <si>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</si>
  <si>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</si>
  <si>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</si>
  <si>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</si>
  <si>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</si>
  <si>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</si>
  <si>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</si>
  <si>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</si>
  <si>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</si>
  <si>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</si>
  <si>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</si>
  <si>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</si>
  <si>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</si>
  <si>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</si>
  <si>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</si>
  <si>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</si>
  <si>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</si>
  <si>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</si>
  <si>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</si>
  <si>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</si>
  <si>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</si>
  <si>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</si>
  <si>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</si>
  <si>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</si>
  <si>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</si>
  <si>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</si>
  <si>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</si>
  <si>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</si>
  <si>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</si>
  <si>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</si>
  <si>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</si>
  <si>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</si>
  <si>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</si>
  <si>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</si>
  <si>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</si>
  <si>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</si>
  <si>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</si>
  <si>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</si>
  <si>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</si>
  <si>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</si>
  <si>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</si>
  <si>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</si>
  <si>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</si>
  <si>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</si>
  <si>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</si>
  <si>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</si>
  <si>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</si>
  <si>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</si>
  <si>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</si>
  <si>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</si>
  <si>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</si>
  <si>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</si>
  <si>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</si>
  <si>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</si>
  <si>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</si>
  <si>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</si>
  <si>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</si>
  <si>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</si>
  <si>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</si>
  <si>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</si>
  <si>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</si>
  <si>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</si>
  <si>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</si>
  <si>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</si>
  <si>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</si>
  <si>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</si>
  <si>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</si>
  <si>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</si>
  <si>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</si>
  <si>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</si>
  <si>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</si>
  <si>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</si>
  <si>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</si>
  <si>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</si>
  <si>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</si>
  <si>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</si>
  <si>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</si>
  <si>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</si>
  <si>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</si>
  <si>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</si>
  <si>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</si>
  <si>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</si>
  <si>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</si>
  <si>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</si>
  <si>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</si>
  <si>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</si>
  <si>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</si>
  <si>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</si>
  <si>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</si>
  <si>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</si>
  <si>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</si>
  <si>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</si>
  <si>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</si>
  <si>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</si>
  <si>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</si>
  <si>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</si>
  <si>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</si>
  <si>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</si>
  <si>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</si>
  <si>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</si>
  <si>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</si>
  <si>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</si>
  <si>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</si>
  <si>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</si>
  <si>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</si>
  <si>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</si>
  <si>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</si>
  <si>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</si>
  <si>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</si>
  <si>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</si>
  <si>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</si>
  <si>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</si>
  <si>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</si>
  <si>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</si>
  <si>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</si>
  <si>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</si>
  <si>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</si>
  <si>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</si>
  <si>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</si>
  <si>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</si>
  <si>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</si>
  <si>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</si>
  <si>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</si>
  <si>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</si>
  <si>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</si>
  <si>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</si>
  <si>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</si>
  <si>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</si>
  <si>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</si>
  <si>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</si>
  <si>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</si>
  <si>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</si>
  <si>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</si>
  <si>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</si>
  <si>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</si>
  <si>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</si>
  <si>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</si>
  <si>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</si>
  <si>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</si>
  <si>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</si>
  <si>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</si>
  <si>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</si>
  <si>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</si>
  <si>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</si>
  <si>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</si>
  <si>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</si>
  <si>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</si>
  <si>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</si>
  <si>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</si>
  <si>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</si>
  <si>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</si>
  <si>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</si>
  <si>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</si>
  <si>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</si>
  <si>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</si>
  <si>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</si>
  <si>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</si>
  <si>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</si>
  <si>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</si>
  <si>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</si>
  <si>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</si>
  <si>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</si>
  <si>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</si>
  <si>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</si>
  <si>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</si>
  <si>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</si>
  <si>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</si>
  <si>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</si>
  <si>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</si>
  <si>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</si>
  <si>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</si>
  <si>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</si>
  <si>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</si>
  <si>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</si>
  <si>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</si>
  <si>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</si>
  <si>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</si>
  <si>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</si>
  <si>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</si>
  <si>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</si>
  <si>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</si>
  <si>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</si>
  <si>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</si>
  <si>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</si>
  <si>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</si>
  <si>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</si>
  <si>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</si>
  <si>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</si>
  <si>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</si>
  <si>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</si>
  <si>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</si>
  <si>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</si>
  <si>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</si>
  <si>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</si>
  <si>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</si>
  <si>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</si>
  <si>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</si>
  <si>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</si>
  <si>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</si>
  <si>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</si>
  <si>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</si>
  <si>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</si>
  <si>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</si>
  <si>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</si>
  <si>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</si>
  <si>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</si>
  <si>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</si>
  <si>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</si>
  <si>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</si>
  <si>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</si>
  <si>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</si>
  <si>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</si>
  <si>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</si>
  <si>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</si>
  <si>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</si>
  <si>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</si>
  <si>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</si>
  <si>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</si>
  <si>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</si>
  <si>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</si>
  <si>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</si>
  <si>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</si>
  <si>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</si>
  <si>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</si>
  <si>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</si>
  <si>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</si>
  <si>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</si>
  <si>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</si>
  <si>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</si>
  <si>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</si>
  <si>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</si>
  <si>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</si>
  <si>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</si>
  <si>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</si>
  <si>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</si>
  <si>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</si>
  <si>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</si>
  <si>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</si>
  <si>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</si>
  <si>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</si>
  <si>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</si>
  <si>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</si>
  <si>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</si>
  <si>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</si>
  <si>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</si>
  <si>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</si>
  <si>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</si>
  <si>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</si>
  <si>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</si>
  <si>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</si>
  <si>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</si>
  <si>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</si>
  <si>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</si>
  <si>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</si>
  <si>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</si>
  <si>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</si>
  <si>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</si>
  <si>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</si>
  <si>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</si>
  <si>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</si>
  <si>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</si>
  <si>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</si>
  <si>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</si>
  <si>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</si>
  <si>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</si>
  <si>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</si>
  <si>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</si>
  <si>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</si>
  <si>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</si>
  <si>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</si>
  <si>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</si>
  <si>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</si>
  <si>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</si>
  <si>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</si>
  <si>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</si>
  <si>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</si>
  <si>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</si>
  <si>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</si>
  <si>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</si>
  <si>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</si>
  <si>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</si>
  <si>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</si>
  <si>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</si>
  <si>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</si>
  <si>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</si>
  <si>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</si>
  <si>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</si>
  <si>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</si>
  <si>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</si>
  <si>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</si>
  <si>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</si>
  <si>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</si>
  <si>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</si>
  <si>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</si>
  <si>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</si>
  <si>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</si>
  <si>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</si>
  <si>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</si>
  <si>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</si>
  <si>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</si>
  <si>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</si>
  <si>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</si>
  <si>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</si>
  <si>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</si>
  <si>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</si>
  <si>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</si>
  <si>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</si>
  <si>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</si>
  <si>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</si>
  <si>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</si>
  <si>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</si>
  <si>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</si>
  <si>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</si>
  <si>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</si>
  <si>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</si>
  <si>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</si>
  <si>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</si>
  <si>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</si>
  <si>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</si>
  <si>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</si>
  <si>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</si>
  <si>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</si>
  <si>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</si>
  <si>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</si>
  <si>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</si>
  <si>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</si>
  <si>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</si>
  <si>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</si>
  <si>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</si>
  <si>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</si>
  <si>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</si>
  <si>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</si>
  <si>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</si>
  <si>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</si>
  <si>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</si>
  <si>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</si>
  <si>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</si>
  <si>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</si>
  <si>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</si>
  <si>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</si>
  <si>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</si>
  <si>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</si>
  <si>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</si>
  <si>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</si>
  <si>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</si>
  <si>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</si>
  <si>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</si>
  <si>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</si>
  <si>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</si>
  <si>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</si>
  <si>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</si>
  <si>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</si>
  <si>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</si>
  <si>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</si>
  <si>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</si>
  <si>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</si>
  <si>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</si>
  <si>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</si>
  <si>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</si>
  <si>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</si>
  <si>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</si>
  <si>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</si>
  <si>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</si>
  <si>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</si>
  <si>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</si>
  <si>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</si>
  <si>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</si>
  <si>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</si>
  <si>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</si>
  <si>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</si>
  <si>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</si>
  <si>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</si>
  <si>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</si>
  <si>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</si>
  <si>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</si>
  <si>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</si>
  <si>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</si>
  <si>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</si>
  <si>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</si>
  <si>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</si>
  <si>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</si>
  <si>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</si>
  <si>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</si>
  <si>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</si>
  <si>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</si>
  <si>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</si>
  <si>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</si>
  <si>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</si>
  <si>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</si>
  <si>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</si>
  <si>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</si>
  <si>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</si>
  <si>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</si>
  <si>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</si>
  <si>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</si>
  <si>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</si>
  <si>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</si>
  <si>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</si>
  <si>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</si>
  <si>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</si>
  <si>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</si>
  <si>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</si>
  <si>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</si>
  <si>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</si>
  <si>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</si>
  <si>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</si>
  <si>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</si>
  <si>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</si>
  <si>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</si>
  <si>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</si>
  <si>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</si>
  <si>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</si>
  <si>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</si>
  <si>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</si>
  <si>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</si>
  <si>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</si>
  <si>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</si>
  <si>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</si>
  <si>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</si>
  <si>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</si>
  <si>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</si>
  <si>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</si>
  <si>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</si>
  <si>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</si>
  <si>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</si>
  <si>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</si>
  <si>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</si>
  <si>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</si>
  <si>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</si>
  <si>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</si>
  <si>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</si>
  <si>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</si>
  <si>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</si>
  <si>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</si>
  <si>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</si>
  <si>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</si>
  <si>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</si>
  <si>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</si>
  <si>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</si>
  <si>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</si>
  <si>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</si>
  <si>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</si>
  <si>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</si>
  <si>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</si>
  <si>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</si>
  <si>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</si>
  <si>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</si>
  <si>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</si>
  <si>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</si>
  <si>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</si>
  <si>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</si>
  <si>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</si>
  <si>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</si>
  <si>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</si>
  <si>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</si>
  <si>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</si>
  <si>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</si>
  <si>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</si>
  <si>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</si>
  <si>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</si>
  <si>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</si>
  <si>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</si>
  <si>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</si>
  <si>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</si>
  <si>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</si>
  <si>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</si>
  <si>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</si>
  <si>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</si>
  <si>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</si>
  <si>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</si>
  <si>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</si>
  <si>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</si>
  <si>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</si>
  <si>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</si>
  <si>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</si>
  <si>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</si>
  <si>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</si>
  <si>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</si>
  <si>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</si>
  <si>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</si>
  <si>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</si>
  <si>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</si>
  <si>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</si>
  <si>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</si>
  <si>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</si>
  <si>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</si>
  <si>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</si>
  <si>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</si>
  <si>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</si>
  <si>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</si>
  <si>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</si>
  <si>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</si>
  <si>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</si>
  <si>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</si>
  <si>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</si>
  <si>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</si>
  <si>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</si>
  <si>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</si>
  <si>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</si>
  <si>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</si>
  <si>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</si>
  <si>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</si>
  <si>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</si>
  <si>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</si>
  <si>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</si>
  <si>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</si>
  <si>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</si>
  <si>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</si>
  <si>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</si>
  <si>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</si>
  <si>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</si>
  <si>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</si>
  <si>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</si>
  <si>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</si>
  <si>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</si>
  <si>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</si>
  <si>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</si>
  <si>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</si>
  <si>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</si>
  <si>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</si>
  <si>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</si>
  <si>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</si>
  <si>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</si>
  <si>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</si>
  <si>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</si>
  <si>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</si>
  <si>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</si>
  <si>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</si>
  <si>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</si>
  <si>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</si>
  <si>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</si>
  <si>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</si>
  <si>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</si>
  <si>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</si>
  <si>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</si>
  <si>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</si>
  <si>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</si>
  <si>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</si>
  <si>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</si>
  <si>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</si>
  <si>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</si>
  <si>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</si>
  <si>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</si>
  <si>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</si>
  <si>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</si>
  <si>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</si>
  <si>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</si>
  <si>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</si>
  <si>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</si>
  <si>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</si>
  <si>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</si>
  <si>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</si>
  <si>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</si>
  <si>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</si>
  <si>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</si>
  <si>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</si>
  <si>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</si>
  <si>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</si>
  <si>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</si>
  <si>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</si>
  <si>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</si>
  <si>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</si>
  <si>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</si>
  <si>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</si>
  <si>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</si>
  <si>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</si>
  <si>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</si>
  <si>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</si>
  <si>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</si>
  <si>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</si>
  <si>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</si>
  <si>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</si>
  <si>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</si>
  <si>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</si>
  <si>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</si>
  <si>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</si>
  <si>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</si>
  <si>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</si>
  <si>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</si>
  <si>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</si>
  <si>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</si>
  <si>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</si>
  <si>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</si>
  <si>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</si>
  <si>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</si>
  <si>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</si>
  <si>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</si>
  <si>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</si>
  <si>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</si>
  <si>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</si>
  <si>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</si>
  <si>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</si>
  <si>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</si>
  <si>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</si>
  <si>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</si>
  <si>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</si>
  <si>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</si>
  <si>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</si>
  <si>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</si>
  <si>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</si>
  <si>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</si>
  <si>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</si>
  <si>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</si>
  <si>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</si>
  <si>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</si>
  <si>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</si>
  <si>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</si>
  <si>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</si>
  <si>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</si>
  <si>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</si>
  <si>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</si>
  <si>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</si>
  <si>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</si>
  <si>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</si>
  <si>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</si>
  <si>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</si>
  <si>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</si>
  <si>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</si>
  <si>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</si>
  <si>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</si>
  <si>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</si>
  <si>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</si>
  <si>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</si>
  <si>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</si>
  <si>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</si>
  <si>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</si>
  <si>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</si>
  <si>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</si>
  <si>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</si>
  <si>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</si>
  <si>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</si>
  <si>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</si>
  <si>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</si>
  <si>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</si>
  <si>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</si>
  <si>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</si>
  <si>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</si>
  <si>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</si>
  <si>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</si>
  <si>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</si>
  <si>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</si>
  <si>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</si>
  <si>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</si>
  <si>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</si>
  <si>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</si>
  <si>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</si>
  <si>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</si>
  <si>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</si>
  <si>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</si>
  <si>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</si>
  <si>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</si>
  <si>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</si>
  <si>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</si>
  <si>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</si>
  <si>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</si>
  <si>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</si>
  <si>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</si>
  <si>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</si>
  <si>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</si>
  <si>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</si>
  <si>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</si>
  <si>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</si>
  <si>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</si>
  <si>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</si>
  <si>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</si>
  <si>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</si>
  <si>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</si>
  <si>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</si>
  <si>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</si>
  <si>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</si>
  <si>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</si>
  <si>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</si>
  <si>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</si>
  <si>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</si>
  <si>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</si>
  <si>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</si>
  <si>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BEUSSINK HICKAM &amp; KOCHEL PC</t>
  </si>
  <si>
    <t>SCOTT A HICKAM CPA</t>
  </si>
  <si>
    <t>139 W VIENNA ST - PO BOX 556</t>
  </si>
  <si>
    <t>ANNA</t>
  </si>
  <si>
    <t>IL</t>
  </si>
  <si>
    <t>618-833-2721</t>
  </si>
  <si>
    <t>618-833-7077</t>
  </si>
  <si>
    <t>shickam@frontier.com</t>
  </si>
  <si>
    <t>066-005023</t>
  </si>
  <si>
    <t>UNION</t>
  </si>
  <si>
    <t>413 APPLEKNOCKER</t>
  </si>
  <si>
    <t>COBDEN</t>
  </si>
  <si>
    <t>EDWIN SHOEMATE</t>
  </si>
  <si>
    <t>eshoemate@cusd17.com</t>
  </si>
  <si>
    <t>618-893-2313</t>
  </si>
  <si>
    <t>618-893-4772</t>
  </si>
  <si>
    <t>2017A REFUNDING BONDS</t>
  </si>
  <si>
    <t>2017B REFUNDING BONDS</t>
  </si>
  <si>
    <t>TRI-COUNTY SPECIAL EDUCATION COOP</t>
  </si>
  <si>
    <t>5 COUNTY REGIONAL VOCATIONAL COOP</t>
  </si>
  <si>
    <t>TR-INSTRUCTION-PURCHASED SERVICE</t>
  </si>
  <si>
    <t>WRIGHTWAY TRANSPORTATION</t>
  </si>
  <si>
    <t>Fund 10: Account 1999: Character Education $39,032, Refunds, reimbursements, other $8,641</t>
  </si>
  <si>
    <t>Fund 10: Account 3999: IL SOS $750</t>
  </si>
  <si>
    <t>Fund 10: Account 4999: REAP $23,902, Cares $7,197</t>
  </si>
  <si>
    <t>Fund 20: Account 3000: Maintenance Grant $50.000</t>
  </si>
  <si>
    <t xml:space="preserve"> Cobden SUD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</si>
</sst>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2003</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2051</v>
      </c>
      <c r="C5" s="26" t="s">
        <v>904</v>
      </c>
      <c r="D5" s="81"/>
      <c r="E5" s="81"/>
      <c r="H5" s="38"/>
      <c r="I5" s="2125" t="s">
        <v>675</v>
      </c>
      <c r="J5" s="2070"/>
      <c r="K5" s="2070"/>
      <c r="L5" s="2070"/>
      <c r="M5" s="2070"/>
      <c r="N5" s="2070"/>
      <c r="O5" s="2070"/>
      <c r="P5" s="2070"/>
      <c r="Q5" s="2070"/>
      <c r="R5" s="2070"/>
      <c r="S5" s="2070"/>
      <c r="AF5" s="1827"/>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2051</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30091017022</v>
      </c>
      <c r="B13" s="2087"/>
      <c r="C13" s="2087"/>
      <c r="D13" s="2087"/>
      <c r="E13" s="2087"/>
      <c r="F13" s="2087"/>
      <c r="G13" s="2087"/>
      <c r="H13" s="2088"/>
      <c r="I13" s="31"/>
      <c r="J13" s="30"/>
      <c r="K13" s="28"/>
      <c r="L13" s="30"/>
      <c r="M13" s="30"/>
      <c r="N13" s="30"/>
      <c r="O13" s="30"/>
      <c r="P13" s="30"/>
      <c r="Q13" s="30"/>
      <c r="R13" s="30"/>
      <c r="S13" s="30"/>
      <c r="T13" s="2091" t="s">
        <v>2052</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2061</v>
      </c>
      <c r="B15" s="2089"/>
      <c r="C15" s="2089"/>
      <c r="D15" s="2089"/>
      <c r="E15" s="2089"/>
      <c r="F15" s="2089"/>
      <c r="G15" s="2089"/>
      <c r="H15" s="2090"/>
      <c r="T15" s="2052" t="s">
        <v>2053</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2078</v>
      </c>
      <c r="B17" s="2114"/>
      <c r="C17" s="2114"/>
      <c r="D17" s="2114"/>
      <c r="E17" s="2114"/>
      <c r="F17" s="2114"/>
      <c r="G17" s="2114"/>
      <c r="H17" s="2115"/>
      <c r="T17" s="2101" t="s">
        <v>2054</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2062</v>
      </c>
      <c r="B19" s="2085"/>
      <c r="C19" s="2085"/>
      <c r="D19" s="2085"/>
      <c r="E19" s="2085"/>
      <c r="F19" s="2085"/>
      <c r="G19" s="2085"/>
      <c r="H19" s="2083"/>
      <c r="I19" s="30"/>
      <c r="J19" s="96"/>
      <c r="K19" s="40"/>
      <c r="L19" s="38"/>
      <c r="M19" s="109" t="s">
        <v>312</v>
      </c>
      <c r="P19" s="27"/>
      <c r="Q19" s="27"/>
      <c r="R19" s="27"/>
      <c r="S19" s="31"/>
      <c r="T19" s="2084" t="s">
        <v>2055</v>
      </c>
      <c r="U19" s="2082"/>
      <c r="V19" s="2082"/>
      <c r="W19" s="2083"/>
      <c r="X19" s="2099" t="s">
        <v>2056</v>
      </c>
      <c r="Y19" s="2100"/>
      <c r="Z19" s="2097">
        <v>62906</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2063</v>
      </c>
      <c r="B21" s="2082"/>
      <c r="C21" s="2082"/>
      <c r="D21" s="2082"/>
      <c r="E21" s="2082"/>
      <c r="F21" s="2082"/>
      <c r="G21" s="2082"/>
      <c r="H21" s="2083"/>
      <c r="I21" s="2107" t="s">
        <v>673</v>
      </c>
      <c r="J21" s="2070"/>
      <c r="K21" s="2070"/>
      <c r="L21" s="2070"/>
      <c r="M21" s="2070"/>
      <c r="N21" s="2070"/>
      <c r="O21" s="2070"/>
      <c r="P21" s="2070"/>
      <c r="Q21" s="2070"/>
      <c r="R21" s="2070"/>
      <c r="S21" s="2071"/>
      <c r="T21" s="2049" t="s">
        <v>2057</v>
      </c>
      <c r="U21" s="2050"/>
      <c r="V21" s="2050"/>
      <c r="W21" s="2050"/>
      <c r="X21" s="2063" t="s">
        <v>2058</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c r="B23" s="2105"/>
      <c r="C23" s="2105"/>
      <c r="D23" s="2105"/>
      <c r="E23" s="2105"/>
      <c r="F23" s="2105"/>
      <c r="G23" s="2105"/>
      <c r="H23" s="2106"/>
      <c r="T23" s="2044" t="s">
        <v>2060</v>
      </c>
      <c r="U23" s="2045"/>
      <c r="V23" s="2045"/>
      <c r="W23" s="2045"/>
      <c r="X23" s="2060">
        <v>44530</v>
      </c>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62920</v>
      </c>
      <c r="B25" s="2082"/>
      <c r="C25" s="2082"/>
      <c r="D25" s="2082"/>
      <c r="E25" s="2082"/>
      <c r="F25" s="2082"/>
      <c r="G25" s="2082"/>
      <c r="H25" s="2083"/>
      <c r="I25" s="110"/>
      <c r="J25" s="2148"/>
      <c r="K25" s="2148"/>
      <c r="L25" s="2148"/>
      <c r="M25" s="2148"/>
      <c r="N25" s="2148"/>
      <c r="O25" s="2148"/>
      <c r="P25" s="2148"/>
      <c r="Q25" s="2148"/>
      <c r="R25" s="2148"/>
      <c r="S25" s="2149"/>
      <c r="T25" s="2041" t="s">
        <v>2059</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2064</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2065</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2066</v>
      </c>
      <c r="B42" s="2131"/>
      <c r="C42" s="2132"/>
      <c r="D42" s="2145" t="s">
        <v>2067</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4" sqref="E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555716</v>
      </c>
      <c r="C4" s="1722">
        <v>0</v>
      </c>
      <c r="D4" s="1723">
        <f>B4-C4</f>
        <v>555716</v>
      </c>
      <c r="E4" s="1722">
        <v>571258</v>
      </c>
      <c r="F4" s="1723">
        <f>E4-C4</f>
        <v>571258</v>
      </c>
    </row>
    <row r="5" spans="1:8" ht="13.7" customHeight="1" x14ac:dyDescent="0.2">
      <c r="A5" s="579" t="s">
        <v>865</v>
      </c>
      <c r="B5" s="1724">
        <f>'Revenues 9-14'!D5</f>
        <v>175300</v>
      </c>
      <c r="C5" s="1664">
        <v>0</v>
      </c>
      <c r="D5" s="1725">
        <f t="shared" ref="D5:D18" si="0">B5-C5</f>
        <v>175300</v>
      </c>
      <c r="E5" s="1664">
        <v>180084</v>
      </c>
      <c r="F5" s="1725">
        <f>E5-C5</f>
        <v>180084</v>
      </c>
    </row>
    <row r="6" spans="1:8" ht="13.7" customHeight="1" x14ac:dyDescent="0.2">
      <c r="A6" s="579" t="s">
        <v>408</v>
      </c>
      <c r="B6" s="1724">
        <f>'Revenues 9-14'!E5</f>
        <v>246817</v>
      </c>
      <c r="C6" s="1664">
        <v>0</v>
      </c>
      <c r="D6" s="1725">
        <f t="shared" si="0"/>
        <v>246817</v>
      </c>
      <c r="E6" s="1664">
        <v>247213</v>
      </c>
      <c r="F6" s="1725">
        <f t="shared" ref="F6:F18" si="1">E6-C6</f>
        <v>247213</v>
      </c>
    </row>
    <row r="7" spans="1:8" ht="13.7" customHeight="1" x14ac:dyDescent="0.2">
      <c r="A7" s="579" t="s">
        <v>154</v>
      </c>
      <c r="B7" s="1724">
        <f>'Revenues 9-14'!F5</f>
        <v>75666</v>
      </c>
      <c r="C7" s="1664">
        <v>0</v>
      </c>
      <c r="D7" s="1725">
        <f t="shared" si="0"/>
        <v>75666</v>
      </c>
      <c r="E7" s="1664">
        <v>78727</v>
      </c>
      <c r="F7" s="1725">
        <f t="shared" si="1"/>
        <v>78727</v>
      </c>
    </row>
    <row r="8" spans="1:8" ht="13.7" customHeight="1" x14ac:dyDescent="0.2">
      <c r="A8" s="579" t="s">
        <v>1169</v>
      </c>
      <c r="B8" s="1724">
        <f>'Revenues 9-14'!G5</f>
        <v>61552</v>
      </c>
      <c r="C8" s="1664">
        <v>0</v>
      </c>
      <c r="D8" s="1725">
        <f t="shared" si="0"/>
        <v>61552</v>
      </c>
      <c r="E8" s="1664">
        <v>71533</v>
      </c>
      <c r="F8" s="1725">
        <f t="shared" si="1"/>
        <v>71533</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18917</v>
      </c>
      <c r="C10" s="1664">
        <v>0</v>
      </c>
      <c r="D10" s="1725">
        <f t="shared" si="0"/>
        <v>18917</v>
      </c>
      <c r="E10" s="1664">
        <v>19682</v>
      </c>
      <c r="F10" s="1725">
        <f t="shared" si="1"/>
        <v>19682</v>
      </c>
    </row>
    <row r="11" spans="1:8" x14ac:dyDescent="0.2">
      <c r="A11" s="579" t="s">
        <v>406</v>
      </c>
      <c r="B11" s="1724">
        <f>'Revenues 9-14'!J5</f>
        <v>88632</v>
      </c>
      <c r="C11" s="1664">
        <v>0</v>
      </c>
      <c r="D11" s="1725">
        <f t="shared" si="0"/>
        <v>88632</v>
      </c>
      <c r="E11" s="1664">
        <v>90042</v>
      </c>
      <c r="F11" s="1725">
        <f t="shared" si="1"/>
        <v>90042</v>
      </c>
    </row>
    <row r="12" spans="1:8" ht="13.7" customHeight="1" x14ac:dyDescent="0.2">
      <c r="A12" s="579" t="s">
        <v>156</v>
      </c>
      <c r="B12" s="1724">
        <f>'Revenues 9-14'!K5</f>
        <v>18920</v>
      </c>
      <c r="C12" s="1664">
        <v>0</v>
      </c>
      <c r="D12" s="1725">
        <f t="shared" si="0"/>
        <v>18920</v>
      </c>
      <c r="E12" s="1664">
        <v>19690</v>
      </c>
      <c r="F12" s="1725">
        <f t="shared" si="1"/>
        <v>19690</v>
      </c>
    </row>
    <row r="13" spans="1:8" ht="13.7" customHeight="1" x14ac:dyDescent="0.2">
      <c r="A13" s="579" t="s">
        <v>930</v>
      </c>
      <c r="B13" s="1724">
        <f>SUM('Revenues 9-14'!C6:D6)</f>
        <v>0</v>
      </c>
      <c r="C13" s="1664">
        <v>0</v>
      </c>
      <c r="D13" s="1725">
        <f t="shared" si="0"/>
        <v>0</v>
      </c>
      <c r="E13" s="1664">
        <v>0</v>
      </c>
      <c r="F13" s="1725">
        <f t="shared" si="1"/>
        <v>0</v>
      </c>
    </row>
    <row r="14" spans="1:8" ht="13.7" customHeight="1" x14ac:dyDescent="0.2">
      <c r="A14" s="579" t="s">
        <v>407</v>
      </c>
      <c r="B14" s="1724">
        <f>SUM('Revenues 9-14'!C7:D7,'Revenues 9-14'!F7:H7)</f>
        <v>15137</v>
      </c>
      <c r="C14" s="1664">
        <v>0</v>
      </c>
      <c r="D14" s="1725">
        <f t="shared" si="0"/>
        <v>15137</v>
      </c>
      <c r="E14" s="1664">
        <v>15752</v>
      </c>
      <c r="F14" s="1725">
        <f t="shared" si="1"/>
        <v>15752</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75339</v>
      </c>
      <c r="C16" s="1664">
        <v>0</v>
      </c>
      <c r="D16" s="1725">
        <f t="shared" si="0"/>
        <v>75339</v>
      </c>
      <c r="E16" s="1664">
        <v>86542</v>
      </c>
      <c r="F16" s="1725">
        <f t="shared" si="1"/>
        <v>86542</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1331996</v>
      </c>
      <c r="C19" s="1726">
        <f>SUM(C4:C18)</f>
        <v>0</v>
      </c>
      <c r="D19" s="1726">
        <f>SUM(D4:D18)</f>
        <v>1331996</v>
      </c>
      <c r="E19" s="1726">
        <f>SUM(E4:E18)</f>
        <v>1380523</v>
      </c>
      <c r="F19" s="1726">
        <f>SUM(F4:F18)</f>
        <v>1380523</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1779</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v>0</v>
      </c>
      <c r="D4" s="1656">
        <v>0</v>
      </c>
      <c r="E4" s="1656">
        <v>0</v>
      </c>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v>0</v>
      </c>
      <c r="D6" s="1664">
        <v>0</v>
      </c>
      <c r="E6" s="1733">
        <v>0</v>
      </c>
      <c r="F6" s="1732">
        <f t="shared" ref="F6:F14" si="0">SUM(C6+D6)-E6</f>
        <v>0</v>
      </c>
    </row>
    <row r="7" spans="1:7" ht="12.75" customHeight="1" thickTop="1" thickBot="1" x14ac:dyDescent="0.25">
      <c r="A7" s="587" t="s">
        <v>6</v>
      </c>
      <c r="B7" s="588"/>
      <c r="C7" s="1733">
        <v>0</v>
      </c>
      <c r="D7" s="1664">
        <v>0</v>
      </c>
      <c r="E7" s="1733">
        <v>0</v>
      </c>
      <c r="F7" s="1732">
        <f t="shared" si="0"/>
        <v>0</v>
      </c>
    </row>
    <row r="8" spans="1:7" ht="12.75" customHeight="1" thickTop="1" thickBot="1" x14ac:dyDescent="0.25">
      <c r="A8" s="587" t="s">
        <v>505</v>
      </c>
      <c r="B8" s="588"/>
      <c r="C8" s="1733">
        <v>0</v>
      </c>
      <c r="D8" s="1664">
        <v>0</v>
      </c>
      <c r="E8" s="1733">
        <v>0</v>
      </c>
      <c r="F8" s="1732">
        <f t="shared" si="0"/>
        <v>0</v>
      </c>
    </row>
    <row r="9" spans="1:7" ht="12.75" customHeight="1" thickTop="1" thickBot="1" x14ac:dyDescent="0.25">
      <c r="A9" s="587" t="s">
        <v>506</v>
      </c>
      <c r="B9" s="588"/>
      <c r="C9" s="1733">
        <v>0</v>
      </c>
      <c r="D9" s="1664">
        <v>0</v>
      </c>
      <c r="E9" s="1733">
        <v>0</v>
      </c>
      <c r="F9" s="1732">
        <f t="shared" si="0"/>
        <v>0</v>
      </c>
    </row>
    <row r="10" spans="1:7" ht="12.75" customHeight="1" thickTop="1" thickBot="1" x14ac:dyDescent="0.25">
      <c r="A10" s="587" t="s">
        <v>507</v>
      </c>
      <c r="B10" s="588"/>
      <c r="C10" s="1733">
        <v>0</v>
      </c>
      <c r="D10" s="1664">
        <v>0</v>
      </c>
      <c r="E10" s="1733">
        <v>0</v>
      </c>
      <c r="F10" s="1732">
        <f t="shared" si="0"/>
        <v>0</v>
      </c>
    </row>
    <row r="11" spans="1:7" ht="12.75" customHeight="1" thickTop="1" thickBot="1" x14ac:dyDescent="0.25">
      <c r="A11" s="587" t="s">
        <v>338</v>
      </c>
      <c r="B11" s="588"/>
      <c r="C11" s="1733">
        <v>0</v>
      </c>
      <c r="D11" s="1664">
        <v>0</v>
      </c>
      <c r="E11" s="1733">
        <v>0</v>
      </c>
      <c r="F11" s="1732">
        <f t="shared" si="0"/>
        <v>0</v>
      </c>
    </row>
    <row r="12" spans="1:7" ht="12.75" customHeight="1" thickTop="1" thickBot="1" x14ac:dyDescent="0.25">
      <c r="A12" s="587" t="s">
        <v>1147</v>
      </c>
      <c r="B12" s="588"/>
      <c r="C12" s="1733">
        <v>0</v>
      </c>
      <c r="D12" s="1664">
        <v>0</v>
      </c>
      <c r="E12" s="1733">
        <v>0</v>
      </c>
      <c r="F12" s="1732">
        <f t="shared" si="0"/>
        <v>0</v>
      </c>
    </row>
    <row r="13" spans="1:7" ht="12.75" customHeight="1" thickTop="1" thickBot="1" x14ac:dyDescent="0.25">
      <c r="A13" s="587" t="s">
        <v>385</v>
      </c>
      <c r="B13" s="588"/>
      <c r="C13" s="1733">
        <v>0</v>
      </c>
      <c r="D13" s="1664">
        <v>0</v>
      </c>
      <c r="E13" s="1733">
        <v>0</v>
      </c>
      <c r="F13" s="1732">
        <f t="shared" si="0"/>
        <v>0</v>
      </c>
    </row>
    <row r="14" spans="1:7" ht="12.75" customHeight="1" thickTop="1" thickBot="1" x14ac:dyDescent="0.25">
      <c r="A14" s="587" t="s">
        <v>445</v>
      </c>
      <c r="B14" s="588"/>
      <c r="C14" s="1733">
        <v>0</v>
      </c>
      <c r="D14" s="1664">
        <v>0</v>
      </c>
      <c r="E14" s="1733">
        <v>0</v>
      </c>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v>0</v>
      </c>
      <c r="D17" s="1664">
        <v>0</v>
      </c>
      <c r="E17" s="1733">
        <v>0</v>
      </c>
      <c r="F17" s="1732">
        <f>SUM(C17+D17)-E17</f>
        <v>0</v>
      </c>
    </row>
    <row r="18" spans="1:11" ht="12.75" customHeight="1" thickTop="1" thickBot="1" x14ac:dyDescent="0.25">
      <c r="A18" s="2315" t="s">
        <v>6</v>
      </c>
      <c r="B18" s="2316"/>
      <c r="C18" s="1733">
        <v>0</v>
      </c>
      <c r="D18" s="1664">
        <v>0</v>
      </c>
      <c r="E18" s="1733">
        <v>0</v>
      </c>
      <c r="F18" s="1732">
        <f>SUM(C18+D18)-E18</f>
        <v>0</v>
      </c>
    </row>
    <row r="19" spans="1:11" ht="12.75" customHeight="1" thickTop="1" thickBot="1" x14ac:dyDescent="0.25">
      <c r="A19" s="2315" t="s">
        <v>385</v>
      </c>
      <c r="B19" s="2316"/>
      <c r="C19" s="1733">
        <v>0</v>
      </c>
      <c r="D19" s="1664">
        <v>0</v>
      </c>
      <c r="E19" s="1733">
        <v>0</v>
      </c>
      <c r="F19" s="1732">
        <f>SUM(C19+D19)-E19</f>
        <v>0</v>
      </c>
    </row>
    <row r="20" spans="1:11" ht="12.75" customHeight="1" thickTop="1" thickBot="1" x14ac:dyDescent="0.25">
      <c r="A20" s="2315" t="s">
        <v>445</v>
      </c>
      <c r="B20" s="2316"/>
      <c r="C20" s="1733">
        <v>0</v>
      </c>
      <c r="D20" s="1664">
        <v>0</v>
      </c>
      <c r="E20" s="1733">
        <v>0</v>
      </c>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v>0</v>
      </c>
      <c r="D23" s="1656">
        <v>0</v>
      </c>
      <c r="E23" s="1656">
        <v>0</v>
      </c>
      <c r="F23" s="1732">
        <f>SUM(C23+D23)-E23</f>
        <v>0</v>
      </c>
      <c r="G23" s="473"/>
    </row>
    <row r="24" spans="1:11" ht="15.75" customHeight="1" thickTop="1" x14ac:dyDescent="0.2">
      <c r="A24" s="2317" t="s">
        <v>2006</v>
      </c>
      <c r="B24" s="2291"/>
      <c r="C24" s="2299"/>
      <c r="D24" s="2300"/>
      <c r="E24" s="2300"/>
      <c r="F24" s="2301"/>
    </row>
    <row r="25" spans="1:11" ht="13.5" thickBot="1" x14ac:dyDescent="0.25">
      <c r="A25" s="2305" t="s">
        <v>2007</v>
      </c>
      <c r="B25" s="2306"/>
      <c r="C25" s="1656">
        <v>0</v>
      </c>
      <c r="D25" s="1656">
        <v>0</v>
      </c>
      <c r="E25" s="1656">
        <v>0</v>
      </c>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v>0</v>
      </c>
      <c r="D27" s="1664">
        <v>0</v>
      </c>
      <c r="E27" s="1664">
        <v>0</v>
      </c>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42929</v>
      </c>
      <c r="C31" s="1734">
        <v>865000</v>
      </c>
      <c r="D31" s="1735">
        <v>3</v>
      </c>
      <c r="E31" s="1734">
        <v>760000</v>
      </c>
      <c r="F31" s="1734"/>
      <c r="G31" s="1734"/>
      <c r="H31" s="1734">
        <v>110000</v>
      </c>
      <c r="I31" s="1736">
        <f>((E31+F31)-H31)+G31</f>
        <v>650000</v>
      </c>
      <c r="J31" s="1734">
        <v>592531</v>
      </c>
      <c r="K31" s="596"/>
    </row>
    <row r="32" spans="1:11" ht="12" customHeight="1" x14ac:dyDescent="0.2">
      <c r="A32" s="594" t="s">
        <v>2069</v>
      </c>
      <c r="B32" s="595">
        <v>42929</v>
      </c>
      <c r="C32" s="1734">
        <v>980000</v>
      </c>
      <c r="D32" s="1735">
        <v>3</v>
      </c>
      <c r="E32" s="1734">
        <v>900000</v>
      </c>
      <c r="F32" s="1734"/>
      <c r="G32" s="1734"/>
      <c r="H32" s="1734">
        <v>85000</v>
      </c>
      <c r="I32" s="1736">
        <f>((E32+F32)-H32)+G32</f>
        <v>815000</v>
      </c>
      <c r="J32" s="1734">
        <v>815000</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1845000</v>
      </c>
      <c r="D49" s="1742"/>
      <c r="E49" s="1736">
        <f t="shared" ref="E49:J49" si="2">SUM(E31:E48)</f>
        <v>1660000</v>
      </c>
      <c r="F49" s="1736">
        <f t="shared" si="2"/>
        <v>0</v>
      </c>
      <c r="G49" s="1736">
        <f t="shared" si="2"/>
        <v>0</v>
      </c>
      <c r="H49" s="1736">
        <f t="shared" si="2"/>
        <v>195000</v>
      </c>
      <c r="I49" s="1736">
        <f t="shared" si="2"/>
        <v>1465000</v>
      </c>
      <c r="J49" s="1736">
        <f t="shared" si="2"/>
        <v>1407531</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orientation="landscape" useFirstPageNumber="1" r:id="rId1"/>
  <headerFooter alignWithMargins="0">
    <oddHeader>&amp;L&amp;8Page &amp;P&amp;R&amp;8Page &amp;P</oddHeader>
    <oddFooter>&amp;L&amp;8&amp;F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colorId="8" zoomScale="110" zoomScaleNormal="110" workbookViewId="0">
      <selection activeCell="H3" sqref="H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1789</v>
      </c>
      <c r="K2" s="616" t="s">
        <v>137</v>
      </c>
    </row>
    <row r="3" spans="1:11" x14ac:dyDescent="0.2">
      <c r="A3" s="2325" t="str">
        <f>"Cash Basis Fund Balance as of July 1, "&amp;'AFR20'!E2-1</f>
        <v>Cash Basis Fund Balance as of July 1, 2019</v>
      </c>
      <c r="B3" s="2326"/>
      <c r="C3" s="2326"/>
      <c r="D3" s="2326"/>
      <c r="E3" s="2327"/>
      <c r="F3" s="617"/>
      <c r="G3" s="1744">
        <v>0</v>
      </c>
      <c r="H3" s="1744">
        <v>0</v>
      </c>
      <c r="I3" s="1744">
        <v>0</v>
      </c>
      <c r="J3" s="1745">
        <v>0</v>
      </c>
      <c r="K3" s="1745">
        <v>0</v>
      </c>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v>15137</v>
      </c>
      <c r="I5" s="1750">
        <v>0</v>
      </c>
      <c r="J5" s="1751"/>
      <c r="K5" s="1751"/>
    </row>
    <row r="6" spans="1:11" x14ac:dyDescent="0.2">
      <c r="A6" s="625" t="s">
        <v>715</v>
      </c>
      <c r="B6" s="626"/>
      <c r="C6" s="626"/>
      <c r="D6" s="626"/>
      <c r="E6" s="627"/>
      <c r="F6" s="628" t="s">
        <v>844</v>
      </c>
      <c r="G6" s="1744">
        <v>0</v>
      </c>
      <c r="H6" s="1744">
        <v>0</v>
      </c>
      <c r="I6" s="1744">
        <v>0</v>
      </c>
      <c r="J6" s="1745">
        <v>0</v>
      </c>
      <c r="K6" s="1745">
        <v>0</v>
      </c>
    </row>
    <row r="7" spans="1:11" x14ac:dyDescent="0.2">
      <c r="A7" s="629" t="s">
        <v>244</v>
      </c>
      <c r="B7" s="630"/>
      <c r="C7" s="630"/>
      <c r="D7" s="630"/>
      <c r="E7" s="631"/>
      <c r="F7" s="622" t="s">
        <v>845</v>
      </c>
      <c r="G7" s="1746"/>
      <c r="H7" s="1746"/>
      <c r="I7" s="1746"/>
      <c r="J7" s="1752"/>
      <c r="K7" s="1745">
        <v>6253</v>
      </c>
    </row>
    <row r="8" spans="1:11" x14ac:dyDescent="0.2">
      <c r="A8" s="629" t="s">
        <v>342</v>
      </c>
      <c r="B8" s="630"/>
      <c r="C8" s="630"/>
      <c r="D8" s="630"/>
      <c r="E8" s="631"/>
      <c r="F8" s="622" t="s">
        <v>846</v>
      </c>
      <c r="G8" s="1753"/>
      <c r="H8" s="1753"/>
      <c r="I8" s="1753"/>
      <c r="J8" s="1745">
        <v>131002</v>
      </c>
      <c r="K8" s="1748"/>
    </row>
    <row r="9" spans="1:11" x14ac:dyDescent="0.2">
      <c r="A9" s="629" t="s">
        <v>137</v>
      </c>
      <c r="B9" s="630"/>
      <c r="C9" s="630"/>
      <c r="D9" s="630"/>
      <c r="E9" s="631"/>
      <c r="F9" s="628" t="s">
        <v>848</v>
      </c>
      <c r="G9" s="1753"/>
      <c r="H9" s="1749"/>
      <c r="I9" s="1749"/>
      <c r="J9" s="1752"/>
      <c r="K9" s="1745">
        <v>0</v>
      </c>
    </row>
    <row r="10" spans="1:11" x14ac:dyDescent="0.2">
      <c r="A10" s="2348" t="s">
        <v>1790</v>
      </c>
      <c r="B10" s="2319"/>
      <c r="C10" s="2319"/>
      <c r="D10" s="2319"/>
      <c r="E10" s="2350"/>
      <c r="F10" s="633" t="s">
        <v>857</v>
      </c>
      <c r="G10" s="1753"/>
      <c r="H10" s="1754">
        <v>0</v>
      </c>
      <c r="I10" s="1744">
        <v>0</v>
      </c>
      <c r="J10" s="1745">
        <v>9</v>
      </c>
      <c r="K10" s="1745">
        <v>0</v>
      </c>
    </row>
    <row r="11" spans="1:11" x14ac:dyDescent="0.2">
      <c r="A11" s="2348" t="s">
        <v>159</v>
      </c>
      <c r="B11" s="2319"/>
      <c r="C11" s="2319"/>
      <c r="D11" s="2319"/>
      <c r="E11" s="2349"/>
      <c r="F11" s="622" t="s">
        <v>847</v>
      </c>
      <c r="G11" s="1749"/>
      <c r="H11" s="1744">
        <v>0</v>
      </c>
      <c r="I11" s="1744">
        <v>0</v>
      </c>
      <c r="J11" s="1745">
        <v>0</v>
      </c>
      <c r="K11" s="1751"/>
    </row>
    <row r="12" spans="1:11" ht="13.5" thickBot="1" x14ac:dyDescent="0.25">
      <c r="A12" s="2336" t="s">
        <v>899</v>
      </c>
      <c r="B12" s="2337"/>
      <c r="C12" s="2337"/>
      <c r="D12" s="2337"/>
      <c r="E12" s="2338"/>
      <c r="F12" s="1433"/>
      <c r="G12" s="1755">
        <f>SUM(G5:G11)</f>
        <v>0</v>
      </c>
      <c r="H12" s="1755">
        <f>SUM(H5:H11)</f>
        <v>15137</v>
      </c>
      <c r="I12" s="1755">
        <f>SUM(I5:I11)</f>
        <v>0</v>
      </c>
      <c r="J12" s="1755">
        <f>SUM(J5:J11)</f>
        <v>131011</v>
      </c>
      <c r="K12" s="1755">
        <f>SUM(K5:K11)</f>
        <v>6253</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v>15137</v>
      </c>
      <c r="I14" s="1749"/>
      <c r="J14" s="1751"/>
      <c r="K14" s="1745">
        <v>6253</v>
      </c>
    </row>
    <row r="15" spans="1:11" x14ac:dyDescent="0.2">
      <c r="A15" s="2319" t="s">
        <v>4</v>
      </c>
      <c r="B15" s="2319"/>
      <c r="C15" s="2319"/>
      <c r="D15" s="2319"/>
      <c r="E15" s="2349"/>
      <c r="F15" s="635" t="s">
        <v>850</v>
      </c>
      <c r="G15" s="1749"/>
      <c r="H15" s="1744">
        <v>0</v>
      </c>
      <c r="I15" s="1744">
        <v>0</v>
      </c>
      <c r="J15" s="1745">
        <v>76780</v>
      </c>
      <c r="K15" s="1745">
        <v>0</v>
      </c>
    </row>
    <row r="16" spans="1:11" x14ac:dyDescent="0.2">
      <c r="A16" s="2319" t="s">
        <v>295</v>
      </c>
      <c r="B16" s="2319"/>
      <c r="C16" s="2319"/>
      <c r="D16" s="2319"/>
      <c r="E16" s="2349"/>
      <c r="F16" s="635" t="s">
        <v>917</v>
      </c>
      <c r="G16" s="1750">
        <v>0</v>
      </c>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v>0</v>
      </c>
      <c r="K18" s="1763"/>
    </row>
    <row r="19" spans="1:15" ht="21.75" customHeight="1" x14ac:dyDescent="0.2">
      <c r="A19" s="2356" t="s">
        <v>1786</v>
      </c>
      <c r="B19" s="2356"/>
      <c r="C19" s="2356"/>
      <c r="D19" s="2356"/>
      <c r="E19" s="2357"/>
      <c r="F19" s="635" t="s">
        <v>927</v>
      </c>
      <c r="G19" s="1753"/>
      <c r="H19" s="1753"/>
      <c r="I19" s="1753"/>
      <c r="J19" s="1745">
        <v>0</v>
      </c>
      <c r="K19" s="1763"/>
    </row>
    <row r="20" spans="1:15" x14ac:dyDescent="0.2">
      <c r="A20" s="2333" t="s">
        <v>1791</v>
      </c>
      <c r="B20" s="2334"/>
      <c r="C20" s="2334"/>
      <c r="D20" s="2334"/>
      <c r="E20" s="2335"/>
      <c r="F20" s="635" t="s">
        <v>928</v>
      </c>
      <c r="G20" s="1753"/>
      <c r="H20" s="1753"/>
      <c r="I20" s="1753"/>
      <c r="J20" s="1745">
        <v>0</v>
      </c>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1792</v>
      </c>
      <c r="B22" s="2319"/>
      <c r="C22" s="2319"/>
      <c r="D22" s="2319"/>
      <c r="E22" s="2349"/>
      <c r="F22" s="635" t="s">
        <v>857</v>
      </c>
      <c r="G22" s="1753"/>
      <c r="H22" s="1744">
        <v>0</v>
      </c>
      <c r="I22" s="1744">
        <v>0</v>
      </c>
      <c r="J22" s="1766">
        <v>0</v>
      </c>
      <c r="K22" s="1745">
        <v>0</v>
      </c>
    </row>
    <row r="23" spans="1:15" ht="13.5" thickBot="1" x14ac:dyDescent="0.25">
      <c r="A23" s="2340" t="s">
        <v>900</v>
      </c>
      <c r="B23" s="2339"/>
      <c r="C23" s="2339"/>
      <c r="D23" s="2339"/>
      <c r="E23" s="2339"/>
      <c r="F23" s="1436"/>
      <c r="G23" s="1755">
        <f>SUM(G14:G16,G21,G22)</f>
        <v>0</v>
      </c>
      <c r="H23" s="1755">
        <f>SUM(H14:H16,H21,H22)</f>
        <v>15137</v>
      </c>
      <c r="I23" s="1755">
        <f>SUM(I14:I16,I21,I22)</f>
        <v>0</v>
      </c>
      <c r="J23" s="1755">
        <f>SUM(J14:J16,J21,J22)</f>
        <v>76780</v>
      </c>
      <c r="K23" s="1755">
        <f>SUM(K14:K16,K21,K22)</f>
        <v>6253</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54231</v>
      </c>
      <c r="K24" s="1767">
        <f>SUM(K3,K12)-K23</f>
        <v>0</v>
      </c>
      <c r="L24" s="1846"/>
      <c r="M24" s="1846"/>
      <c r="N24" s="1846"/>
      <c r="O24" s="1846"/>
    </row>
    <row r="25" spans="1:15" ht="13.5" thickTop="1" x14ac:dyDescent="0.2">
      <c r="A25" s="639" t="s">
        <v>417</v>
      </c>
      <c r="B25" s="640"/>
      <c r="C25" s="640"/>
      <c r="D25" s="640"/>
      <c r="E25" s="641"/>
      <c r="F25" s="642">
        <v>714</v>
      </c>
      <c r="G25" s="1768">
        <v>0</v>
      </c>
      <c r="H25" s="1768">
        <v>0</v>
      </c>
      <c r="I25" s="1768">
        <v>0</v>
      </c>
      <c r="J25" s="1766">
        <v>0</v>
      </c>
      <c r="K25" s="1766">
        <v>0</v>
      </c>
    </row>
    <row r="26" spans="1:15" ht="13.5" thickBot="1" x14ac:dyDescent="0.25">
      <c r="A26" s="639" t="s">
        <v>339</v>
      </c>
      <c r="B26" s="640"/>
      <c r="C26" s="640"/>
      <c r="D26" s="640"/>
      <c r="E26" s="641"/>
      <c r="F26" s="642">
        <v>730</v>
      </c>
      <c r="G26" s="1755">
        <f>G24-G25</f>
        <v>0</v>
      </c>
      <c r="H26" s="1755">
        <f>H24-H25</f>
        <v>0</v>
      </c>
      <c r="I26" s="1755">
        <f>I24-I25</f>
        <v>0</v>
      </c>
      <c r="J26" s="1755">
        <f>J24-J25</f>
        <v>54231</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v>0</v>
      </c>
      <c r="D3" s="1769">
        <v>0</v>
      </c>
      <c r="E3" s="1769">
        <v>0</v>
      </c>
      <c r="F3" s="1765">
        <f>(C3+D3)-E3</f>
        <v>0</v>
      </c>
      <c r="G3" s="675"/>
      <c r="H3" s="674">
        <v>0</v>
      </c>
      <c r="I3" s="674">
        <v>0</v>
      </c>
      <c r="J3" s="674">
        <v>0</v>
      </c>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106866</v>
      </c>
      <c r="D5" s="1770">
        <v>0</v>
      </c>
      <c r="E5" s="1770">
        <v>0</v>
      </c>
      <c r="F5" s="1765">
        <f>(C5+D5)-E5</f>
        <v>106866</v>
      </c>
      <c r="G5" s="676"/>
      <c r="H5" s="680"/>
      <c r="I5" s="680"/>
      <c r="J5" s="680"/>
      <c r="K5" s="637"/>
      <c r="L5" s="1442">
        <f>F5-K5</f>
        <v>106866</v>
      </c>
    </row>
    <row r="6" spans="1:14" ht="14.25" thickTop="1" thickBot="1" x14ac:dyDescent="0.25">
      <c r="A6" s="629" t="s">
        <v>1107</v>
      </c>
      <c r="B6" s="679">
        <v>222</v>
      </c>
      <c r="C6" s="1745">
        <v>0</v>
      </c>
      <c r="D6" s="1745">
        <v>0</v>
      </c>
      <c r="E6" s="1745">
        <v>0</v>
      </c>
      <c r="F6" s="1765">
        <f>(C6+D6)-E6</f>
        <v>0</v>
      </c>
      <c r="G6" s="676">
        <v>50</v>
      </c>
      <c r="H6" s="619">
        <v>0</v>
      </c>
      <c r="I6" s="619">
        <v>0</v>
      </c>
      <c r="J6" s="619">
        <v>0</v>
      </c>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10173526</v>
      </c>
      <c r="D8" s="1771">
        <v>0</v>
      </c>
      <c r="E8" s="1771">
        <v>0</v>
      </c>
      <c r="F8" s="1765">
        <f>(C8+D8)-E8</f>
        <v>10173526</v>
      </c>
      <c r="G8" s="681">
        <v>50</v>
      </c>
      <c r="H8" s="619">
        <v>3309414</v>
      </c>
      <c r="I8" s="619">
        <v>203471</v>
      </c>
      <c r="J8" s="619">
        <v>0</v>
      </c>
      <c r="K8" s="1442">
        <f>(H8+I8)-J8</f>
        <v>3512885</v>
      </c>
      <c r="L8" s="1442">
        <f>F8-K8</f>
        <v>6660641</v>
      </c>
    </row>
    <row r="9" spans="1:14" ht="14.25" thickTop="1" thickBot="1" x14ac:dyDescent="0.25">
      <c r="A9" s="629" t="s">
        <v>1109</v>
      </c>
      <c r="B9" s="679">
        <v>232</v>
      </c>
      <c r="C9" s="1745">
        <v>0</v>
      </c>
      <c r="D9" s="1745">
        <v>0</v>
      </c>
      <c r="E9" s="1745">
        <v>0</v>
      </c>
      <c r="F9" s="1765">
        <f>(C9+D9)-E9</f>
        <v>0</v>
      </c>
      <c r="G9" s="681">
        <v>20</v>
      </c>
      <c r="H9" s="619">
        <v>0</v>
      </c>
      <c r="I9" s="619">
        <v>0</v>
      </c>
      <c r="J9" s="619">
        <v>0</v>
      </c>
      <c r="K9" s="1442">
        <f>(H9+I9)-J9</f>
        <v>0</v>
      </c>
      <c r="L9" s="1442">
        <f>F9-K9</f>
        <v>0</v>
      </c>
    </row>
    <row r="10" spans="1:14" ht="24" thickTop="1" thickBot="1" x14ac:dyDescent="0.25">
      <c r="A10" s="682" t="s">
        <v>1110</v>
      </c>
      <c r="B10" s="679">
        <v>240</v>
      </c>
      <c r="C10" s="1772">
        <v>907663</v>
      </c>
      <c r="D10" s="1772">
        <v>0</v>
      </c>
      <c r="E10" s="1772">
        <v>0</v>
      </c>
      <c r="F10" s="1773">
        <f>(C10+D10)-E10</f>
        <v>907663</v>
      </c>
      <c r="G10" s="681">
        <v>20</v>
      </c>
      <c r="H10" s="683">
        <v>408649</v>
      </c>
      <c r="I10" s="683">
        <v>44427</v>
      </c>
      <c r="J10" s="683">
        <v>0</v>
      </c>
      <c r="K10" s="1442">
        <f>(H10+I10)-J10</f>
        <v>453076</v>
      </c>
      <c r="L10" s="1442">
        <f>F10-K10</f>
        <v>454587</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1083630</v>
      </c>
      <c r="D12" s="1771">
        <v>19815</v>
      </c>
      <c r="E12" s="1771">
        <v>17688</v>
      </c>
      <c r="F12" s="1765">
        <f>(C12+D12)-E12</f>
        <v>1085757</v>
      </c>
      <c r="G12" s="681">
        <v>10</v>
      </c>
      <c r="H12" s="619">
        <v>1012615</v>
      </c>
      <c r="I12" s="619">
        <v>17087</v>
      </c>
      <c r="J12" s="619">
        <v>17688</v>
      </c>
      <c r="K12" s="1442">
        <f>(H12+I12)-J12</f>
        <v>1012014</v>
      </c>
      <c r="L12" s="1442">
        <f>F12-K12</f>
        <v>73743</v>
      </c>
    </row>
    <row r="13" spans="1:14" ht="14.25" thickTop="1" thickBot="1" x14ac:dyDescent="0.25">
      <c r="A13" s="684" t="s">
        <v>1112</v>
      </c>
      <c r="B13" s="679">
        <v>252</v>
      </c>
      <c r="C13" s="1771">
        <v>505</v>
      </c>
      <c r="D13" s="1771">
        <v>0</v>
      </c>
      <c r="E13" s="1771">
        <v>0</v>
      </c>
      <c r="F13" s="1765">
        <f>(C13+D13)-E13</f>
        <v>505</v>
      </c>
      <c r="G13" s="681">
        <v>5</v>
      </c>
      <c r="H13" s="619">
        <v>505</v>
      </c>
      <c r="I13" s="619">
        <v>0</v>
      </c>
      <c r="J13" s="619">
        <v>0</v>
      </c>
      <c r="K13" s="1442">
        <f>(H13+I13)-J13</f>
        <v>505</v>
      </c>
      <c r="L13" s="1442">
        <f>F13-K13</f>
        <v>0</v>
      </c>
    </row>
    <row r="14" spans="1:14" ht="14.25" thickTop="1" thickBot="1" x14ac:dyDescent="0.25">
      <c r="A14" s="684" t="s">
        <v>1113</v>
      </c>
      <c r="B14" s="679">
        <v>253</v>
      </c>
      <c r="C14" s="1745">
        <v>540165</v>
      </c>
      <c r="D14" s="1745">
        <v>67131</v>
      </c>
      <c r="E14" s="1745">
        <v>0</v>
      </c>
      <c r="F14" s="1765">
        <f>(C14+D14)-E14</f>
        <v>607296</v>
      </c>
      <c r="G14" s="681">
        <v>3</v>
      </c>
      <c r="H14" s="619">
        <v>496786</v>
      </c>
      <c r="I14" s="619">
        <v>60222</v>
      </c>
      <c r="J14" s="619">
        <v>0</v>
      </c>
      <c r="K14" s="1442">
        <f>(H14+I14)-J14</f>
        <v>557008</v>
      </c>
      <c r="L14" s="1442">
        <f>F14-K14</f>
        <v>50288</v>
      </c>
    </row>
    <row r="15" spans="1:14" ht="15" customHeight="1" thickTop="1" thickBot="1" x14ac:dyDescent="0.25">
      <c r="A15" s="1366" t="s">
        <v>525</v>
      </c>
      <c r="B15" s="1365">
        <v>260</v>
      </c>
      <c r="C15" s="1771">
        <v>0</v>
      </c>
      <c r="D15" s="1771">
        <v>0</v>
      </c>
      <c r="E15" s="1771">
        <v>0</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12812355</v>
      </c>
      <c r="D16" s="1765">
        <f>SUM(D3,D5:D6,D8:D10,D12:D15)</f>
        <v>86946</v>
      </c>
      <c r="E16" s="1765">
        <f>SUM(E3,E5:E6,E8:E10,E12:E15)</f>
        <v>17688</v>
      </c>
      <c r="F16" s="1765">
        <f>SUM(F3,F5:F6,F8:F10,F12:F15)</f>
        <v>12881613</v>
      </c>
      <c r="G16" s="681"/>
      <c r="H16" s="1435">
        <f>SUM(H3,H6,H8:H10,H12:H14,)</f>
        <v>5227969</v>
      </c>
      <c r="I16" s="1435">
        <f>SUM(I3,I6,I8:I10,I12:I14,)</f>
        <v>325207</v>
      </c>
      <c r="J16" s="1435">
        <f>SUM(J3,J6,J8:J10,J12:J14,)</f>
        <v>17688</v>
      </c>
      <c r="K16" s="1435">
        <f>(H16+I16)-J16</f>
        <v>5535488</v>
      </c>
      <c r="L16" s="1435">
        <f>F16-K16</f>
        <v>7346125</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325207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4971841</v>
      </c>
      <c r="G8" s="701"/>
    </row>
    <row r="9" spans="1:9" x14ac:dyDescent="0.2">
      <c r="A9" s="705" t="s">
        <v>457</v>
      </c>
      <c r="B9" s="706" t="s">
        <v>1848</v>
      </c>
      <c r="C9" s="707"/>
      <c r="D9" s="705" t="s">
        <v>498</v>
      </c>
      <c r="E9" s="704"/>
      <c r="F9" s="1775">
        <f>'Expenditures 15-22'!K151</f>
        <v>289179</v>
      </c>
      <c r="G9" s="708"/>
    </row>
    <row r="10" spans="1:9" x14ac:dyDescent="0.2">
      <c r="A10" s="705" t="s">
        <v>496</v>
      </c>
      <c r="B10" s="706" t="s">
        <v>1849</v>
      </c>
      <c r="C10" s="707"/>
      <c r="D10" s="705" t="s">
        <v>498</v>
      </c>
      <c r="E10" s="704"/>
      <c r="F10" s="1775">
        <f>'Expenditures 15-22'!K174</f>
        <v>246533</v>
      </c>
      <c r="G10" s="708"/>
    </row>
    <row r="11" spans="1:9" x14ac:dyDescent="0.2">
      <c r="A11" s="705" t="s">
        <v>458</v>
      </c>
      <c r="B11" s="706" t="s">
        <v>1850</v>
      </c>
      <c r="C11" s="707"/>
      <c r="D11" s="705" t="s">
        <v>498</v>
      </c>
      <c r="E11" s="704"/>
      <c r="F11" s="1775">
        <f>'Expenditures 15-22'!K210</f>
        <v>336640</v>
      </c>
      <c r="G11" s="708"/>
    </row>
    <row r="12" spans="1:9" x14ac:dyDescent="0.2">
      <c r="A12" s="705" t="s">
        <v>459</v>
      </c>
      <c r="B12" s="706" t="s">
        <v>1851</v>
      </c>
      <c r="C12" s="707"/>
      <c r="D12" s="705" t="s">
        <v>498</v>
      </c>
      <c r="E12" s="704"/>
      <c r="F12" s="1775">
        <f>'Expenditures 15-22'!K295</f>
        <v>155253</v>
      </c>
      <c r="G12" s="708"/>
    </row>
    <row r="13" spans="1:9" x14ac:dyDescent="0.2">
      <c r="A13" s="705" t="s">
        <v>106</v>
      </c>
      <c r="B13" s="706" t="s">
        <v>1852</v>
      </c>
      <c r="C13" s="707"/>
      <c r="D13" s="705" t="s">
        <v>498</v>
      </c>
      <c r="E13" s="704"/>
      <c r="F13" s="1775">
        <f>'Expenditures 15-22'!K342</f>
        <v>88632</v>
      </c>
      <c r="G13" s="709"/>
    </row>
    <row r="14" spans="1:9" ht="12" customHeight="1" thickBot="1" x14ac:dyDescent="0.25">
      <c r="A14" s="1443"/>
      <c r="B14" s="1444"/>
      <c r="C14" s="1445"/>
      <c r="D14" s="1446" t="s">
        <v>498</v>
      </c>
      <c r="E14" s="1447" t="s">
        <v>952</v>
      </c>
      <c r="F14" s="1776">
        <f>SUM(F8:F13)</f>
        <v>6088078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73238</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314000</v>
      </c>
      <c r="G53" s="701"/>
    </row>
    <row r="54" spans="1:7" x14ac:dyDescent="0.2">
      <c r="A54" s="705" t="s">
        <v>456</v>
      </c>
      <c r="B54" s="705" t="s">
        <v>1459</v>
      </c>
      <c r="C54" s="724" t="s">
        <v>975</v>
      </c>
      <c r="D54" s="720" t="s">
        <v>1086</v>
      </c>
      <c r="E54" s="704"/>
      <c r="F54" s="1782">
        <f>'Expenditures 15-22'!G114</f>
        <v>4292</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62839</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195000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649369</v>
      </c>
      <c r="G77" s="701"/>
    </row>
    <row r="78" spans="1:9" s="728" customFormat="1" ht="12" customHeight="1" thickTop="1" thickBot="1" x14ac:dyDescent="0.25">
      <c r="A78" s="1450"/>
      <c r="B78" s="1448"/>
      <c r="C78" s="1445"/>
      <c r="D78" s="1449" t="s">
        <v>2012</v>
      </c>
      <c r="E78" s="1447"/>
      <c r="F78" s="1788">
        <f>(F14-F77)</f>
        <v>5438709</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498.81</v>
      </c>
      <c r="G79" s="733"/>
      <c r="H79" s="705"/>
      <c r="I79" s="705"/>
    </row>
    <row r="80" spans="1:9" s="728" customFormat="1" ht="12" customHeight="1" thickBot="1" x14ac:dyDescent="0.25">
      <c r="A80" s="1452"/>
      <c r="B80" s="1448"/>
      <c r="C80" s="1445"/>
      <c r="D80" s="1449" t="s">
        <v>2013</v>
      </c>
      <c r="E80" s="1447" t="s">
        <v>952</v>
      </c>
      <c r="F80" s="1790">
        <f>IF(F79&gt;0,F78/F79," Complete Line 79")</f>
        <v>10903.36801587779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13241</v>
      </c>
      <c r="G95" s="745"/>
    </row>
    <row r="96" spans="1:7" x14ac:dyDescent="0.2">
      <c r="A96" s="741" t="s">
        <v>139</v>
      </c>
      <c r="B96" s="741" t="s">
        <v>174</v>
      </c>
      <c r="C96" s="743">
        <v>1700</v>
      </c>
      <c r="D96" s="751" t="str">
        <f>'Revenues 9-14'!A82</f>
        <v>Total District/School Activity Income</v>
      </c>
      <c r="E96" s="739"/>
      <c r="F96" s="1793">
        <f>SUM('Revenues 9-14'!C82,'Revenues 9-14'!D82)</f>
        <v>25003</v>
      </c>
      <c r="G96" s="745"/>
    </row>
    <row r="97" spans="1:7" x14ac:dyDescent="0.2">
      <c r="A97" s="741" t="s">
        <v>456</v>
      </c>
      <c r="B97" s="741" t="s">
        <v>175</v>
      </c>
      <c r="C97" s="743">
        <f>'Revenues 9-14'!B84</f>
        <v>1811</v>
      </c>
      <c r="D97" s="744" t="str">
        <f>'Revenues 9-14'!A84</f>
        <v>Rentals - Regular Textbooks</v>
      </c>
      <c r="E97" s="739"/>
      <c r="F97" s="1793">
        <f>'Revenues 9-14'!C84</f>
        <v>8465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52</v>
      </c>
      <c r="G101" s="745"/>
    </row>
    <row r="102" spans="1:7" x14ac:dyDescent="0.2">
      <c r="A102" s="741" t="s">
        <v>139</v>
      </c>
      <c r="B102" s="741" t="s">
        <v>180</v>
      </c>
      <c r="C102" s="743">
        <f>'Revenues 9-14'!B95</f>
        <v>1910</v>
      </c>
      <c r="D102" s="744" t="str">
        <f>'Revenues 9-14'!A95</f>
        <v>Rentals</v>
      </c>
      <c r="E102" s="739"/>
      <c r="F102" s="1793">
        <f>SUM('Revenues 9-14'!C95:D95)</f>
        <v>6000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7981</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20610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2520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6253</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208974</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50750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160483</v>
      </c>
      <c r="G126" s="763"/>
    </row>
    <row r="127" spans="1:7" x14ac:dyDescent="0.2">
      <c r="A127" s="760" t="s">
        <v>663</v>
      </c>
      <c r="B127" s="760" t="s">
        <v>1931</v>
      </c>
      <c r="C127" s="765">
        <v>4300</v>
      </c>
      <c r="D127" s="766" t="str">
        <f>'Revenues 9-14'!A204</f>
        <v>Total Title I</v>
      </c>
      <c r="E127" s="739"/>
      <c r="F127" s="1793">
        <f>SUM('Revenues 9-14'!C204,'Revenues 9-14'!D204,'Revenues 9-14'!F204,'Revenues 9-14'!G204)</f>
        <v>201340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29434</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98863</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55</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30811</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12637</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20176</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31099</v>
      </c>
      <c r="G171" s="760"/>
    </row>
    <row r="172" spans="1:7" x14ac:dyDescent="0.2">
      <c r="A172" s="1529" t="s">
        <v>5</v>
      </c>
      <c r="B172" s="1530" t="s">
        <v>1885</v>
      </c>
      <c r="C172" s="1531">
        <v>3100</v>
      </c>
      <c r="D172" s="1532" t="s">
        <v>1887</v>
      </c>
      <c r="E172" s="739"/>
      <c r="F172" s="1794">
        <v>179309</v>
      </c>
      <c r="G172" s="760"/>
    </row>
    <row r="173" spans="1:7" x14ac:dyDescent="0.2">
      <c r="A173" s="1529" t="s">
        <v>659</v>
      </c>
      <c r="B173" s="1530" t="s">
        <v>1885</v>
      </c>
      <c r="C173" s="1531">
        <v>3300</v>
      </c>
      <c r="D173" s="1532" t="s">
        <v>1888</v>
      </c>
      <c r="E173" s="739"/>
      <c r="F173" s="1794">
        <v>24022</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1138078</v>
      </c>
    </row>
    <row r="176" spans="1:7" ht="12" customHeight="1" x14ac:dyDescent="0.2">
      <c r="A176" s="1443"/>
      <c r="B176" s="1453"/>
      <c r="C176" s="1454"/>
      <c r="D176" s="1455" t="s">
        <v>2014</v>
      </c>
      <c r="E176" s="1456"/>
      <c r="F176" s="1793">
        <f>'PCTC-OEPP 27-28'!F78-F175</f>
        <v>4300631</v>
      </c>
    </row>
    <row r="177" spans="1:9" ht="12" customHeight="1" x14ac:dyDescent="0.2">
      <c r="A177" s="1443"/>
      <c r="B177" s="1453"/>
      <c r="C177" s="1454"/>
      <c r="D177" s="1455" t="s">
        <v>1794</v>
      </c>
      <c r="E177" s="1456"/>
      <c r="F177" s="1793">
        <f>'Cap Outlay Deprec 26'!I18</f>
        <v>325207</v>
      </c>
    </row>
    <row r="178" spans="1:9" ht="12" customHeight="1" x14ac:dyDescent="0.2">
      <c r="A178" s="1443"/>
      <c r="B178" s="1453"/>
      <c r="C178" s="1454"/>
      <c r="D178" s="1455" t="s">
        <v>2015</v>
      </c>
      <c r="E178" s="1456"/>
      <c r="F178" s="1793">
        <f>F176+F177</f>
        <v>4625838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498.81</v>
      </c>
      <c r="G179" s="763"/>
      <c r="I179" s="701"/>
    </row>
    <row r="180" spans="1:9" ht="12" customHeight="1" thickBot="1" x14ac:dyDescent="0.25">
      <c r="A180" s="1443"/>
      <c r="B180" s="1457"/>
      <c r="C180" s="1454"/>
      <c r="D180" s="1455" t="s">
        <v>2017</v>
      </c>
      <c r="E180" s="1456" t="s">
        <v>1528</v>
      </c>
      <c r="F180" s="1798">
        <f>F178/F179</f>
        <v>9273.7475190954465</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C19" sqref="C19"/>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2072</v>
      </c>
      <c r="B18" s="1908">
        <v>402550300</v>
      </c>
      <c r="C18" s="2036" t="s">
        <v>2073</v>
      </c>
      <c r="D18" s="1886">
        <v>311383</v>
      </c>
      <c r="E18" s="1906" t="str">
        <f t="shared" ref="E18:E81" si="0">IF(D18&lt;25000,D18,"25,000")</f>
        <v>25,000</v>
      </c>
      <c r="F18" s="1906">
        <f t="shared" ref="F18:F81" si="1">IF(D18&gt;=25000,(D18-E18),"0")</f>
        <v>286383</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311383</v>
      </c>
      <c r="E142" s="1893">
        <f>SUM(E18:E141)</f>
        <v>0</v>
      </c>
      <c r="F142" s="1894">
        <f>SUM(F18:F141)</f>
        <v>286383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v>0</v>
      </c>
      <c r="F7" s="805"/>
      <c r="G7" s="806"/>
      <c r="H7" s="157"/>
      <c r="I7" s="157"/>
    </row>
    <row r="8" spans="1:13" s="542" customFormat="1" ht="12" customHeight="1" x14ac:dyDescent="0.2">
      <c r="A8" s="802" t="s">
        <v>129</v>
      </c>
      <c r="B8" s="803"/>
      <c r="C8" s="803"/>
      <c r="D8" s="804"/>
      <c r="E8" s="1800">
        <v>0</v>
      </c>
      <c r="F8" s="805"/>
      <c r="G8" s="806"/>
      <c r="H8" s="157"/>
      <c r="I8" s="157"/>
    </row>
    <row r="9" spans="1:13" s="542" customFormat="1" ht="12" customHeight="1" x14ac:dyDescent="0.2">
      <c r="A9" s="802" t="s">
        <v>130</v>
      </c>
      <c r="B9" s="803"/>
      <c r="C9" s="803"/>
      <c r="D9" s="804"/>
      <c r="E9" s="1800">
        <v>0</v>
      </c>
      <c r="F9" s="805"/>
      <c r="G9" s="806"/>
      <c r="H9" s="157"/>
      <c r="I9" s="157"/>
    </row>
    <row r="10" spans="1:13" s="542" customFormat="1" ht="12" customHeight="1" x14ac:dyDescent="0.2">
      <c r="A10" s="802" t="s">
        <v>1894</v>
      </c>
      <c r="B10" s="803"/>
      <c r="C10" s="807"/>
      <c r="D10" s="804"/>
      <c r="E10" s="1800">
        <v>180151</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18031</v>
      </c>
      <c r="F11" s="805"/>
      <c r="G11" s="808"/>
      <c r="H11" s="178"/>
      <c r="I11" s="178"/>
      <c r="J11" s="1853"/>
      <c r="K11" s="1853"/>
      <c r="L11" s="1853"/>
      <c r="M11" s="1853"/>
    </row>
    <row r="12" spans="1:13" s="542" customFormat="1" ht="12" customHeight="1" x14ac:dyDescent="0.2">
      <c r="A12" s="802" t="s">
        <v>131</v>
      </c>
      <c r="B12" s="803"/>
      <c r="C12" s="803"/>
      <c r="D12" s="804"/>
      <c r="E12" s="1800">
        <v>0</v>
      </c>
      <c r="F12" s="805"/>
      <c r="G12" s="806"/>
      <c r="H12" s="157"/>
      <c r="I12" s="157"/>
    </row>
    <row r="13" spans="1:13" s="542" customFormat="1" ht="12" customHeight="1" x14ac:dyDescent="0.2">
      <c r="A13" s="802" t="s">
        <v>201</v>
      </c>
      <c r="B13" s="803"/>
      <c r="C13" s="803"/>
      <c r="D13" s="804"/>
      <c r="E13" s="1800">
        <v>0</v>
      </c>
      <c r="F13" s="805"/>
      <c r="G13" s="806"/>
      <c r="H13" s="157"/>
      <c r="I13" s="157"/>
    </row>
    <row r="14" spans="1:13" s="542" customFormat="1" ht="12" customHeight="1" x14ac:dyDescent="0.2">
      <c r="A14" s="802" t="s">
        <v>202</v>
      </c>
      <c r="B14" s="803"/>
      <c r="C14" s="803"/>
      <c r="D14" s="804"/>
      <c r="E14" s="1800">
        <v>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3366518</v>
      </c>
      <c r="F19" s="1802"/>
      <c r="G19" s="1804">
        <f>'Expenditures 15-22'!K33-SUM('Expenditures 15-22'!G33,'Expenditures 15-22'!I33)+'Expenditures 15-22'!D229</f>
        <v>3366518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202864</v>
      </c>
      <c r="F21" s="1805"/>
      <c r="G21" s="1808">
        <f>'Expenditures 15-22'!K42-SUM('Expenditures 15-22'!G42,'Expenditures 15-22'!I42)+'Expenditures 15-22'!K120-SUM('Expenditures 15-22'!G120,'Expenditures 15-22'!I120)+'Expenditures 15-22'!K180-SUM('Expenditures 15-22'!G180,'Expenditures 15-22'!I180)+'Expenditures 15-22'!D238</f>
        <v>202864</v>
      </c>
      <c r="H21" s="817"/>
      <c r="I21" s="157"/>
    </row>
    <row r="22" spans="1:9" s="542" customFormat="1" ht="12" customHeight="1" x14ac:dyDescent="0.2">
      <c r="A22" s="824" t="s">
        <v>560</v>
      </c>
      <c r="B22" s="825"/>
      <c r="C22" s="823">
        <v>2200</v>
      </c>
      <c r="D22" s="1805"/>
      <c r="E22" s="1807">
        <f>'Expenditures 15-22'!K47-SUM('Expenditures 15-22'!G47,'Expenditures 15-22'!I47)+'Expenditures 15-22'!D243</f>
        <v>121279</v>
      </c>
      <c r="F22" s="1805"/>
      <c r="G22" s="1808">
        <f>'Expenditures 15-22'!K47-SUM('Expenditures 15-22'!G47,'Expenditures 15-22'!I47)+'Expenditures 15-22'!D243</f>
        <v>121279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346888</v>
      </c>
      <c r="F23" s="1805"/>
      <c r="G23" s="1807">
        <f>'Expenditures 15-22'!K53-SUM('Expenditures 15-22'!G53,'Expenditures 15-22'!I53)+'Expenditures 15-22'!D257+'Expenditures 15-22'!K330-SUM('Expenditures 15-22'!G330,'Expenditures 15-22'!I330)</f>
        <v>346888</v>
      </c>
      <c r="H23" s="817"/>
      <c r="I23" s="157"/>
    </row>
    <row r="24" spans="1:9" s="542" customFormat="1" ht="12" customHeight="1" x14ac:dyDescent="0.2">
      <c r="A24" s="824" t="s">
        <v>562</v>
      </c>
      <c r="B24" s="825"/>
      <c r="C24" s="823">
        <v>2400</v>
      </c>
      <c r="D24" s="1805"/>
      <c r="E24" s="1807">
        <f>'Expenditures 15-22'!K57-SUM('Expenditures 15-22'!G57,'Expenditures 15-22'!I57)+'Expenditures 15-22'!D261</f>
        <v>187528</v>
      </c>
      <c r="F24" s="1805"/>
      <c r="G24" s="1808">
        <f>'Expenditures 15-22'!K57-SUM('Expenditures 15-22'!G57,'Expenditures 15-22'!I57)+'Expenditures 15-22'!D261</f>
        <v>187528</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72064</v>
      </c>
      <c r="E27" s="1807">
        <f>E8</f>
        <v>0</v>
      </c>
      <c r="F27" s="1807">
        <f>'Expenditures 15-22'!K60-SUM('Expenditures 15-22'!G60,'Expenditures 15-22'!I60)+'Expenditures 15-22'!D264-E8</f>
        <v>72064</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500017</v>
      </c>
      <c r="F28" s="1809">
        <f>'Expenditures 15-22'!K61-SUM('Expenditures 15-22'!G61,'Expenditures 15-22'!I61)+'Expenditures 15-22'!K124-SUM('Expenditures 15-22'!G124,'Expenditures 15-22'!I124)+'Expenditures 15-22'!D266-E9</f>
        <v>500017</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336640</v>
      </c>
      <c r="F29" s="1805"/>
      <c r="G29" s="1808">
        <f>'Expenditures 15-22'!K62-SUM('Expenditures 15-22'!G62,'Expenditures 15-22'!I62)+'Expenditures 15-22'!K125-SUM('Expenditures 15-22'!G125,'Expenditures 15-22'!I125)+'Expenditures 15-22'!K182-SUM('Expenditures 15-22'!G182,'Expenditures 15-22'!I182)+'Expenditures 15-22'!D267</f>
        <v>336640</v>
      </c>
      <c r="H29" s="815"/>
    </row>
    <row r="30" spans="1:9" ht="12" customHeight="1" x14ac:dyDescent="0.2">
      <c r="A30" s="824" t="s">
        <v>100</v>
      </c>
      <c r="B30" s="827"/>
      <c r="C30" s="823">
        <v>2560</v>
      </c>
      <c r="D30" s="1805"/>
      <c r="E30" s="1807">
        <f>'Expenditures 15-22'!K63-SUM('Expenditures 15-22'!G63,'Expenditures 15-22'!I63)+'Expenditures 15-22'!D268-E10</f>
        <v>146465</v>
      </c>
      <c r="F30" s="1805"/>
      <c r="G30" s="1807">
        <f>'Expenditures 15-22'!K63-SUM('Expenditures 15-22'!G63,'Expenditures 15-22'!I63)+'Expenditures 15-22'!D268-E10</f>
        <v>146465</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-286383</v>
      </c>
      <c r="F40" s="1805"/>
      <c r="G40" s="1809">
        <f>-'Contracts Paid in CY 29'!F142</f>
        <v>-286383</v>
      </c>
    </row>
    <row r="41" spans="1:7" ht="12" customHeight="1" x14ac:dyDescent="0.2">
      <c r="A41" s="828" t="s">
        <v>155</v>
      </c>
      <c r="B41" s="829"/>
      <c r="C41" s="830"/>
      <c r="D41" s="1809">
        <f>SUM(D19:D39)</f>
        <v>72064</v>
      </c>
      <c r="E41" s="1809">
        <f>SUM(E19:E40)</f>
        <v>4921816</v>
      </c>
      <c r="F41" s="1809">
        <f>SUM(F19:F39)</f>
        <v>572081</v>
      </c>
      <c r="G41" s="1809">
        <f>SUM(G19:G40)</f>
        <v>4421799</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72064</v>
      </c>
      <c r="F43" s="1458" t="s">
        <v>470</v>
      </c>
      <c r="G43" s="1810">
        <f>F41</f>
        <v>572081</v>
      </c>
    </row>
    <row r="44" spans="1:7" ht="12" customHeight="1" x14ac:dyDescent="0.2">
      <c r="A44" s="817"/>
      <c r="B44" s="157"/>
      <c r="C44" s="831"/>
      <c r="D44" s="1458" t="s">
        <v>471</v>
      </c>
      <c r="E44" s="1810">
        <f>E41</f>
        <v>4921816</v>
      </c>
      <c r="F44" s="1458" t="s">
        <v>471</v>
      </c>
      <c r="G44" s="1810">
        <f>G41</f>
        <v>4421799</v>
      </c>
    </row>
    <row r="45" spans="1:7" ht="12" customHeight="1" x14ac:dyDescent="0.2">
      <c r="A45" s="817"/>
      <c r="B45" s="157"/>
      <c r="C45" s="157"/>
      <c r="D45" s="1459" t="s">
        <v>999</v>
      </c>
      <c r="E45" s="1811">
        <f>(E43/E44)</f>
        <v>1.4641750118249036E-2</v>
      </c>
      <c r="F45" s="1459" t="s">
        <v>999</v>
      </c>
      <c r="G45" s="1811">
        <f>(G43/G44)</f>
        <v>0.12937743212660729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 xml:space="preserve"> Cobden SUD 17</v>
      </c>
      <c r="D6" s="2404"/>
      <c r="E6" s="2404"/>
      <c r="F6" s="1482"/>
      <c r="G6" s="1507"/>
      <c r="L6" s="1507"/>
      <c r="M6" s="1855"/>
      <c r="N6" s="1855"/>
      <c r="O6" s="1855"/>
    </row>
    <row r="7" spans="1:15" ht="11.25" customHeight="1" thickBot="1" x14ac:dyDescent="0.3">
      <c r="A7" s="1480"/>
      <c r="B7" s="1481"/>
      <c r="C7" s="2405">
        <f>COVER!A13</f>
        <v>30091017022</v>
      </c>
      <c r="D7" s="2405"/>
      <c r="E7" s="240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2070</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2051</v>
      </c>
      <c r="D31" s="1495" t="s">
        <v>2051</v>
      </c>
      <c r="E31" s="1498" t="s">
        <v>2051</v>
      </c>
      <c r="F31" s="1497" t="s">
        <v>2071</v>
      </c>
      <c r="G31" s="1507"/>
      <c r="H31" s="1507">
        <f t="shared" si="0"/>
        <v>5</v>
      </c>
      <c r="I31" s="1507">
        <f t="shared" si="1"/>
        <v>5</v>
      </c>
      <c r="J31" s="1507">
        <f t="shared" si="2"/>
        <v>5</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K12" sqref="K12"/>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0" t="str">
        <f>COVER!A17</f>
        <v xml:space="preserve"> Cobden SUD 17</v>
      </c>
      <c r="K6" s="2420"/>
      <c r="L6" s="2421"/>
      <c r="M6" s="838"/>
      <c r="N6" s="1998"/>
    </row>
    <row r="7" spans="1:14" x14ac:dyDescent="0.2">
      <c r="A7" s="2422" t="s">
        <v>864</v>
      </c>
      <c r="B7" s="2423"/>
      <c r="C7" s="2423"/>
      <c r="D7" s="2423"/>
      <c r="E7" s="2424"/>
      <c r="F7" s="839"/>
      <c r="G7" s="838"/>
      <c r="H7" s="838"/>
      <c r="I7" s="1924" t="s">
        <v>369</v>
      </c>
      <c r="J7" s="2425">
        <f>COVER!A13</f>
        <v>30091017022</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6" t="s">
        <v>478</v>
      </c>
      <c r="B11" s="2427"/>
      <c r="C11" s="242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200599</v>
      </c>
      <c r="F12" s="1942"/>
      <c r="G12" s="1968">
        <f>G68</f>
        <v>852</v>
      </c>
      <c r="H12" s="1944">
        <f t="shared" ref="H12:H18" si="0">SUM(E12:G12)</f>
        <v>201451</v>
      </c>
      <c r="I12" s="1943">
        <v>206400</v>
      </c>
      <c r="J12" s="1942"/>
      <c r="K12" s="1943">
        <v>900</v>
      </c>
      <c r="L12" s="1944">
        <f t="shared" ref="L12:L18" si="1">SUM(I12:K12)</f>
        <v>207300</v>
      </c>
      <c r="M12" s="838"/>
      <c r="N12" s="1998"/>
    </row>
    <row r="13" spans="1:14" x14ac:dyDescent="0.2">
      <c r="A13" s="2003">
        <v>2</v>
      </c>
      <c r="B13" s="1940" t="s">
        <v>42</v>
      </c>
      <c r="C13" s="842"/>
      <c r="D13" s="1941">
        <v>2330</v>
      </c>
      <c r="E13" s="1944">
        <f>'Expenditures 15-22'!K51</f>
        <v>0</v>
      </c>
      <c r="F13" s="1942"/>
      <c r="G13" s="1968">
        <f>H68</f>
        <v>0</v>
      </c>
      <c r="H13" s="1944">
        <f t="shared" si="0"/>
        <v>0</v>
      </c>
      <c r="I13" s="1943">
        <v>0</v>
      </c>
      <c r="J13" s="1942"/>
      <c r="K13" s="1943">
        <v>0</v>
      </c>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v>0</v>
      </c>
      <c r="J14" s="1942"/>
      <c r="K14" s="1943">
        <v>0</v>
      </c>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v>0</v>
      </c>
      <c r="J15" s="1943">
        <v>0</v>
      </c>
      <c r="K15" s="1943">
        <v>0</v>
      </c>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v>0</v>
      </c>
      <c r="J16" s="1942"/>
      <c r="K16" s="1943">
        <v>0</v>
      </c>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v>0</v>
      </c>
      <c r="J17" s="1942"/>
      <c r="K17" s="1943">
        <v>0</v>
      </c>
      <c r="L17" s="1944">
        <f t="shared" si="1"/>
        <v>0</v>
      </c>
      <c r="M17" s="838"/>
      <c r="N17" s="1998"/>
    </row>
    <row r="18" spans="1:14" ht="26.25" customHeight="1" x14ac:dyDescent="0.2">
      <c r="A18" s="2004">
        <v>7</v>
      </c>
      <c r="B18" s="2429" t="s">
        <v>7</v>
      </c>
      <c r="C18" s="2430"/>
      <c r="D18" s="2431"/>
      <c r="E18" s="1946">
        <v>15842</v>
      </c>
      <c r="F18" s="1946">
        <v>0</v>
      </c>
      <c r="G18" s="1943">
        <v>0</v>
      </c>
      <c r="H18" s="1947">
        <f t="shared" si="0"/>
        <v>15842</v>
      </c>
      <c r="I18" s="1943">
        <v>16400</v>
      </c>
      <c r="J18" s="1943">
        <v>0</v>
      </c>
      <c r="K18" s="1943">
        <v>0</v>
      </c>
      <c r="L18" s="1944">
        <f t="shared" si="1"/>
        <v>16400</v>
      </c>
      <c r="M18" s="838"/>
      <c r="N18" s="1998"/>
    </row>
    <row r="19" spans="1:14" ht="13.5" thickBot="1" x14ac:dyDescent="0.25">
      <c r="A19" s="2003">
        <v>8</v>
      </c>
      <c r="B19" s="1948" t="s">
        <v>1151</v>
      </c>
      <c r="C19" s="838"/>
      <c r="D19" s="1949"/>
      <c r="E19" s="1950">
        <f t="shared" ref="E19:L19" si="2">SUM(E12:E17)-E18</f>
        <v>184757</v>
      </c>
      <c r="F19" s="1950">
        <f t="shared" si="2"/>
        <v>0</v>
      </c>
      <c r="G19" s="1950">
        <f t="shared" ref="G19" si="3">SUM(G12:G17)-G18</f>
        <v>852</v>
      </c>
      <c r="H19" s="1950">
        <f t="shared" si="2"/>
        <v>185609</v>
      </c>
      <c r="I19" s="1950">
        <f t="shared" si="2"/>
        <v>190000</v>
      </c>
      <c r="J19" s="1950">
        <f t="shared" si="2"/>
        <v>0</v>
      </c>
      <c r="K19" s="1950">
        <f t="shared" si="2"/>
        <v>900</v>
      </c>
      <c r="L19" s="1950">
        <f t="shared" si="2"/>
        <v>190900</v>
      </c>
      <c r="M19" s="838"/>
      <c r="N19" s="1998"/>
    </row>
    <row r="20" spans="1:14" ht="13.5" thickTop="1" x14ac:dyDescent="0.2">
      <c r="A20" s="2003">
        <v>9</v>
      </c>
      <c r="B20" s="2432" t="s">
        <v>2021</v>
      </c>
      <c r="C20" s="2432"/>
      <c r="D20" s="2433"/>
      <c r="E20" s="1951"/>
      <c r="F20" s="1951"/>
      <c r="G20" s="1951"/>
      <c r="H20" s="1951"/>
      <c r="I20" s="1951"/>
      <c r="J20" s="1951"/>
      <c r="K20" s="1951"/>
      <c r="L20" s="1952">
        <f>IF(AND(H19&gt;0,L19&gt;0),(((L19-H19)/H19)),"Enter Budget Data")</f>
        <v>2.8506160800392224E-2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1026</v>
      </c>
      <c r="D28" s="844"/>
      <c r="E28" s="1958"/>
      <c r="F28" s="2436" t="s">
        <v>1492</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1544</v>
      </c>
      <c r="D30" s="838"/>
      <c r="E30" s="1959"/>
      <c r="F30" s="2419" t="s">
        <v>1493</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2024</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2025</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2" t="s">
        <v>2026</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0" t="str">
        <f>J6</f>
        <v xml:space="preserve"> Cobden SUD 17</v>
      </c>
      <c r="M52" s="2420"/>
      <c r="N52" s="2450"/>
    </row>
    <row r="53" spans="1:14" x14ac:dyDescent="0.2">
      <c r="A53" s="1982"/>
      <c r="B53" s="1983"/>
      <c r="C53" s="1983"/>
      <c r="D53" s="1983"/>
      <c r="E53" s="1983"/>
      <c r="F53" s="1983"/>
      <c r="G53" s="1983"/>
      <c r="H53" s="1983"/>
      <c r="I53" s="1983"/>
      <c r="J53" s="1983"/>
      <c r="K53" s="1924" t="s">
        <v>369</v>
      </c>
      <c r="L53" s="2425">
        <f>J7</f>
        <v>30091017022</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2030</v>
      </c>
      <c r="H55" s="2454"/>
      <c r="I55" s="2454"/>
      <c r="J55" s="2454"/>
      <c r="K55" s="2454"/>
      <c r="L55" s="2454"/>
      <c r="M55" s="2454"/>
      <c r="N55" s="2455"/>
    </row>
    <row r="56" spans="1:14" ht="63.75" x14ac:dyDescent="0.2">
      <c r="A56" s="2456" t="s">
        <v>2031</v>
      </c>
      <c r="B56" s="2457"/>
      <c r="C56" s="245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2041</v>
      </c>
      <c r="B58" s="2439"/>
      <c r="C58" s="2439"/>
      <c r="D58" s="1967">
        <v>2362</v>
      </c>
      <c r="E58" s="1977">
        <f>'Expenditures 15-22'!K320</f>
        <v>17551</v>
      </c>
      <c r="F58" s="1972"/>
      <c r="G58" s="2031">
        <v>852</v>
      </c>
      <c r="H58" s="2032">
        <v>0</v>
      </c>
      <c r="I58" s="2032">
        <v>0</v>
      </c>
      <c r="J58" s="2032">
        <v>0</v>
      </c>
      <c r="K58" s="2032">
        <v>0</v>
      </c>
      <c r="L58" s="2032">
        <v>0</v>
      </c>
      <c r="M58" s="2032">
        <v>16699</v>
      </c>
      <c r="N58" s="1975">
        <f>IF((SUM(G58:M58))=E58,SUM(G58:M58),"Column N does not agree with Column E")</f>
        <v>17551</v>
      </c>
    </row>
    <row r="59" spans="1:14" ht="24.75" customHeight="1" x14ac:dyDescent="0.2">
      <c r="A59" s="2461" t="s">
        <v>297</v>
      </c>
      <c r="B59" s="2462"/>
      <c r="C59" s="246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1" t="s">
        <v>236</v>
      </c>
      <c r="B60" s="2462"/>
      <c r="C60" s="2462"/>
      <c r="D60" s="1967">
        <v>2364</v>
      </c>
      <c r="E60" s="1977">
        <f>'Expenditures 15-22'!K322</f>
        <v>70310</v>
      </c>
      <c r="F60" s="1972"/>
      <c r="G60" s="2031">
        <v>0</v>
      </c>
      <c r="H60" s="2032">
        <v>0</v>
      </c>
      <c r="I60" s="2032">
        <v>0</v>
      </c>
      <c r="J60" s="2032">
        <v>0</v>
      </c>
      <c r="K60" s="2032">
        <v>0</v>
      </c>
      <c r="L60" s="2032">
        <v>0</v>
      </c>
      <c r="M60" s="2032">
        <v>70310</v>
      </c>
      <c r="N60" s="1975">
        <f t="shared" ref="N60:N67" si="4">IF((SUM(G60:M60))=E60,SUM(G60:M60),"Column N does not agree with Column E")</f>
        <v>70310</v>
      </c>
    </row>
    <row r="61" spans="1:14" ht="24.75" customHeight="1" x14ac:dyDescent="0.2">
      <c r="A61" s="2461" t="s">
        <v>697</v>
      </c>
      <c r="B61" s="2462"/>
      <c r="C61" s="2462"/>
      <c r="D61" s="1967">
        <v>2365</v>
      </c>
      <c r="E61" s="1977">
        <f>'Expenditures 15-22'!K323</f>
        <v>0</v>
      </c>
      <c r="F61" s="1972"/>
      <c r="G61" s="2031"/>
      <c r="H61" s="2032"/>
      <c r="I61" s="2032"/>
      <c r="J61" s="2032"/>
      <c r="K61" s="2032"/>
      <c r="L61" s="2032"/>
      <c r="M61" s="2032"/>
      <c r="N61" s="1975">
        <f t="shared" si="4"/>
        <v>0</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4"/>
        <v>0</v>
      </c>
    </row>
    <row r="63" spans="1:14" ht="24" customHeight="1" x14ac:dyDescent="0.2">
      <c r="A63" s="2438" t="s">
        <v>1022</v>
      </c>
      <c r="B63" s="2439"/>
      <c r="C63" s="2439"/>
      <c r="D63" s="1967">
        <v>2367</v>
      </c>
      <c r="E63" s="1977">
        <f>'Expenditures 15-22'!K325</f>
        <v>0</v>
      </c>
      <c r="F63" s="1972"/>
      <c r="G63" s="2031"/>
      <c r="H63" s="2032"/>
      <c r="I63" s="2032"/>
      <c r="J63" s="2032"/>
      <c r="K63" s="2032"/>
      <c r="L63" s="2032"/>
      <c r="M63" s="2032"/>
      <c r="N63" s="1975">
        <f t="shared" si="4"/>
        <v>0</v>
      </c>
    </row>
    <row r="64" spans="1:14" ht="24" customHeight="1" x14ac:dyDescent="0.2">
      <c r="A64" s="2461" t="s">
        <v>1023</v>
      </c>
      <c r="B64" s="2462"/>
      <c r="C64" s="2462"/>
      <c r="D64" s="1967">
        <v>2368</v>
      </c>
      <c r="E64" s="1977">
        <f>'Expenditures 15-22'!K326</f>
        <v>0</v>
      </c>
      <c r="F64" s="1972"/>
      <c r="G64" s="2031"/>
      <c r="H64" s="2032"/>
      <c r="I64" s="2032"/>
      <c r="J64" s="2032"/>
      <c r="K64" s="2032"/>
      <c r="L64" s="2032"/>
      <c r="M64" s="2032"/>
      <c r="N64" s="1975">
        <f t="shared" si="4"/>
        <v>0</v>
      </c>
    </row>
    <row r="65" spans="1:14" ht="24" customHeight="1" x14ac:dyDescent="0.2">
      <c r="A65" s="2461" t="s">
        <v>965</v>
      </c>
      <c r="B65" s="2462"/>
      <c r="C65" s="2462"/>
      <c r="D65" s="1967">
        <v>2369</v>
      </c>
      <c r="E65" s="1977">
        <f>'Expenditures 15-22'!K327</f>
        <v>771</v>
      </c>
      <c r="F65" s="1972"/>
      <c r="G65" s="2031">
        <v>0</v>
      </c>
      <c r="H65" s="2032">
        <v>0</v>
      </c>
      <c r="I65" s="2032">
        <v>0</v>
      </c>
      <c r="J65" s="2032">
        <v>0</v>
      </c>
      <c r="K65" s="2032">
        <v>0</v>
      </c>
      <c r="L65" s="2032">
        <v>0</v>
      </c>
      <c r="M65" s="2032">
        <v>771</v>
      </c>
      <c r="N65" s="1975">
        <f t="shared" si="4"/>
        <v>771</v>
      </c>
    </row>
    <row r="66" spans="1:14" ht="24" customHeight="1" x14ac:dyDescent="0.2">
      <c r="A66" s="2461" t="s">
        <v>469</v>
      </c>
      <c r="B66" s="2462"/>
      <c r="C66" s="2462"/>
      <c r="D66" s="1967">
        <v>2371</v>
      </c>
      <c r="E66" s="1977">
        <f>'Expenditures 15-22'!K328</f>
        <v>0</v>
      </c>
      <c r="F66" s="1972"/>
      <c r="G66" s="2031"/>
      <c r="H66" s="2032"/>
      <c r="I66" s="2032"/>
      <c r="J66" s="2032"/>
      <c r="K66" s="2032"/>
      <c r="L66" s="2032"/>
      <c r="M66" s="2032"/>
      <c r="N66" s="1975">
        <f t="shared" si="4"/>
        <v>0</v>
      </c>
    </row>
    <row r="67" spans="1:14" ht="24.75" customHeight="1" x14ac:dyDescent="0.2">
      <c r="A67" s="2463" t="s">
        <v>2042</v>
      </c>
      <c r="B67" s="2464"/>
      <c r="C67" s="2464"/>
      <c r="D67" s="1969">
        <v>2372</v>
      </c>
      <c r="E67" s="1978">
        <f>'Expenditures 15-22'!K329</f>
        <v>0</v>
      </c>
      <c r="F67" s="1972"/>
      <c r="G67" s="2033"/>
      <c r="H67" s="2034"/>
      <c r="I67" s="2034"/>
      <c r="J67" s="2034"/>
      <c r="K67" s="2034"/>
      <c r="L67" s="2034"/>
      <c r="M67" s="2034"/>
      <c r="N67" s="1975">
        <f t="shared" si="4"/>
        <v>0</v>
      </c>
    </row>
    <row r="68" spans="1:14" x14ac:dyDescent="0.2">
      <c r="A68" s="2465" t="s">
        <v>1151</v>
      </c>
      <c r="B68" s="2466"/>
      <c r="C68" s="2466"/>
      <c r="D68" s="1970"/>
      <c r="E68" s="1974">
        <f>SUM(E57:E67)</f>
        <v>88632</v>
      </c>
      <c r="F68" s="1973"/>
      <c r="G68" s="1974">
        <f t="shared" ref="G68:N68" si="5">SUM(G57:G67)</f>
        <v>852</v>
      </c>
      <c r="H68" s="1974">
        <f t="shared" si="5"/>
        <v>0</v>
      </c>
      <c r="I68" s="1974">
        <f t="shared" si="5"/>
        <v>0</v>
      </c>
      <c r="J68" s="1974">
        <f t="shared" si="5"/>
        <v>0</v>
      </c>
      <c r="K68" s="1974">
        <f t="shared" si="5"/>
        <v>0</v>
      </c>
      <c r="L68" s="1974">
        <f t="shared" si="5"/>
        <v>0</v>
      </c>
      <c r="M68" s="1974">
        <f t="shared" si="5"/>
        <v>87780</v>
      </c>
      <c r="N68" s="1988">
        <f t="shared" si="5"/>
        <v>88632</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5"/>
  <sheetViews>
    <sheetView showGridLines="0" zoomScale="110" zoomScaleNormal="110" workbookViewId="0">
      <selection activeCell="B9" sqref="B9"/>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2074</v>
      </c>
    </row>
    <row r="6" spans="1:2" x14ac:dyDescent="0.2">
      <c r="A6" s="847">
        <v>2</v>
      </c>
      <c r="B6" s="307" t="s">
        <v>2075</v>
      </c>
    </row>
    <row r="7" spans="1:2" x14ac:dyDescent="0.2">
      <c r="A7" s="847">
        <v>3</v>
      </c>
      <c r="B7" s="307" t="s">
        <v>2076</v>
      </c>
    </row>
    <row r="8" spans="1:2" x14ac:dyDescent="0.2">
      <c r="A8" s="847">
        <v>4</v>
      </c>
      <c r="B8" s="307" t="s">
        <v>2077</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Cobden SUD 17</v>
      </c>
    </row>
    <row r="65" spans="2:2" x14ac:dyDescent="0.2">
      <c r="B65" s="849">
        <f>COVER!A13</f>
        <v>30091017022</v>
      </c>
    </row>
  </sheetData>
  <phoneticPr fontId="15" type="noConversion"/>
  <pageMargins left="0.2" right="0.2" top="1.17" bottom="0.75" header="0.19" footer="0.16"/>
  <pageSetup scale="79"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pageSetUpPr fitToPage="1"/>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93"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4729500</v>
      </c>
      <c r="C8" s="1813">
        <f>'Acct Summary 7-8'!D8</f>
        <v>243339</v>
      </c>
      <c r="D8" s="1813">
        <f>'Acct Summary 7-8'!F8</f>
        <v>344680</v>
      </c>
      <c r="E8" s="1813">
        <f>'Acct Summary 7-8'!I8</f>
        <v>19279</v>
      </c>
      <c r="F8" s="1813">
        <f>SUM(B8:E8)</f>
        <v>5336798</v>
      </c>
    </row>
    <row r="9" spans="1:8" s="858" customFormat="1" ht="14.25" customHeight="1" thickBot="1" x14ac:dyDescent="0.25">
      <c r="A9" s="857" t="s">
        <v>1353</v>
      </c>
      <c r="B9" s="1814">
        <f>'Acct Summary 7-8'!C17</f>
        <v>4971841</v>
      </c>
      <c r="C9" s="1814">
        <f>'Acct Summary 7-8'!D17</f>
        <v>289179</v>
      </c>
      <c r="D9" s="1814">
        <f>'Acct Summary 7-8'!F17</f>
        <v>336640</v>
      </c>
      <c r="E9" s="1813"/>
      <c r="F9" s="1813">
        <f>SUM(B9:E9)</f>
        <v>5597660</v>
      </c>
    </row>
    <row r="10" spans="1:8" s="858" customFormat="1" ht="14.25" thickTop="1" thickBot="1" x14ac:dyDescent="0.25">
      <c r="A10" s="859" t="s">
        <v>1354</v>
      </c>
      <c r="B10" s="1815">
        <f>(B8-B9)</f>
        <v>-242341</v>
      </c>
      <c r="C10" s="1815">
        <f>(C8-C9)</f>
        <v>-45840</v>
      </c>
      <c r="D10" s="1815">
        <f>(D8-D9)</f>
        <v>8040</v>
      </c>
      <c r="E10" s="1814">
        <f>(E8-E9)</f>
        <v>19279</v>
      </c>
      <c r="F10" s="1816">
        <f>SUM(F8-F9)</f>
        <v>-260862</v>
      </c>
    </row>
    <row r="11" spans="1:8" s="858" customFormat="1" ht="14.25" thickTop="1" thickBot="1" x14ac:dyDescent="0.25">
      <c r="A11" s="860" t="s">
        <v>1903</v>
      </c>
      <c r="B11" s="1817">
        <f>'Acct Summary 7-8'!C81</f>
        <v>2599522</v>
      </c>
      <c r="C11" s="1817">
        <f>'Acct Summary 7-8'!D81</f>
        <v>490199</v>
      </c>
      <c r="D11" s="1817">
        <f>'Acct Summary 7-8'!F81</f>
        <v>50972</v>
      </c>
      <c r="E11" s="1817">
        <f>'Acct Summary 7-8'!I81</f>
        <v>351003</v>
      </c>
      <c r="F11" s="1818">
        <f>SUM(B11:E11)</f>
        <v>3491696</v>
      </c>
    </row>
    <row r="12" spans="1:8" ht="16.5" customHeight="1" thickTop="1" x14ac:dyDescent="0.2">
      <c r="A12" s="861"/>
      <c r="B12" s="862"/>
      <c r="C12" s="2472" t="str">
        <f>IF(AND(F10&lt;0,F11&gt;=0,ABS(F10*3)&gt;ABS(F11)),A16,IF(AND(F10&lt;0,F11&gt;0,ABS(F10*3)&lt;=ABS(F11)),A17,IF(AND(F10&lt;0,F11&lt;0),A16,IF(F11=0,A19,A18))))</f>
        <v>Unbalanced -  however, a deficit reduction plan is not required at this time.</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0"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30091017022</v>
      </c>
      <c r="E2" s="1542">
        <v>2020</v>
      </c>
      <c r="F2" s="1542">
        <v>1</v>
      </c>
      <c r="G2" s="1899">
        <v>101000300</v>
      </c>
    </row>
    <row r="3" spans="1:7" ht="15" x14ac:dyDescent="0.25">
      <c r="A3" t="s">
        <v>950</v>
      </c>
      <c r="B3" s="135" t="str">
        <f>COVER!A15</f>
        <v>UNION</v>
      </c>
      <c r="E3" s="1830" t="s">
        <v>1971</v>
      </c>
      <c r="F3" s="1830" t="s">
        <v>1970</v>
      </c>
      <c r="G3" s="1899">
        <v>101000400</v>
      </c>
    </row>
    <row r="4" spans="1:7" ht="15" x14ac:dyDescent="0.25">
      <c r="A4" t="s">
        <v>1000</v>
      </c>
      <c r="B4" s="135" t="str">
        <f>COVER!A17</f>
        <v xml:space="preserve"> Cobden SUD 17</v>
      </c>
      <c r="E4" s="1828">
        <v>44119</v>
      </c>
      <c r="F4" s="1829">
        <v>44151</v>
      </c>
      <c r="G4" s="1899">
        <v>101000600</v>
      </c>
    </row>
    <row r="5" spans="1:7" ht="15" x14ac:dyDescent="0.25">
      <c r="A5" t="s">
        <v>699</v>
      </c>
      <c r="B5" s="135" t="str">
        <f>COVER!A38</f>
        <v>EDWIN SHOEMATE</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066-005023</v>
      </c>
      <c r="G15" s="1899">
        <v>402100400</v>
      </c>
    </row>
    <row r="16" spans="1:7" ht="15" x14ac:dyDescent="0.25">
      <c r="A16" t="s">
        <v>419</v>
      </c>
      <c r="B16" s="135" t="str">
        <f>COVER!T13</f>
        <v>BEUSSINK HICKAM &amp; KOCHEL PC</v>
      </c>
      <c r="G16" s="1899">
        <v>402100600</v>
      </c>
    </row>
    <row r="17" spans="1:7" ht="15" x14ac:dyDescent="0.25">
      <c r="A17" t="s">
        <v>878</v>
      </c>
      <c r="B17" s="135" t="str">
        <f>COVER!T15</f>
        <v>SCOTT A HICKAM CPA</v>
      </c>
      <c r="G17" s="1899">
        <v>402100800</v>
      </c>
    </row>
    <row r="18" spans="1:7" ht="15" x14ac:dyDescent="0.25">
      <c r="A18" t="s">
        <v>1140</v>
      </c>
      <c r="B18" s="135" t="str">
        <f>COVER!T17</f>
        <v>139 W VIENNA ST - PO BOX 556</v>
      </c>
      <c r="G18" s="1899">
        <v>102200300</v>
      </c>
    </row>
    <row r="19" spans="1:7" ht="15" x14ac:dyDescent="0.25">
      <c r="A19" t="s">
        <v>880</v>
      </c>
      <c r="B19" s="135" t="str">
        <f>COVER!T25</f>
        <v>shickam@frontier.com</v>
      </c>
      <c r="G19" s="1899">
        <v>102200400</v>
      </c>
    </row>
    <row r="20" spans="1:7" ht="15" x14ac:dyDescent="0.25">
      <c r="A20" t="s">
        <v>881</v>
      </c>
      <c r="B20" s="135" t="str">
        <f>COVER!T19</f>
        <v>ANNA</v>
      </c>
      <c r="G20" s="1899">
        <v>102200600</v>
      </c>
    </row>
    <row r="21" spans="1:7" ht="15" x14ac:dyDescent="0.25">
      <c r="A21" t="s">
        <v>476</v>
      </c>
      <c r="B21" s="135" t="str">
        <f>COVER!X19</f>
        <v>IL</v>
      </c>
      <c r="G21" s="1899">
        <v>102200800</v>
      </c>
    </row>
    <row r="22" spans="1:7" ht="15" x14ac:dyDescent="0.25">
      <c r="A22" t="s">
        <v>882</v>
      </c>
      <c r="B22" s="135">
        <f>COVER!Z19</f>
        <v>62906</v>
      </c>
      <c r="G22" s="1899">
        <v>102300300</v>
      </c>
    </row>
    <row r="23" spans="1:7" ht="15" x14ac:dyDescent="0.25">
      <c r="A23" t="s">
        <v>1142</v>
      </c>
      <c r="B23" s="135" t="str">
        <f>COVER!T21</f>
        <v>618-833-2721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Yes</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35431</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2599522</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2599522</v>
      </c>
      <c r="D92" s="2" t="str">
        <f t="shared" si="0"/>
        <v>Error?</v>
      </c>
      <c r="G92" s="1899">
        <v>102640600</v>
      </c>
    </row>
    <row r="93" spans="1:7" ht="15" x14ac:dyDescent="0.25">
      <c r="A93" s="5">
        <v>32</v>
      </c>
      <c r="B93" s="1832">
        <f>'Assets-Liab 5-6'!C41</f>
        <v>2599522</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490199</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440199</v>
      </c>
      <c r="D123" s="2" t="str">
        <f t="shared" si="0"/>
        <v>Error?</v>
      </c>
      <c r="G123" s="1899">
        <v>203000400</v>
      </c>
    </row>
    <row r="124" spans="1:7" ht="15" x14ac:dyDescent="0.25">
      <c r="A124" s="5">
        <v>63</v>
      </c>
      <c r="B124" s="1832">
        <f>'Assets-Liab 5-6'!D41</f>
        <v>490199</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57469</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57469</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50972</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50972</v>
      </c>
      <c r="D170" s="2" t="str">
        <f t="shared" si="1"/>
        <v>Error?</v>
      </c>
    </row>
    <row r="171" spans="1:4" x14ac:dyDescent="0.2">
      <c r="A171" s="5">
        <v>110</v>
      </c>
      <c r="B171" s="1832">
        <f>'Assets-Liab 5-6'!F41</f>
        <v>50972</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18040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18040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54231</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54231</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106866</v>
      </c>
      <c r="D273" s="2" t="str">
        <f t="shared" si="3"/>
        <v>Error?</v>
      </c>
    </row>
    <row r="274" spans="1:4" x14ac:dyDescent="0.2">
      <c r="A274" s="5">
        <v>213</v>
      </c>
      <c r="B274" s="1832">
        <f>'Assets-Liab 5-6'!M17</f>
        <v>10173526</v>
      </c>
      <c r="D274" s="2" t="str">
        <f t="shared" si="3"/>
        <v>Error?</v>
      </c>
    </row>
    <row r="275" spans="1:4" x14ac:dyDescent="0.2">
      <c r="A275" s="5">
        <v>214</v>
      </c>
      <c r="B275" s="1832">
        <f>'Assets-Liab 5-6'!M18</f>
        <v>907663</v>
      </c>
      <c r="D275" s="2" t="str">
        <f t="shared" si="3"/>
        <v>Error?</v>
      </c>
    </row>
    <row r="276" spans="1:4" x14ac:dyDescent="0.2">
      <c r="A276" s="5">
        <v>215</v>
      </c>
      <c r="B276" s="1832">
        <f>'Assets-Liab 5-6'!M19</f>
        <v>1693558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12881613</v>
      </c>
      <c r="C279" s="2" t="s">
        <v>569</v>
      </c>
      <c r="D279" s="2" t="str">
        <f t="shared" si="3"/>
        <v>Error?</v>
      </c>
    </row>
    <row r="280" spans="1:4" x14ac:dyDescent="0.2">
      <c r="A280" s="5">
        <v>219</v>
      </c>
      <c r="B280" s="1832">
        <f>'Assets-Liab 5-6'!M40</f>
        <v>12881613</v>
      </c>
      <c r="D280" s="2" t="str">
        <f t="shared" si="3"/>
        <v>Error?</v>
      </c>
    </row>
    <row r="281" spans="1:4" x14ac:dyDescent="0.2">
      <c r="A281" s="5">
        <v>220</v>
      </c>
      <c r="B281" s="1832">
        <f>'Assets-Liab 5-6'!M41</f>
        <v>12881613</v>
      </c>
      <c r="C281" s="2" t="s">
        <v>569</v>
      </c>
      <c r="D281" s="2" t="str">
        <f t="shared" si="3"/>
        <v>Error?</v>
      </c>
    </row>
    <row r="282" spans="1:4" x14ac:dyDescent="0.2">
      <c r="A282" s="5">
        <v>221</v>
      </c>
      <c r="B282" s="1832">
        <f>'Assets-Liab 5-6'!N21</f>
        <v>57469</v>
      </c>
      <c r="D282" s="2" t="str">
        <f t="shared" si="3"/>
        <v>Error?</v>
      </c>
    </row>
    <row r="283" spans="1:4" x14ac:dyDescent="0.2">
      <c r="A283" s="5">
        <v>222</v>
      </c>
      <c r="B283" s="1832">
        <f>'Assets-Liab 5-6'!N22</f>
        <v>1407531</v>
      </c>
      <c r="D283" s="2" t="str">
        <f t="shared" si="3"/>
        <v>Error?</v>
      </c>
    </row>
    <row r="284" spans="1:4" x14ac:dyDescent="0.2">
      <c r="A284" s="5">
        <v>223</v>
      </c>
      <c r="B284" s="1832">
        <f>'Assets-Liab 5-6'!N23</f>
        <v>1465000</v>
      </c>
      <c r="C284" s="2" t="s">
        <v>569</v>
      </c>
      <c r="D284" s="2" t="str">
        <f t="shared" si="3"/>
        <v>Error?</v>
      </c>
    </row>
    <row r="285" spans="1:4" x14ac:dyDescent="0.2">
      <c r="A285" s="5">
        <v>224</v>
      </c>
      <c r="B285" s="1832">
        <f>'Assets-Liab 5-6'!N36</f>
        <v>1465000</v>
      </c>
      <c r="D285" s="2" t="str">
        <f t="shared" si="3"/>
        <v>Error?</v>
      </c>
    </row>
    <row r="286" spans="1:4" x14ac:dyDescent="0.2">
      <c r="A286" s="10">
        <v>225</v>
      </c>
      <c r="B286" s="1832"/>
      <c r="D286" s="2" t="str">
        <f t="shared" si="3"/>
        <v>OK</v>
      </c>
    </row>
    <row r="287" spans="1:4" x14ac:dyDescent="0.2">
      <c r="A287" s="5">
        <v>226</v>
      </c>
      <c r="B287" s="1832">
        <f>'Assets-Liab 5-6'!N37</f>
        <v>1465000</v>
      </c>
      <c r="C287" s="2" t="s">
        <v>569</v>
      </c>
      <c r="D287" s="2" t="str">
        <f t="shared" si="3"/>
        <v>Error?</v>
      </c>
    </row>
    <row r="288" spans="1:4" x14ac:dyDescent="0.2">
      <c r="A288" s="5">
        <v>227</v>
      </c>
      <c r="B288" s="1832">
        <f>'Assets-Liab 5-6'!N41</f>
        <v>1465000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1678754</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131529</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136900</v>
      </c>
      <c r="D717" s="2" t="str">
        <f t="shared" si="10"/>
        <v>Error?</v>
      </c>
    </row>
    <row r="718" spans="1:4" x14ac:dyDescent="0.2">
      <c r="A718" s="5">
        <v>657</v>
      </c>
      <c r="B718" s="1832">
        <f>'Expenditures 15-22'!C14</f>
        <v>60314</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2473919</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42981</v>
      </c>
      <c r="D722" s="2" t="str">
        <f t="shared" si="10"/>
        <v>Error?</v>
      </c>
    </row>
    <row r="723" spans="1:4" x14ac:dyDescent="0.2">
      <c r="A723" s="5">
        <v>662</v>
      </c>
      <c r="B723" s="1832">
        <f>'Expenditures 15-22'!C38</f>
        <v>47652</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51396</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142029</v>
      </c>
      <c r="C727" s="2" t="s">
        <v>569</v>
      </c>
      <c r="D727" s="2" t="str">
        <f t="shared" si="10"/>
        <v>Error?</v>
      </c>
    </row>
    <row r="728" spans="1:4" x14ac:dyDescent="0.2">
      <c r="A728" s="5">
        <v>667</v>
      </c>
      <c r="B728" s="1832">
        <f>'Expenditures 15-22'!C44</f>
        <v>94953</v>
      </c>
      <c r="D728" s="2" t="str">
        <f t="shared" si="10"/>
        <v>Error?</v>
      </c>
    </row>
    <row r="729" spans="1:4" x14ac:dyDescent="0.2">
      <c r="A729" s="5">
        <v>668</v>
      </c>
      <c r="B729" s="1832">
        <f>'Expenditures 15-22'!C45</f>
        <v>1431</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96384</v>
      </c>
      <c r="C731" s="2" t="s">
        <v>569</v>
      </c>
      <c r="D731" s="2" t="str">
        <f t="shared" si="10"/>
        <v>Error?</v>
      </c>
    </row>
    <row r="732" spans="1:4" x14ac:dyDescent="0.2">
      <c r="A732" s="5">
        <v>671</v>
      </c>
      <c r="B732" s="1832">
        <f>'Expenditures 15-22'!C49</f>
        <v>3150</v>
      </c>
      <c r="D732" s="2" t="str">
        <f t="shared" si="10"/>
        <v>Error?</v>
      </c>
    </row>
    <row r="733" spans="1:4" x14ac:dyDescent="0.2">
      <c r="A733" s="5">
        <v>672</v>
      </c>
      <c r="B733" s="1832">
        <f>'Expenditures 15-22'!C50</f>
        <v>163074</v>
      </c>
      <c r="D733" s="2" t="str">
        <f t="shared" si="10"/>
        <v>Error?</v>
      </c>
    </row>
    <row r="734" spans="1:4" x14ac:dyDescent="0.2">
      <c r="A734" s="5">
        <v>673</v>
      </c>
      <c r="B734" s="1832">
        <f>'Expenditures 15-22'!C53</f>
        <v>166224</v>
      </c>
      <c r="C734" s="2" t="s">
        <v>569</v>
      </c>
      <c r="D734" s="2" t="str">
        <f t="shared" si="10"/>
        <v>Error?</v>
      </c>
    </row>
    <row r="735" spans="1:4" x14ac:dyDescent="0.2">
      <c r="A735" s="5">
        <v>674</v>
      </c>
      <c r="B735" s="1832">
        <f>'Expenditures 15-22'!C55</f>
        <v>126711</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126711</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54339</v>
      </c>
      <c r="D739" s="2" t="str">
        <f t="shared" si="10"/>
        <v>Error?</v>
      </c>
    </row>
    <row r="740" spans="1:4" x14ac:dyDescent="0.2">
      <c r="A740" s="5">
        <v>679</v>
      </c>
      <c r="B740" s="1832">
        <f>'Expenditures 15-22'!C61</f>
        <v>197065</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96164</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347568</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878916</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3352835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306426</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20666</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28658</v>
      </c>
      <c r="D775" s="2" t="str">
        <f t="shared" si="11"/>
        <v>Error?</v>
      </c>
    </row>
    <row r="776" spans="1:4" x14ac:dyDescent="0.2">
      <c r="A776" s="5">
        <v>715</v>
      </c>
      <c r="B776" s="1832">
        <f>'Expenditures 15-22'!D14</f>
        <v>2084</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440369</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5605</v>
      </c>
      <c r="D780" s="2" t="str">
        <f t="shared" si="11"/>
        <v>Error?</v>
      </c>
    </row>
    <row r="781" spans="1:4" x14ac:dyDescent="0.2">
      <c r="A781" s="5">
        <v>720</v>
      </c>
      <c r="B781" s="1832">
        <f>'Expenditures 15-22'!D38</f>
        <v>14</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11727</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17346</v>
      </c>
      <c r="C785" s="2" t="s">
        <v>569</v>
      </c>
      <c r="D785" s="2" t="str">
        <f t="shared" si="11"/>
        <v>Error?</v>
      </c>
    </row>
    <row r="786" spans="1:4" x14ac:dyDescent="0.2">
      <c r="A786" s="5">
        <v>725</v>
      </c>
      <c r="B786" s="1832">
        <f>'Expenditures 15-22'!D44</f>
        <v>6313</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6313</v>
      </c>
      <c r="C789" s="2" t="s">
        <v>569</v>
      </c>
      <c r="D789" s="2" t="str">
        <f t="shared" si="11"/>
        <v>Error?</v>
      </c>
    </row>
    <row r="790" spans="1:4" x14ac:dyDescent="0.2">
      <c r="A790" s="5">
        <v>729</v>
      </c>
      <c r="B790" s="1832">
        <f>'Expenditures 15-22'!D49</f>
        <v>593</v>
      </c>
      <c r="D790" s="2" t="str">
        <f t="shared" si="11"/>
        <v>Error?</v>
      </c>
    </row>
    <row r="791" spans="1:4" x14ac:dyDescent="0.2">
      <c r="A791" s="5">
        <v>730</v>
      </c>
      <c r="B791" s="1832">
        <f>'Expenditures 15-22'!D50</f>
        <v>32114</v>
      </c>
      <c r="D791" s="2" t="str">
        <f t="shared" si="11"/>
        <v>Error?</v>
      </c>
    </row>
    <row r="792" spans="1:4" x14ac:dyDescent="0.2">
      <c r="A792" s="5">
        <v>731</v>
      </c>
      <c r="B792" s="1832">
        <f>'Expenditures 15-22'!D53</f>
        <v>32707</v>
      </c>
      <c r="C792" s="2" t="s">
        <v>569</v>
      </c>
      <c r="D792" s="2" t="str">
        <f t="shared" si="11"/>
        <v>Error?</v>
      </c>
    </row>
    <row r="793" spans="1:4" x14ac:dyDescent="0.2">
      <c r="A793" s="5">
        <v>732</v>
      </c>
      <c r="B793" s="1832">
        <f>'Expenditures 15-22'!D55</f>
        <v>22097</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22097</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8124</v>
      </c>
      <c r="D797" s="2" t="str">
        <f t="shared" si="11"/>
        <v>Error?</v>
      </c>
    </row>
    <row r="798" spans="1:4" x14ac:dyDescent="0.2">
      <c r="A798" s="5">
        <v>737</v>
      </c>
      <c r="B798" s="1832">
        <f>'Expenditures 15-22'!D61</f>
        <v>17723</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13510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39357</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117820</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558189</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52520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32</v>
      </c>
      <c r="D833" s="2" t="str">
        <f t="shared" si="12"/>
        <v>Error?</v>
      </c>
    </row>
    <row r="834" spans="1:4" x14ac:dyDescent="0.2">
      <c r="A834" s="5">
        <v>773</v>
      </c>
      <c r="B834" s="1832">
        <f>'Expenditures 15-22'!E14</f>
        <v>33495</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136818</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2255</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270</v>
      </c>
      <c r="D841" s="2" t="str">
        <f t="shared" si="12"/>
        <v>Error?</v>
      </c>
    </row>
    <row r="842" spans="1:4" x14ac:dyDescent="0.2">
      <c r="A842" s="5">
        <v>781</v>
      </c>
      <c r="B842" s="1832">
        <f>'Expenditures 15-22'!E41</f>
        <v>27027</v>
      </c>
      <c r="D842" s="2" t="str">
        <f t="shared" si="12"/>
        <v>Error?</v>
      </c>
    </row>
    <row r="843" spans="1:4" x14ac:dyDescent="0.2">
      <c r="A843" s="5">
        <v>782</v>
      </c>
      <c r="B843" s="1832">
        <f>'Expenditures 15-22'!E42</f>
        <v>29552</v>
      </c>
      <c r="C843" s="2" t="s">
        <v>569</v>
      </c>
      <c r="D843" s="2" t="str">
        <f t="shared" si="12"/>
        <v>Error?</v>
      </c>
    </row>
    <row r="844" spans="1:4" x14ac:dyDescent="0.2">
      <c r="A844" s="5">
        <v>783</v>
      </c>
      <c r="B844" s="1832">
        <f>'Expenditures 15-22'!E44</f>
        <v>17681</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17681</v>
      </c>
      <c r="C847" s="2" t="s">
        <v>569</v>
      </c>
      <c r="D847" s="2" t="str">
        <f t="shared" si="12"/>
        <v>Error?</v>
      </c>
    </row>
    <row r="848" spans="1:4" x14ac:dyDescent="0.2">
      <c r="A848" s="5">
        <v>787</v>
      </c>
      <c r="B848" s="1832">
        <f>'Expenditures 15-22'!E49</f>
        <v>45147</v>
      </c>
      <c r="D848" s="2" t="str">
        <f t="shared" si="12"/>
        <v>Error?</v>
      </c>
    </row>
    <row r="849" spans="1:4" x14ac:dyDescent="0.2">
      <c r="A849" s="5">
        <v>788</v>
      </c>
      <c r="B849" s="1832">
        <f>'Expenditures 15-22'!E50</f>
        <v>4930</v>
      </c>
      <c r="D849" s="2" t="str">
        <f t="shared" si="12"/>
        <v>Error?</v>
      </c>
    </row>
    <row r="850" spans="1:4" x14ac:dyDescent="0.2">
      <c r="A850" s="5">
        <v>789</v>
      </c>
      <c r="B850" s="1832">
        <f>'Expenditures 15-22'!E53</f>
        <v>50077</v>
      </c>
      <c r="C850" s="2" t="s">
        <v>569</v>
      </c>
      <c r="D850" s="2" t="str">
        <f t="shared" si="12"/>
        <v>Error?</v>
      </c>
    </row>
    <row r="851" spans="1:4" x14ac:dyDescent="0.2">
      <c r="A851" s="5">
        <v>790</v>
      </c>
      <c r="B851" s="1832">
        <f>'Expenditures 15-22'!E55</f>
        <v>23492</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23492</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25924</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6530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32454</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153256</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290074</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175073</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363</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5196</v>
      </c>
      <c r="D891" s="2" t="str">
        <f t="shared" si="12"/>
        <v>Error?</v>
      </c>
    </row>
    <row r="892" spans="1:4" x14ac:dyDescent="0.2">
      <c r="A892" s="5">
        <v>831</v>
      </c>
      <c r="B892" s="1832">
        <f>'Expenditures 15-22'!F14</f>
        <v>16007</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238925</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2432</v>
      </c>
      <c r="D896" s="2" t="str">
        <f t="shared" si="13"/>
        <v>Error?</v>
      </c>
    </row>
    <row r="897" spans="1:4" x14ac:dyDescent="0.2">
      <c r="A897" s="5">
        <v>836</v>
      </c>
      <c r="B897" s="1832">
        <f>'Expenditures 15-22'!F38</f>
        <v>1406</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527</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4365</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791</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791</v>
      </c>
      <c r="C905" s="2" t="s">
        <v>569</v>
      </c>
      <c r="D905" s="2" t="str">
        <f t="shared" si="13"/>
        <v>Error?</v>
      </c>
    </row>
    <row r="906" spans="1:4" x14ac:dyDescent="0.2">
      <c r="A906" s="5">
        <v>845</v>
      </c>
      <c r="B906" s="1832">
        <f>'Expenditures 15-22'!F49</f>
        <v>169</v>
      </c>
      <c r="D906" s="2" t="str">
        <f t="shared" si="13"/>
        <v>Error?</v>
      </c>
    </row>
    <row r="907" spans="1:4" x14ac:dyDescent="0.2">
      <c r="A907" s="5">
        <v>846</v>
      </c>
      <c r="B907" s="1832">
        <f>'Expenditures 15-22'!F50</f>
        <v>481</v>
      </c>
      <c r="D907" s="2" t="str">
        <f t="shared" si="13"/>
        <v>Error?</v>
      </c>
    </row>
    <row r="908" spans="1:4" x14ac:dyDescent="0.2">
      <c r="A908" s="5">
        <v>847</v>
      </c>
      <c r="B908" s="1832">
        <f>'Expenditures 15-22'!F53</f>
        <v>650</v>
      </c>
      <c r="C908" s="2" t="s">
        <v>569</v>
      </c>
      <c r="D908" s="2" t="str">
        <f t="shared" si="13"/>
        <v>Error?</v>
      </c>
    </row>
    <row r="909" spans="1:4" x14ac:dyDescent="0.2">
      <c r="A909" s="5">
        <v>848</v>
      </c>
      <c r="B909" s="1832">
        <f>'Expenditures 15-22'!F55</f>
        <v>4358</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4358</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964</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194834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195798</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205962</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444887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4292</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4292</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4292</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6000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7538</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26</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26</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26</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314000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321564</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2223065</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152558</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170786</v>
      </c>
      <c r="C1105" s="2" t="s">
        <v>569</v>
      </c>
      <c r="D1105" s="2" t="str">
        <f t="shared" si="16"/>
        <v>Error?</v>
      </c>
    </row>
    <row r="1106" spans="1:4" x14ac:dyDescent="0.2">
      <c r="A1106" s="5">
        <v>1045</v>
      </c>
      <c r="B1106" s="1832">
        <f>'Expenditures 15-22'!K14</f>
        <v>111900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3301861</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51018</v>
      </c>
      <c r="C1110" s="2" t="s">
        <v>569</v>
      </c>
      <c r="D1110" s="2" t="str">
        <f t="shared" si="16"/>
        <v>Error?</v>
      </c>
    </row>
    <row r="1111" spans="1:4" x14ac:dyDescent="0.2">
      <c r="A1111" s="5">
        <v>1050</v>
      </c>
      <c r="B1111" s="1832">
        <f>'Expenditures 15-22'!K38</f>
        <v>51327</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63920</v>
      </c>
      <c r="C1113" s="2" t="s">
        <v>569</v>
      </c>
      <c r="D1113" s="2" t="str">
        <f t="shared" si="16"/>
        <v>Error?</v>
      </c>
    </row>
    <row r="1114" spans="1:4" x14ac:dyDescent="0.2">
      <c r="A1114" s="5">
        <v>1053</v>
      </c>
      <c r="B1114" s="1832">
        <f>'Expenditures 15-22'!K41</f>
        <v>27027</v>
      </c>
      <c r="C1114" s="2" t="s">
        <v>569</v>
      </c>
      <c r="D1114" s="2" t="str">
        <f t="shared" si="16"/>
        <v>Error?</v>
      </c>
    </row>
    <row r="1115" spans="1:4" x14ac:dyDescent="0.2">
      <c r="A1115" s="5">
        <v>1054</v>
      </c>
      <c r="B1115" s="1832">
        <f>'Expenditures 15-22'!K42</f>
        <v>193292</v>
      </c>
      <c r="C1115" s="2" t="s">
        <v>569</v>
      </c>
      <c r="D1115" s="2" t="str">
        <f t="shared" si="16"/>
        <v>Error?</v>
      </c>
    </row>
    <row r="1116" spans="1:4" x14ac:dyDescent="0.2">
      <c r="A1116" s="5">
        <v>1055</v>
      </c>
      <c r="B1116" s="1832">
        <f>'Expenditures 15-22'!K44</f>
        <v>118947</v>
      </c>
      <c r="C1116" s="2" t="s">
        <v>569</v>
      </c>
      <c r="D1116" s="2" t="str">
        <f t="shared" si="16"/>
        <v>Error?</v>
      </c>
    </row>
    <row r="1117" spans="1:4" x14ac:dyDescent="0.2">
      <c r="A1117" s="5">
        <v>1056</v>
      </c>
      <c r="B1117" s="1832">
        <f>'Expenditures 15-22'!K45</f>
        <v>2222</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121169</v>
      </c>
      <c r="C1119" s="2" t="s">
        <v>569</v>
      </c>
      <c r="D1119" s="2" t="str">
        <f t="shared" si="16"/>
        <v>Error?</v>
      </c>
    </row>
    <row r="1120" spans="1:4" x14ac:dyDescent="0.2">
      <c r="A1120" s="5">
        <v>1059</v>
      </c>
      <c r="B1120" s="1832">
        <f>'Expenditures 15-22'!K49</f>
        <v>49059</v>
      </c>
      <c r="C1120" s="2" t="s">
        <v>569</v>
      </c>
      <c r="D1120" s="2" t="str">
        <f t="shared" si="16"/>
        <v>Error?</v>
      </c>
    </row>
    <row r="1121" spans="1:4" x14ac:dyDescent="0.2">
      <c r="A1121" s="5">
        <v>1060</v>
      </c>
      <c r="B1121" s="1832">
        <f>'Expenditures 15-22'!K50</f>
        <v>200599</v>
      </c>
      <c r="C1121" s="2" t="s">
        <v>569</v>
      </c>
      <c r="D1121" s="2" t="str">
        <f t="shared" si="16"/>
        <v>Error?</v>
      </c>
    </row>
    <row r="1122" spans="1:4" x14ac:dyDescent="0.2">
      <c r="A1122" s="5">
        <v>1061</v>
      </c>
      <c r="B1122" s="1832">
        <f>'Expenditures 15-22'!K53</f>
        <v>249658</v>
      </c>
      <c r="C1122" s="2" t="s">
        <v>569</v>
      </c>
      <c r="D1122" s="2" t="str">
        <f t="shared" si="16"/>
        <v>Error?</v>
      </c>
    </row>
    <row r="1123" spans="1:4" x14ac:dyDescent="0.2">
      <c r="A1123" s="5">
        <v>1062</v>
      </c>
      <c r="B1123" s="1832">
        <f>'Expenditures 15-22'!K55</f>
        <v>176658</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176658</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62463</v>
      </c>
      <c r="C1127" s="2" t="s">
        <v>569</v>
      </c>
      <c r="D1127" s="2" t="str">
        <f t="shared" si="16"/>
        <v>Error?</v>
      </c>
    </row>
    <row r="1128" spans="1:4" x14ac:dyDescent="0.2">
      <c r="A1128" s="5">
        <v>1067</v>
      </c>
      <c r="B1128" s="1832">
        <f>'Expenditures 15-22'!K61</f>
        <v>241676</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311064</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615203</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1355980</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314000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4971841</v>
      </c>
      <c r="C1152" s="2" t="s">
        <v>569</v>
      </c>
      <c r="D1152" s="2" t="str">
        <f t="shared" si="17"/>
        <v>Error?</v>
      </c>
    </row>
    <row r="1153" spans="1:4" x14ac:dyDescent="0.2">
      <c r="A1153" s="5">
        <v>1092</v>
      </c>
      <c r="B1153" s="1832">
        <f>'Expenditures 15-22'!K115</f>
        <v>-242341</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58892</v>
      </c>
      <c r="D1237" s="2" t="str">
        <f t="shared" si="18"/>
        <v>Error?</v>
      </c>
    </row>
    <row r="1238" spans="1:4" x14ac:dyDescent="0.2">
      <c r="A1238" s="10">
        <v>1177</v>
      </c>
      <c r="B1238" s="1832"/>
      <c r="D1238" s="2" t="str">
        <f t="shared" si="18"/>
        <v>OK</v>
      </c>
    </row>
    <row r="1239" spans="1:4" x14ac:dyDescent="0.2">
      <c r="A1239" s="5">
        <v>1178</v>
      </c>
      <c r="B1239" s="1832">
        <f>'Expenditures 15-22'!E127</f>
        <v>58892</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58892</v>
      </c>
      <c r="C1241" s="2" t="s">
        <v>569</v>
      </c>
      <c r="D1241" s="2" t="str">
        <f t="shared" si="18"/>
        <v>Error?</v>
      </c>
    </row>
    <row r="1242" spans="1:4" x14ac:dyDescent="0.2">
      <c r="A1242" s="5">
        <v>1181</v>
      </c>
      <c r="B1242" s="1832">
        <f>'Expenditures 15-22'!E151</f>
        <v>58892</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167448</v>
      </c>
      <c r="D1245" s="2" t="str">
        <f t="shared" si="18"/>
        <v>Error?</v>
      </c>
    </row>
    <row r="1246" spans="1:4" x14ac:dyDescent="0.2">
      <c r="A1246" s="10">
        <v>1185</v>
      </c>
      <c r="B1246" s="1832"/>
      <c r="D1246" s="2" t="str">
        <f t="shared" si="18"/>
        <v>OK</v>
      </c>
    </row>
    <row r="1247" spans="1:4" x14ac:dyDescent="0.2">
      <c r="A1247" s="5">
        <v>1186</v>
      </c>
      <c r="B1247" s="1832">
        <f>'Expenditures 15-22'!F127</f>
        <v>167448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167448</v>
      </c>
      <c r="C1249" s="2" t="s">
        <v>569</v>
      </c>
      <c r="D1249" s="2" t="str">
        <f t="shared" si="18"/>
        <v>Error?</v>
      </c>
    </row>
    <row r="1250" spans="1:4" x14ac:dyDescent="0.2">
      <c r="A1250" s="5">
        <v>1189</v>
      </c>
      <c r="B1250" s="1832">
        <f>'Expenditures 15-22'!F151</f>
        <v>167448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62839</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62839</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62839</v>
      </c>
      <c r="C1258" s="2" t="s">
        <v>569</v>
      </c>
      <c r="D1258" s="2" t="str">
        <f t="shared" si="18"/>
        <v>Error?</v>
      </c>
    </row>
    <row r="1259" spans="1:4" x14ac:dyDescent="0.2">
      <c r="A1259" s="5">
        <v>1198</v>
      </c>
      <c r="B1259" s="1832">
        <f>'Expenditures 15-22'!G151</f>
        <v>62839</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289179</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289179</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289179</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289179</v>
      </c>
      <c r="C1288" s="2" t="s">
        <v>569</v>
      </c>
      <c r="D1288" s="2" t="str">
        <f t="shared" si="19"/>
        <v>Error?</v>
      </c>
    </row>
    <row r="1289" spans="1:4" x14ac:dyDescent="0.2">
      <c r="A1289" s="5">
        <v>1228</v>
      </c>
      <c r="B1289" s="1832">
        <f>'Expenditures 15-22'!K152</f>
        <v>-45840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51033</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195000</v>
      </c>
      <c r="D1315" s="2" t="str">
        <f t="shared" si="19"/>
        <v>Error?</v>
      </c>
    </row>
    <row r="1316" spans="1:4" x14ac:dyDescent="0.2">
      <c r="A1316" s="5">
        <v>1255</v>
      </c>
      <c r="B1316" s="1832">
        <f>'Expenditures 15-22'!H171</f>
        <v>500</v>
      </c>
      <c r="D1316" s="2" t="str">
        <f t="shared" si="19"/>
        <v>Error?</v>
      </c>
    </row>
    <row r="1317" spans="1:4" x14ac:dyDescent="0.2">
      <c r="A1317" s="5">
        <v>1256</v>
      </c>
      <c r="B1317" s="1832">
        <f>'Expenditures 15-22'!H172</f>
        <v>246533</v>
      </c>
      <c r="C1317" s="2" t="s">
        <v>569</v>
      </c>
      <c r="D1317" s="2" t="str">
        <f t="shared" si="19"/>
        <v>Error?</v>
      </c>
    </row>
    <row r="1318" spans="1:4" x14ac:dyDescent="0.2">
      <c r="A1318" s="5">
        <v>1257</v>
      </c>
      <c r="B1318" s="1832">
        <f>'Expenditures 15-22'!H174</f>
        <v>246533</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51033</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195000</v>
      </c>
      <c r="C1329" s="2" t="s">
        <v>569</v>
      </c>
      <c r="D1329" s="2" t="str">
        <f t="shared" si="19"/>
        <v>Error?</v>
      </c>
    </row>
    <row r="1330" spans="1:4" x14ac:dyDescent="0.2">
      <c r="A1330" s="5">
        <v>1269</v>
      </c>
      <c r="B1330" s="1832">
        <f>'Expenditures 15-22'!K171</f>
        <v>500</v>
      </c>
      <c r="C1330" s="2" t="s">
        <v>569</v>
      </c>
      <c r="D1330" s="2" t="str">
        <f t="shared" si="19"/>
        <v>Error?</v>
      </c>
    </row>
    <row r="1331" spans="1:4" x14ac:dyDescent="0.2">
      <c r="A1331" s="5">
        <v>1270</v>
      </c>
      <c r="B1331" s="1832">
        <f>'Expenditures 15-22'!K172</f>
        <v>246533</v>
      </c>
      <c r="C1331" s="2" t="s">
        <v>569</v>
      </c>
      <c r="D1331" s="2" t="str">
        <f t="shared" si="19"/>
        <v>Error?</v>
      </c>
    </row>
    <row r="1332" spans="1:4" x14ac:dyDescent="0.2">
      <c r="A1332" s="5">
        <v>1271</v>
      </c>
      <c r="B1332" s="1832">
        <f>'Expenditures 15-22'!K174</f>
        <v>246533</v>
      </c>
      <c r="C1332" s="2" t="s">
        <v>569</v>
      </c>
      <c r="D1332" s="2" t="str">
        <f t="shared" si="19"/>
        <v>Error?</v>
      </c>
    </row>
    <row r="1333" spans="1:4" x14ac:dyDescent="0.2">
      <c r="A1333" s="5">
        <v>1272</v>
      </c>
      <c r="B1333" s="1832">
        <f>'Expenditures 15-22'!K175</f>
        <v>361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312004</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312004</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312004</v>
      </c>
      <c r="C1353" s="2" t="s">
        <v>569</v>
      </c>
      <c r="D1353" s="2" t="str">
        <f t="shared" si="20"/>
        <v>Error?</v>
      </c>
    </row>
    <row r="1354" spans="1:4" x14ac:dyDescent="0.2">
      <c r="A1354" s="5">
        <v>1293</v>
      </c>
      <c r="B1354" s="1832">
        <f>'Expenditures 15-22'!F182</f>
        <v>24636</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24636</v>
      </c>
      <c r="C1358" s="2" t="s">
        <v>569</v>
      </c>
      <c r="D1358" s="2" t="str">
        <f t="shared" si="20"/>
        <v>Error?</v>
      </c>
    </row>
    <row r="1359" spans="1:4" x14ac:dyDescent="0.2">
      <c r="A1359" s="5">
        <v>1298</v>
      </c>
      <c r="B1359" s="1832">
        <f>'Expenditures 15-22'!F210</f>
        <v>24636</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336640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336640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336640</v>
      </c>
      <c r="C1388" s="2" t="s">
        <v>569</v>
      </c>
      <c r="D1388" s="2" t="str">
        <f t="shared" si="20"/>
        <v>Error?</v>
      </c>
    </row>
    <row r="1389" spans="1:4" x14ac:dyDescent="0.2">
      <c r="A1389" s="5">
        <v>1328</v>
      </c>
      <c r="B1389" s="1832">
        <f>'Expenditures 15-22'!K211</f>
        <v>8040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8982</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1800</v>
      </c>
      <c r="D1407" s="2" t="str">
        <f t="shared" ref="D1407:D1470" si="21">IF(ISBLANK(B1407),"OK",IF(A1407-B1407=0,"OK","Error?"))</f>
        <v>Error?</v>
      </c>
    </row>
    <row r="1408" spans="1:4" x14ac:dyDescent="0.2">
      <c r="A1408" s="5">
        <v>1347</v>
      </c>
      <c r="B1408" s="1832">
        <f>'Expenditures 15-22'!D223</f>
        <v>3764</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68949</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623</v>
      </c>
      <c r="D1412" s="2" t="str">
        <f t="shared" si="21"/>
        <v>Error?</v>
      </c>
    </row>
    <row r="1413" spans="1:4" x14ac:dyDescent="0.2">
      <c r="A1413" s="5">
        <v>1352</v>
      </c>
      <c r="B1413" s="1832">
        <f>'Expenditures 15-22'!D234</f>
        <v>8262</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687</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9572</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110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110</v>
      </c>
      <c r="C1421" s="2" t="s">
        <v>569</v>
      </c>
      <c r="D1421" s="2" t="str">
        <f t="shared" si="21"/>
        <v>Error?</v>
      </c>
    </row>
    <row r="1422" spans="1:4" x14ac:dyDescent="0.2">
      <c r="A1422" s="5">
        <v>1361</v>
      </c>
      <c r="B1422" s="1832">
        <f>'Expenditures 15-22'!D245</f>
        <v>790</v>
      </c>
      <c r="D1422" s="2" t="str">
        <f t="shared" si="21"/>
        <v>Error?</v>
      </c>
    </row>
    <row r="1423" spans="1:4" x14ac:dyDescent="0.2">
      <c r="A1423" s="5">
        <v>1362</v>
      </c>
      <c r="B1423" s="1832">
        <f>'Expenditures 15-22'!D246</f>
        <v>7808</v>
      </c>
      <c r="D1423" s="2" t="str">
        <f t="shared" si="21"/>
        <v>Error?</v>
      </c>
    </row>
    <row r="1424" spans="1:4" x14ac:dyDescent="0.2">
      <c r="A1424" s="5">
        <v>1363</v>
      </c>
      <c r="B1424" s="1832">
        <f>'Expenditures 15-22'!D257</f>
        <v>8598</v>
      </c>
      <c r="C1424" s="2" t="s">
        <v>569</v>
      </c>
      <c r="D1424" s="2" t="str">
        <f t="shared" si="21"/>
        <v>Error?</v>
      </c>
    </row>
    <row r="1425" spans="1:4" x14ac:dyDescent="0.2">
      <c r="A1425" s="5">
        <v>1364</v>
      </c>
      <c r="B1425" s="1832">
        <f>'Expenditures 15-22'!D259</f>
        <v>10870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10870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9601</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32001</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15552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57154</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86304</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155253</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8982</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1800</v>
      </c>
      <c r="C1471" s="2" t="s">
        <v>569</v>
      </c>
      <c r="D1471" s="2" t="str">
        <f t="shared" ref="D1471:D1534" si="22">IF(ISBLANK(B1471),"OK",IF(A1471-B1471=0,"OK","Error?"))</f>
        <v>Error?</v>
      </c>
    </row>
    <row r="1472" spans="1:4" x14ac:dyDescent="0.2">
      <c r="A1472" s="5">
        <v>1411</v>
      </c>
      <c r="B1472" s="1832">
        <f>'Expenditures 15-22'!K223</f>
        <v>3764</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68949</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623</v>
      </c>
      <c r="C1476" s="2" t="s">
        <v>569</v>
      </c>
      <c r="D1476" s="2" t="str">
        <f t="shared" si="22"/>
        <v>Error?</v>
      </c>
    </row>
    <row r="1477" spans="1:4" x14ac:dyDescent="0.2">
      <c r="A1477" s="5">
        <v>1416</v>
      </c>
      <c r="B1477" s="1832">
        <f>'Expenditures 15-22'!K234</f>
        <v>8262</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687</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9572</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110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110</v>
      </c>
      <c r="C1485" s="2" t="s">
        <v>569</v>
      </c>
      <c r="D1485" s="2" t="str">
        <f t="shared" si="22"/>
        <v>Error?</v>
      </c>
    </row>
    <row r="1486" spans="1:4" x14ac:dyDescent="0.2">
      <c r="A1486" s="5">
        <v>1425</v>
      </c>
      <c r="B1486" s="1832">
        <f>'Expenditures 15-22'!K245</f>
        <v>790</v>
      </c>
      <c r="C1486" s="2" t="s">
        <v>569</v>
      </c>
      <c r="D1486" s="2" t="str">
        <f t="shared" si="22"/>
        <v>Error?</v>
      </c>
    </row>
    <row r="1487" spans="1:4" x14ac:dyDescent="0.2">
      <c r="A1487" s="5">
        <v>1426</v>
      </c>
      <c r="B1487" s="1832">
        <f>'Expenditures 15-22'!K246</f>
        <v>7808</v>
      </c>
      <c r="C1487" s="2" t="s">
        <v>569</v>
      </c>
      <c r="D1487" s="2" t="str">
        <f t="shared" si="22"/>
        <v>Error?</v>
      </c>
    </row>
    <row r="1488" spans="1:4" x14ac:dyDescent="0.2">
      <c r="A1488" s="5">
        <v>1427</v>
      </c>
      <c r="B1488" s="1832">
        <f>'Expenditures 15-22'!K257</f>
        <v>8598</v>
      </c>
      <c r="C1488" s="2" t="s">
        <v>569</v>
      </c>
      <c r="D1488" s="2" t="str">
        <f t="shared" si="22"/>
        <v>Error?</v>
      </c>
    </row>
    <row r="1489" spans="1:4" x14ac:dyDescent="0.2">
      <c r="A1489" s="5">
        <v>1428</v>
      </c>
      <c r="B1489" s="1832">
        <f>'Expenditures 15-22'!K259</f>
        <v>10870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10870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9601</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32001</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15552</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57154</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86304</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155253</v>
      </c>
      <c r="C1517" s="2" t="s">
        <v>569</v>
      </c>
      <c r="D1517" s="2" t="str">
        <f t="shared" si="22"/>
        <v>Error?</v>
      </c>
    </row>
    <row r="1518" spans="1:4" x14ac:dyDescent="0.2">
      <c r="A1518" s="5">
        <v>1457</v>
      </c>
      <c r="B1518" s="1832">
        <f>'Expenditures 15-22'!K296</f>
        <v>7262</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10780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46185</v>
      </c>
      <c r="D1534" s="2" t="str">
        <f t="shared" si="22"/>
        <v>Error?</v>
      </c>
    </row>
    <row r="1535" spans="1:4" x14ac:dyDescent="0.2">
      <c r="A1535" s="5">
        <v>1474</v>
      </c>
      <c r="B1535" s="1832">
        <f>'Expenditures 15-22'!E303</f>
        <v>56965</v>
      </c>
      <c r="C1535" s="2" t="s">
        <v>569</v>
      </c>
      <c r="D1535" s="2" t="str">
        <f t="shared" ref="D1535:D1598" si="23">IF(ISBLANK(B1535),"OK",IF(A1535-B1535=0,"OK","Error?"))</f>
        <v>Error?</v>
      </c>
    </row>
    <row r="1536" spans="1:4" x14ac:dyDescent="0.2">
      <c r="A1536" s="5">
        <v>1475</v>
      </c>
      <c r="B1536" s="1832">
        <f>'Expenditures 15-22'!E312</f>
        <v>56965</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9499</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10316</v>
      </c>
      <c r="D1546" s="2" t="str">
        <f t="shared" si="23"/>
        <v>Error?</v>
      </c>
    </row>
    <row r="1547" spans="1:4" x14ac:dyDescent="0.2">
      <c r="A1547" s="5">
        <v>1486</v>
      </c>
      <c r="B1547" s="1832">
        <f>'Expenditures 15-22'!G303</f>
        <v>19815</v>
      </c>
      <c r="C1547" s="2" t="s">
        <v>569</v>
      </c>
      <c r="D1547" s="2" t="str">
        <f t="shared" si="23"/>
        <v>Error?</v>
      </c>
    </row>
    <row r="1548" spans="1:4" x14ac:dyDescent="0.2">
      <c r="A1548" s="5">
        <v>1487</v>
      </c>
      <c r="B1548" s="1832">
        <f>'Expenditures 15-22'!G312</f>
        <v>19815</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20279</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56501</v>
      </c>
      <c r="C1558" s="2" t="s">
        <v>569</v>
      </c>
      <c r="D1558" s="2" t="str">
        <f t="shared" si="23"/>
        <v>Error?</v>
      </c>
    </row>
    <row r="1559" spans="1:4" x14ac:dyDescent="0.2">
      <c r="A1559" s="5">
        <v>1498</v>
      </c>
      <c r="B1559" s="1832">
        <f>'Expenditures 15-22'!K303</f>
        <v>76780</v>
      </c>
      <c r="C1559" s="2" t="s">
        <v>569</v>
      </c>
      <c r="D1559" s="2" t="str">
        <f t="shared" si="23"/>
        <v>Error?</v>
      </c>
    </row>
    <row r="1560" spans="1:4" x14ac:dyDescent="0.2">
      <c r="A1560" s="5">
        <v>1499</v>
      </c>
      <c r="B1560" s="1832">
        <f>'Expenditures 15-22'!K312</f>
        <v>76780</v>
      </c>
      <c r="C1560" s="2" t="s">
        <v>569</v>
      </c>
      <c r="D1560" s="2" t="str">
        <f t="shared" si="23"/>
        <v>Error?</v>
      </c>
    </row>
    <row r="1561" spans="1:4" x14ac:dyDescent="0.2">
      <c r="A1561" s="5">
        <v>1500</v>
      </c>
      <c r="B1561" s="1832">
        <f>'Expenditures 15-22'!K313</f>
        <v>54231</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2841863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2599522</v>
      </c>
      <c r="C1630" s="2" t="s">
        <v>569</v>
      </c>
      <c r="D1630" s="2" t="str">
        <f t="shared" si="24"/>
        <v>Error?</v>
      </c>
    </row>
    <row r="1631" spans="1:4" x14ac:dyDescent="0.2">
      <c r="A1631" s="5">
        <v>1570</v>
      </c>
      <c r="B1631" s="1832">
        <f>'Acct Summary 7-8'!D79</f>
        <v>536039</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490199</v>
      </c>
      <c r="C1644" s="2" t="s">
        <v>569</v>
      </c>
      <c r="D1644" s="2" t="str">
        <f t="shared" si="24"/>
        <v>Error?</v>
      </c>
    </row>
    <row r="1645" spans="1:4" x14ac:dyDescent="0.2">
      <c r="A1645" s="5">
        <v>1584</v>
      </c>
      <c r="B1645" s="1832">
        <f>'Acct Summary 7-8'!E79</f>
        <v>57108</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57469</v>
      </c>
      <c r="C1658" s="2" t="s">
        <v>569</v>
      </c>
      <c r="D1658" s="2" t="str">
        <f t="shared" si="24"/>
        <v>Error?</v>
      </c>
    </row>
    <row r="1659" spans="1:4" x14ac:dyDescent="0.2">
      <c r="A1659" s="5">
        <v>1598</v>
      </c>
      <c r="B1659" s="1832">
        <f>'Acct Summary 7-8'!F79</f>
        <v>42932</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50972</v>
      </c>
      <c r="C1672" s="2" t="s">
        <v>569</v>
      </c>
      <c r="D1672" s="2" t="str">
        <f t="shared" si="25"/>
        <v>Error?</v>
      </c>
    </row>
    <row r="1673" spans="1:4" x14ac:dyDescent="0.2">
      <c r="A1673" s="5">
        <v>1612</v>
      </c>
      <c r="B1673" s="1832">
        <f>'Acct Summary 7-8'!G79</f>
        <v>10778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18040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54231</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555716</v>
      </c>
      <c r="C1744" s="2" t="s">
        <v>569</v>
      </c>
      <c r="D1744" s="2" t="str">
        <f t="shared" si="26"/>
        <v>Error?</v>
      </c>
    </row>
    <row r="1745" spans="1:5" x14ac:dyDescent="0.2">
      <c r="A1745" s="5">
        <v>1684</v>
      </c>
      <c r="B1745" s="1832">
        <f>'Tax Sched 23'!B5</f>
        <v>175300</v>
      </c>
      <c r="C1745" s="2" t="s">
        <v>569</v>
      </c>
      <c r="D1745" s="2" t="str">
        <f t="shared" si="26"/>
        <v>Error?</v>
      </c>
    </row>
    <row r="1746" spans="1:5" x14ac:dyDescent="0.2">
      <c r="A1746" s="5">
        <v>1685</v>
      </c>
      <c r="B1746" s="1832">
        <f>'Tax Sched 23'!B6</f>
        <v>246817</v>
      </c>
      <c r="C1746" s="2" t="s">
        <v>569</v>
      </c>
      <c r="D1746" s="2" t="str">
        <f t="shared" si="26"/>
        <v>Error?</v>
      </c>
    </row>
    <row r="1747" spans="1:5" x14ac:dyDescent="0.2">
      <c r="A1747" s="5">
        <v>1686</v>
      </c>
      <c r="B1747" s="1832">
        <f>'Tax Sched 23'!B7</f>
        <v>75666</v>
      </c>
      <c r="C1747" s="2" t="s">
        <v>569</v>
      </c>
      <c r="D1747" s="2" t="str">
        <f t="shared" si="26"/>
        <v>Error?</v>
      </c>
    </row>
    <row r="1748" spans="1:5" x14ac:dyDescent="0.2">
      <c r="A1748" s="5">
        <v>1687</v>
      </c>
      <c r="B1748" s="1832">
        <f>'Tax Sched 23'!B8</f>
        <v>61552</v>
      </c>
      <c r="C1748" s="2" t="s">
        <v>569</v>
      </c>
      <c r="D1748" s="2" t="str">
        <f t="shared" si="26"/>
        <v>Error?</v>
      </c>
    </row>
    <row r="1749" spans="1:5" x14ac:dyDescent="0.2">
      <c r="A1749" s="5">
        <v>1688</v>
      </c>
      <c r="B1749" s="1832">
        <f>'Tax Sched 23'!B10</f>
        <v>18917</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88632</v>
      </c>
      <c r="C1752" s="2" t="s">
        <v>569</v>
      </c>
      <c r="D1752" s="2" t="str">
        <f t="shared" si="26"/>
        <v>Error?</v>
      </c>
    </row>
    <row r="1753" spans="1:5" x14ac:dyDescent="0.2">
      <c r="A1753" s="5">
        <v>1692</v>
      </c>
      <c r="B1753" s="1832">
        <f>'Tax Sched 23'!B12</f>
        <v>18920</v>
      </c>
      <c r="C1753" s="2" t="s">
        <v>569</v>
      </c>
      <c r="D1753" s="2" t="str">
        <f t="shared" si="26"/>
        <v>Error?</v>
      </c>
    </row>
    <row r="1754" spans="1:5" x14ac:dyDescent="0.2">
      <c r="A1754" s="5">
        <v>1693</v>
      </c>
      <c r="B1754" s="1832">
        <f>'Tax Sched 23'!B14</f>
        <v>15137</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1331996</v>
      </c>
      <c r="C1759" s="2" t="s">
        <v>569</v>
      </c>
      <c r="D1759" s="2" t="str">
        <f t="shared" si="26"/>
        <v>Error?</v>
      </c>
    </row>
    <row r="1760" spans="1:5" x14ac:dyDescent="0.2">
      <c r="A1760" s="5">
        <v>1699</v>
      </c>
      <c r="B1760" s="1832">
        <f>'Tax Sched 23'!D4</f>
        <v>555716</v>
      </c>
      <c r="C1760" s="2" t="s">
        <v>569</v>
      </c>
      <c r="D1760" s="2" t="str">
        <f t="shared" si="26"/>
        <v>Error?</v>
      </c>
    </row>
    <row r="1761" spans="1:7" x14ac:dyDescent="0.2">
      <c r="A1761" s="5">
        <v>1700</v>
      </c>
      <c r="B1761" s="1832">
        <f>'Tax Sched 23'!D5</f>
        <v>175300</v>
      </c>
      <c r="C1761" s="2" t="s">
        <v>569</v>
      </c>
      <c r="D1761" s="2" t="str">
        <f t="shared" si="26"/>
        <v>Error?</v>
      </c>
    </row>
    <row r="1762" spans="1:7" s="8" customFormat="1" x14ac:dyDescent="0.2">
      <c r="A1762" s="5">
        <v>1701</v>
      </c>
      <c r="B1762" s="1832">
        <f>'Tax Sched 23'!D6</f>
        <v>246817</v>
      </c>
      <c r="C1762" s="2" t="s">
        <v>569</v>
      </c>
      <c r="D1762" s="2" t="str">
        <f t="shared" si="26"/>
        <v>Error?</v>
      </c>
      <c r="E1762" s="9"/>
      <c r="G1762"/>
    </row>
    <row r="1763" spans="1:7" x14ac:dyDescent="0.2">
      <c r="A1763" s="5">
        <v>1702</v>
      </c>
      <c r="B1763" s="1832">
        <f>'Tax Sched 23'!D7</f>
        <v>75666</v>
      </c>
      <c r="C1763" s="2" t="s">
        <v>569</v>
      </c>
      <c r="D1763" s="2" t="str">
        <f t="shared" si="26"/>
        <v>Error?</v>
      </c>
    </row>
    <row r="1764" spans="1:7" x14ac:dyDescent="0.2">
      <c r="A1764" s="5">
        <v>1703</v>
      </c>
      <c r="B1764" s="1832">
        <f>'Tax Sched 23'!D8</f>
        <v>61552</v>
      </c>
      <c r="C1764" s="2" t="s">
        <v>569</v>
      </c>
      <c r="D1764" s="2" t="str">
        <f t="shared" si="26"/>
        <v>Error?</v>
      </c>
    </row>
    <row r="1765" spans="1:7" x14ac:dyDescent="0.2">
      <c r="A1765" s="5">
        <v>1704</v>
      </c>
      <c r="B1765" s="1832">
        <f>'Tax Sched 23'!D10</f>
        <v>18917</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88632</v>
      </c>
      <c r="C1768" s="2" t="s">
        <v>569</v>
      </c>
      <c r="D1768" s="2" t="str">
        <f t="shared" si="26"/>
        <v>Error?</v>
      </c>
    </row>
    <row r="1769" spans="1:7" x14ac:dyDescent="0.2">
      <c r="A1769" s="5">
        <v>1708</v>
      </c>
      <c r="B1769" s="1832">
        <f>'Tax Sched 23'!D12</f>
        <v>18920</v>
      </c>
      <c r="C1769" s="2" t="s">
        <v>569</v>
      </c>
      <c r="D1769" s="2" t="str">
        <f t="shared" si="26"/>
        <v>Error?</v>
      </c>
    </row>
    <row r="1770" spans="1:7" x14ac:dyDescent="0.2">
      <c r="A1770" s="5">
        <v>1709</v>
      </c>
      <c r="B1770" s="1832">
        <f>'Tax Sched 23'!D14</f>
        <v>15137</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1331996</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571258</v>
      </c>
      <c r="C1792" s="2" t="s">
        <v>569</v>
      </c>
      <c r="D1792" s="2" t="str">
        <f t="shared" si="27"/>
        <v>Error?</v>
      </c>
    </row>
    <row r="1793" spans="1:4" x14ac:dyDescent="0.2">
      <c r="A1793" s="5">
        <v>1732</v>
      </c>
      <c r="B1793" s="1832">
        <f>'Tax Sched 23'!F5</f>
        <v>180084</v>
      </c>
      <c r="C1793" s="2" t="s">
        <v>569</v>
      </c>
      <c r="D1793" s="2" t="str">
        <f t="shared" si="27"/>
        <v>Error?</v>
      </c>
    </row>
    <row r="1794" spans="1:4" x14ac:dyDescent="0.2">
      <c r="A1794" s="5">
        <v>1733</v>
      </c>
      <c r="B1794" s="1832">
        <f>'Tax Sched 23'!F6</f>
        <v>247213</v>
      </c>
      <c r="C1794" s="2" t="s">
        <v>569</v>
      </c>
      <c r="D1794" s="2" t="str">
        <f t="shared" si="27"/>
        <v>Error?</v>
      </c>
    </row>
    <row r="1795" spans="1:4" x14ac:dyDescent="0.2">
      <c r="A1795" s="5">
        <v>1734</v>
      </c>
      <c r="B1795" s="1832">
        <f>'Tax Sched 23'!F7</f>
        <v>78727</v>
      </c>
      <c r="C1795" s="2" t="s">
        <v>569</v>
      </c>
      <c r="D1795" s="2" t="str">
        <f t="shared" si="27"/>
        <v>Error?</v>
      </c>
    </row>
    <row r="1796" spans="1:4" x14ac:dyDescent="0.2">
      <c r="A1796" s="5">
        <v>1735</v>
      </c>
      <c r="B1796" s="1832">
        <f>'Tax Sched 23'!F8</f>
        <v>71533</v>
      </c>
      <c r="C1796" s="2" t="s">
        <v>569</v>
      </c>
      <c r="D1796" s="2" t="str">
        <f t="shared" si="27"/>
        <v>Error?</v>
      </c>
    </row>
    <row r="1797" spans="1:4" x14ac:dyDescent="0.2">
      <c r="A1797" s="5">
        <v>1736</v>
      </c>
      <c r="B1797" s="1832">
        <f>'Tax Sched 23'!F10</f>
        <v>19682</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90042</v>
      </c>
      <c r="C1800" s="2" t="s">
        <v>569</v>
      </c>
      <c r="D1800" s="2" t="str">
        <f t="shared" si="27"/>
        <v>Error?</v>
      </c>
    </row>
    <row r="1801" spans="1:4" x14ac:dyDescent="0.2">
      <c r="A1801" s="5">
        <v>1740</v>
      </c>
      <c r="B1801" s="1832">
        <f>'Tax Sched 23'!F12</f>
        <v>19690</v>
      </c>
      <c r="C1801" s="2" t="s">
        <v>569</v>
      </c>
      <c r="D1801" s="2" t="str">
        <f t="shared" si="27"/>
        <v>Error?</v>
      </c>
    </row>
    <row r="1802" spans="1:4" x14ac:dyDescent="0.2">
      <c r="A1802" s="5">
        <v>1741</v>
      </c>
      <c r="B1802" s="1832">
        <f>'Tax Sched 23'!F14</f>
        <v>15752</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1380523</v>
      </c>
      <c r="C1807" s="2" t="s">
        <v>569</v>
      </c>
      <c r="D1807" s="2" t="str">
        <f t="shared" si="27"/>
        <v>Error?</v>
      </c>
    </row>
    <row r="1808" spans="1:4" x14ac:dyDescent="0.2">
      <c r="A1808" s="5">
        <v>1747</v>
      </c>
      <c r="B1808" s="1832">
        <f>'Tax Sched 23'!E4</f>
        <v>571258</v>
      </c>
      <c r="D1808" s="2" t="str">
        <f t="shared" si="27"/>
        <v>Error?</v>
      </c>
    </row>
    <row r="1809" spans="1:4" x14ac:dyDescent="0.2">
      <c r="A1809" s="5">
        <v>1748</v>
      </c>
      <c r="B1809" s="1832">
        <f>'Tax Sched 23'!E5</f>
        <v>180084</v>
      </c>
      <c r="D1809" s="2" t="str">
        <f t="shared" si="27"/>
        <v>Error?</v>
      </c>
    </row>
    <row r="1810" spans="1:4" x14ac:dyDescent="0.2">
      <c r="A1810" s="5">
        <v>1749</v>
      </c>
      <c r="B1810" s="1832">
        <f>'Tax Sched 23'!E6</f>
        <v>247213</v>
      </c>
      <c r="D1810" s="2" t="str">
        <f t="shared" si="27"/>
        <v>Error?</v>
      </c>
    </row>
    <row r="1811" spans="1:4" x14ac:dyDescent="0.2">
      <c r="A1811" s="5">
        <v>1750</v>
      </c>
      <c r="B1811" s="1832">
        <f>'Tax Sched 23'!E7</f>
        <v>78727</v>
      </c>
      <c r="D1811" s="2" t="str">
        <f t="shared" si="27"/>
        <v>Error?</v>
      </c>
    </row>
    <row r="1812" spans="1:4" x14ac:dyDescent="0.2">
      <c r="A1812" s="5">
        <v>1751</v>
      </c>
      <c r="B1812" s="1832">
        <f>'Tax Sched 23'!E8</f>
        <v>71533</v>
      </c>
      <c r="D1812" s="2" t="str">
        <f t="shared" si="27"/>
        <v>Error?</v>
      </c>
    </row>
    <row r="1813" spans="1:4" x14ac:dyDescent="0.2">
      <c r="A1813" s="5">
        <v>1752</v>
      </c>
      <c r="B1813" s="1832">
        <f>'Tax Sched 23'!E10</f>
        <v>19682</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90042</v>
      </c>
      <c r="D1816" s="2" t="str">
        <f t="shared" si="27"/>
        <v>Error?</v>
      </c>
    </row>
    <row r="1817" spans="1:4" x14ac:dyDescent="0.2">
      <c r="A1817" s="5">
        <v>1756</v>
      </c>
      <c r="B1817" s="1832">
        <f>'Tax Sched 23'!E12</f>
        <v>19690</v>
      </c>
      <c r="D1817" s="2" t="str">
        <f t="shared" si="27"/>
        <v>Error?</v>
      </c>
    </row>
    <row r="1818" spans="1:4" x14ac:dyDescent="0.2">
      <c r="A1818" s="5">
        <v>1757</v>
      </c>
      <c r="B1818" s="1832">
        <f>'Tax Sched 23'!E14</f>
        <v>15752</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1380523</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1660000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15137</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15137</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15137</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106866</v>
      </c>
      <c r="D2008" s="2" t="str">
        <f t="shared" si="30"/>
        <v>Error?</v>
      </c>
    </row>
    <row r="2009" spans="1:4" x14ac:dyDescent="0.2">
      <c r="A2009" s="5">
        <v>1948</v>
      </c>
      <c r="B2009" s="1832">
        <f>'Cap Outlay Deprec 26'!C8</f>
        <v>10173526</v>
      </c>
      <c r="D2009" s="2" t="str">
        <f t="shared" si="30"/>
        <v>Error?</v>
      </c>
    </row>
    <row r="2010" spans="1:4" x14ac:dyDescent="0.2">
      <c r="A2010" s="5">
        <v>1949</v>
      </c>
      <c r="B2010" s="1832">
        <f>'Cap Outlay Deprec 26'!C10</f>
        <v>907663</v>
      </c>
      <c r="D2010" s="2" t="str">
        <f t="shared" si="30"/>
        <v>Error?</v>
      </c>
    </row>
    <row r="2011" spans="1:4" x14ac:dyDescent="0.2">
      <c r="A2011" s="5">
        <v>1950</v>
      </c>
      <c r="B2011" s="1832">
        <f>'Cap Outlay Deprec 26'!C12</f>
        <v>1083630</v>
      </c>
      <c r="D2011" s="2" t="str">
        <f t="shared" si="30"/>
        <v>Error?</v>
      </c>
    </row>
    <row r="2012" spans="1:4" x14ac:dyDescent="0.2">
      <c r="A2012" s="5">
        <v>1951</v>
      </c>
      <c r="B2012" s="1832">
        <f>'Cap Outlay Deprec 26'!C13</f>
        <v>505</v>
      </c>
      <c r="D2012" s="2" t="str">
        <f t="shared" si="30"/>
        <v>Error?</v>
      </c>
    </row>
    <row r="2013" spans="1:4" x14ac:dyDescent="0.2">
      <c r="A2013" s="5">
        <v>1952</v>
      </c>
      <c r="B2013" s="1832">
        <f>'Cap Outlay Deprec 26'!C16</f>
        <v>12812355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19815</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86946</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17688</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17688</v>
      </c>
      <c r="C2025" s="2" t="s">
        <v>569</v>
      </c>
      <c r="D2025" s="2" t="str">
        <f t="shared" si="30"/>
        <v>Error?</v>
      </c>
    </row>
    <row r="2026" spans="1:4" x14ac:dyDescent="0.2">
      <c r="A2026" s="5">
        <v>1965</v>
      </c>
      <c r="B2026" s="1832">
        <f>'Cap Outlay Deprec 26'!F5</f>
        <v>106866</v>
      </c>
      <c r="C2026" s="2" t="s">
        <v>569</v>
      </c>
      <c r="D2026" s="2" t="str">
        <f t="shared" si="30"/>
        <v>Error?</v>
      </c>
    </row>
    <row r="2027" spans="1:4" x14ac:dyDescent="0.2">
      <c r="A2027" s="5">
        <v>1966</v>
      </c>
      <c r="B2027" s="1832">
        <f>'Cap Outlay Deprec 26'!F8</f>
        <v>10173526</v>
      </c>
      <c r="C2027" s="2" t="s">
        <v>569</v>
      </c>
      <c r="D2027" s="2" t="str">
        <f t="shared" si="30"/>
        <v>Error?</v>
      </c>
    </row>
    <row r="2028" spans="1:4" x14ac:dyDescent="0.2">
      <c r="A2028" s="5">
        <v>1967</v>
      </c>
      <c r="B2028" s="1832">
        <f>'Cap Outlay Deprec 26'!F10</f>
        <v>907663</v>
      </c>
      <c r="C2028" s="2" t="s">
        <v>569</v>
      </c>
      <c r="D2028" s="2" t="str">
        <f t="shared" si="30"/>
        <v>Error?</v>
      </c>
    </row>
    <row r="2029" spans="1:4" x14ac:dyDescent="0.2">
      <c r="A2029" s="5">
        <v>1968</v>
      </c>
      <c r="B2029" s="1832">
        <f>'Cap Outlay Deprec 26'!F12</f>
        <v>1085757</v>
      </c>
      <c r="C2029" s="2" t="s">
        <v>569</v>
      </c>
      <c r="D2029" s="2" t="str">
        <f t="shared" si="30"/>
        <v>Error?</v>
      </c>
    </row>
    <row r="2030" spans="1:4" x14ac:dyDescent="0.2">
      <c r="A2030" s="5">
        <v>1969</v>
      </c>
      <c r="B2030" s="1832">
        <f>'Cap Outlay Deprec 26'!F13</f>
        <v>505</v>
      </c>
      <c r="C2030" s="2" t="s">
        <v>569</v>
      </c>
      <c r="D2030" s="2" t="str">
        <f t="shared" si="30"/>
        <v>Error?</v>
      </c>
    </row>
    <row r="2031" spans="1:4" x14ac:dyDescent="0.2">
      <c r="A2031" s="5">
        <v>1970</v>
      </c>
      <c r="B2031" s="1832">
        <f>'Cap Outlay Deprec 26'!F16</f>
        <v>12881613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3309414</v>
      </c>
      <c r="D2033" s="2" t="str">
        <f t="shared" si="30"/>
        <v>Error?</v>
      </c>
    </row>
    <row r="2034" spans="1:4" x14ac:dyDescent="0.2">
      <c r="A2034" s="5">
        <v>1973</v>
      </c>
      <c r="B2034" s="1832">
        <f>'Cap Outlay Deprec 26'!H10</f>
        <v>408649</v>
      </c>
      <c r="D2034" s="2" t="str">
        <f t="shared" si="30"/>
        <v>Error?</v>
      </c>
    </row>
    <row r="2035" spans="1:4" x14ac:dyDescent="0.2">
      <c r="A2035" s="5">
        <v>1974</v>
      </c>
      <c r="B2035" s="1832">
        <f>'Cap Outlay Deprec 26'!H12</f>
        <v>1012615</v>
      </c>
      <c r="D2035" s="2" t="str">
        <f t="shared" si="30"/>
        <v>Error?</v>
      </c>
    </row>
    <row r="2036" spans="1:4" x14ac:dyDescent="0.2">
      <c r="A2036" s="5">
        <v>1975</v>
      </c>
      <c r="B2036" s="1832">
        <f>'Cap Outlay Deprec 26'!H13</f>
        <v>505</v>
      </c>
      <c r="D2036" s="2" t="str">
        <f t="shared" si="30"/>
        <v>Error?</v>
      </c>
    </row>
    <row r="2037" spans="1:4" x14ac:dyDescent="0.2">
      <c r="A2037" s="5">
        <v>1976</v>
      </c>
      <c r="B2037" s="1832">
        <f>'Cap Outlay Deprec 26'!H16</f>
        <v>5227969</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203471</v>
      </c>
      <c r="D2039" s="2" t="str">
        <f t="shared" si="30"/>
        <v>Error?</v>
      </c>
    </row>
    <row r="2040" spans="1:4" x14ac:dyDescent="0.2">
      <c r="A2040" s="5">
        <v>1979</v>
      </c>
      <c r="B2040" s="1832">
        <f>'Cap Outlay Deprec 26'!I10</f>
        <v>44427</v>
      </c>
      <c r="D2040" s="2" t="str">
        <f t="shared" si="30"/>
        <v>Error?</v>
      </c>
    </row>
    <row r="2041" spans="1:4" x14ac:dyDescent="0.2">
      <c r="A2041" s="5">
        <v>1980</v>
      </c>
      <c r="B2041" s="1832">
        <f>'Cap Outlay Deprec 26'!I12</f>
        <v>17087</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325207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17688</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17688</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3512885</v>
      </c>
      <c r="C2051" s="2" t="s">
        <v>569</v>
      </c>
      <c r="D2051" s="2" t="str">
        <f t="shared" si="31"/>
        <v>Error?</v>
      </c>
    </row>
    <row r="2052" spans="1:4" x14ac:dyDescent="0.2">
      <c r="A2052" s="5">
        <v>1991</v>
      </c>
      <c r="B2052" s="1832">
        <f>'Cap Outlay Deprec 26'!K10</f>
        <v>453076</v>
      </c>
      <c r="C2052" s="2" t="s">
        <v>569</v>
      </c>
      <c r="D2052" s="2" t="str">
        <f t="shared" si="31"/>
        <v>Error?</v>
      </c>
    </row>
    <row r="2053" spans="1:4" x14ac:dyDescent="0.2">
      <c r="A2053" s="5">
        <v>1992</v>
      </c>
      <c r="B2053" s="1832">
        <f>'Cap Outlay Deprec 26'!K12</f>
        <v>1012014</v>
      </c>
      <c r="C2053" s="2" t="s">
        <v>569</v>
      </c>
      <c r="D2053" s="2" t="str">
        <f t="shared" si="31"/>
        <v>Error?</v>
      </c>
    </row>
    <row r="2054" spans="1:4" x14ac:dyDescent="0.2">
      <c r="A2054" s="5">
        <v>1993</v>
      </c>
      <c r="B2054" s="1832">
        <f>'Cap Outlay Deprec 26'!K13</f>
        <v>505</v>
      </c>
      <c r="C2054" s="2" t="s">
        <v>569</v>
      </c>
      <c r="D2054" s="2" t="str">
        <f t="shared" si="31"/>
        <v>Error?</v>
      </c>
    </row>
    <row r="2055" spans="1:4" x14ac:dyDescent="0.2">
      <c r="A2055" s="5">
        <v>1994</v>
      </c>
      <c r="B2055" s="1832">
        <f>'Cap Outlay Deprec 26'!K16</f>
        <v>5535488</v>
      </c>
      <c r="C2055" s="2" t="s">
        <v>569</v>
      </c>
      <c r="D2055" s="2" t="str">
        <f t="shared" si="31"/>
        <v>Error?</v>
      </c>
    </row>
    <row r="2056" spans="1:4" x14ac:dyDescent="0.2">
      <c r="A2056" s="5">
        <v>1995</v>
      </c>
      <c r="B2056" s="1832">
        <f>'Cap Outlay Deprec 26'!L5</f>
        <v>106866</v>
      </c>
      <c r="C2056" s="2" t="s">
        <v>569</v>
      </c>
      <c r="D2056" s="2" t="str">
        <f t="shared" si="31"/>
        <v>Error?</v>
      </c>
    </row>
    <row r="2057" spans="1:4" x14ac:dyDescent="0.2">
      <c r="A2057" s="5">
        <v>1996</v>
      </c>
      <c r="B2057" s="1832">
        <f>'Cap Outlay Deprec 26'!L8</f>
        <v>6660641</v>
      </c>
      <c r="C2057" s="2" t="s">
        <v>569</v>
      </c>
      <c r="D2057" s="2" t="str">
        <f t="shared" si="31"/>
        <v>Error?</v>
      </c>
    </row>
    <row r="2058" spans="1:4" x14ac:dyDescent="0.2">
      <c r="A2058" s="5">
        <v>1997</v>
      </c>
      <c r="B2058" s="1832">
        <f>'Cap Outlay Deprec 26'!L10</f>
        <v>454587</v>
      </c>
      <c r="C2058" s="2" t="s">
        <v>569</v>
      </c>
      <c r="D2058" s="2" t="str">
        <f t="shared" si="31"/>
        <v>Error?</v>
      </c>
    </row>
    <row r="2059" spans="1:4" x14ac:dyDescent="0.2">
      <c r="A2059" s="5">
        <v>1998</v>
      </c>
      <c r="B2059" s="1832">
        <f>'Cap Outlay Deprec 26'!L12</f>
        <v>73743</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7346125</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314000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314000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18040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57469</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54231</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791364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3349497</v>
      </c>
      <c r="C2553" s="2" t="s">
        <v>569</v>
      </c>
      <c r="D2553" s="2" t="str">
        <f t="shared" si="38"/>
        <v>Error?</v>
      </c>
    </row>
    <row r="2554" spans="1:4" x14ac:dyDescent="0.2">
      <c r="A2554" s="5">
        <v>2493</v>
      </c>
      <c r="B2554" s="1832">
        <f>'Acct Summary 7-8'!C7</f>
        <v>588639</v>
      </c>
      <c r="C2554" s="2" t="s">
        <v>569</v>
      </c>
      <c r="D2554" s="2" t="str">
        <f t="shared" si="38"/>
        <v>Error?</v>
      </c>
    </row>
    <row r="2555" spans="1:4" x14ac:dyDescent="0.2">
      <c r="A2555" s="5">
        <v>2494</v>
      </c>
      <c r="B2555" s="1832">
        <f>'Acct Summary 7-8'!C8</f>
        <v>4729500</v>
      </c>
      <c r="C2555" s="2" t="s">
        <v>569</v>
      </c>
      <c r="D2555" s="2" t="str">
        <f t="shared" si="38"/>
        <v>Error?</v>
      </c>
    </row>
    <row r="2556" spans="1:4" x14ac:dyDescent="0.2">
      <c r="A2556" s="5">
        <v>2495</v>
      </c>
      <c r="B2556" s="1832">
        <f>'Acct Summary 7-8'!C12</f>
        <v>3301861</v>
      </c>
      <c r="C2556" s="2" t="s">
        <v>569</v>
      </c>
      <c r="D2556" s="2" t="str">
        <f t="shared" si="38"/>
        <v>Error?</v>
      </c>
    </row>
    <row r="2557" spans="1:4" x14ac:dyDescent="0.2">
      <c r="A2557" s="5">
        <v>2496</v>
      </c>
      <c r="B2557" s="1832">
        <f>'Acct Summary 7-8'!C13</f>
        <v>1355980</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314000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4971841</v>
      </c>
      <c r="C2561" s="2" t="s">
        <v>569</v>
      </c>
      <c r="D2561" s="2" t="str">
        <f t="shared" si="39"/>
        <v>Error?</v>
      </c>
    </row>
    <row r="2562" spans="1:4" x14ac:dyDescent="0.2">
      <c r="A2562" s="5">
        <v>2501</v>
      </c>
      <c r="B2562" s="1832">
        <f>'Acct Summary 7-8'!C20</f>
        <v>-242341</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193339</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243339</v>
      </c>
      <c r="C2568" s="2" t="s">
        <v>569</v>
      </c>
      <c r="D2568" s="2" t="str">
        <f t="shared" si="39"/>
        <v>Error?</v>
      </c>
    </row>
    <row r="2569" spans="1:4" x14ac:dyDescent="0.2">
      <c r="A2569" s="5">
        <v>2508</v>
      </c>
      <c r="B2569" s="1832">
        <f>'Acct Summary 7-8'!D13</f>
        <v>289179</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289179</v>
      </c>
      <c r="C2573" s="2" t="s">
        <v>569</v>
      </c>
      <c r="D2573" s="2" t="str">
        <f t="shared" si="39"/>
        <v>Error?</v>
      </c>
    </row>
    <row r="2574" spans="1:4" x14ac:dyDescent="0.2">
      <c r="A2574" s="5">
        <v>2513</v>
      </c>
      <c r="B2574" s="1832">
        <f>'Acct Summary 7-8'!D20</f>
        <v>-45840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75706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268974</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344680</v>
      </c>
      <c r="C2595" s="2" t="s">
        <v>569</v>
      </c>
      <c r="D2595" s="2" t="str">
        <f t="shared" si="39"/>
        <v>Error?</v>
      </c>
    </row>
    <row r="2596" spans="1:4" x14ac:dyDescent="0.2">
      <c r="A2596" s="5">
        <v>2535</v>
      </c>
      <c r="B2596" s="1832">
        <f>'Acct Summary 7-8'!F13</f>
        <v>336640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336640</v>
      </c>
      <c r="C2600" s="2" t="s">
        <v>569</v>
      </c>
      <c r="D2600" s="2" t="str">
        <f t="shared" si="39"/>
        <v>Error?</v>
      </c>
    </row>
    <row r="2601" spans="1:4" x14ac:dyDescent="0.2">
      <c r="A2601" s="5">
        <v>2540</v>
      </c>
      <c r="B2601" s="1832">
        <f>'Acct Summary 7-8'!F20</f>
        <v>8040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142515</v>
      </c>
      <c r="C2603" s="2" t="s">
        <v>569</v>
      </c>
      <c r="D2603" s="2" t="str">
        <f t="shared" si="39"/>
        <v>Error?</v>
      </c>
    </row>
    <row r="2604" spans="1:4" x14ac:dyDescent="0.2">
      <c r="A2604" s="5">
        <v>2543</v>
      </c>
      <c r="B2604" s="1832">
        <f>'Acct Summary 7-8'!G6</f>
        <v>20000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162515</v>
      </c>
      <c r="C2606" s="2" t="s">
        <v>569</v>
      </c>
      <c r="D2606" s="2" t="str">
        <f t="shared" si="39"/>
        <v>Error?</v>
      </c>
    </row>
    <row r="2607" spans="1:4" x14ac:dyDescent="0.2">
      <c r="A2607" s="5">
        <v>2546</v>
      </c>
      <c r="B2607" s="1832">
        <f>'Acct Summary 7-8'!G12</f>
        <v>68949</v>
      </c>
      <c r="C2607" s="2" t="s">
        <v>569</v>
      </c>
      <c r="D2607" s="2" t="str">
        <f t="shared" si="39"/>
        <v>Error?</v>
      </c>
    </row>
    <row r="2608" spans="1:4" x14ac:dyDescent="0.2">
      <c r="A2608" s="5">
        <v>2547</v>
      </c>
      <c r="B2608" s="1832">
        <f>'Acct Summary 7-8'!G13</f>
        <v>86304</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155253</v>
      </c>
      <c r="C2612" s="2" t="s">
        <v>569</v>
      </c>
      <c r="D2612" s="2" t="str">
        <f t="shared" si="39"/>
        <v>Error?</v>
      </c>
    </row>
    <row r="2613" spans="1:4" x14ac:dyDescent="0.2">
      <c r="A2613" s="5">
        <v>2552</v>
      </c>
      <c r="B2613" s="1832">
        <f>'Acct Summary 7-8'!G20</f>
        <v>7262</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246894</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246894</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246533</v>
      </c>
      <c r="C2634" s="2" t="s">
        <v>569</v>
      </c>
      <c r="D2634" s="2" t="str">
        <f t="shared" si="40"/>
        <v>Error?</v>
      </c>
    </row>
    <row r="2635" spans="1:4" x14ac:dyDescent="0.2">
      <c r="A2635" s="5">
        <v>2574</v>
      </c>
      <c r="B2635" s="1832">
        <f>'Acct Summary 7-8'!E17</f>
        <v>246533</v>
      </c>
      <c r="C2635" s="2" t="s">
        <v>569</v>
      </c>
      <c r="D2635" s="2" t="str">
        <f t="shared" si="40"/>
        <v>Error?</v>
      </c>
    </row>
    <row r="2636" spans="1:4" x14ac:dyDescent="0.2">
      <c r="A2636" s="5">
        <v>2575</v>
      </c>
      <c r="B2636" s="1832">
        <f>'Acct Summary 7-8'!E20</f>
        <v>361</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131011</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131011</v>
      </c>
      <c r="C2658" s="2" t="s">
        <v>569</v>
      </c>
      <c r="D2658" s="2" t="str">
        <f t="shared" si="40"/>
        <v>Error?</v>
      </c>
    </row>
    <row r="2659" spans="1:4" x14ac:dyDescent="0.2">
      <c r="A2659" s="5">
        <v>2598</v>
      </c>
      <c r="B2659" s="1832">
        <f>'Acct Summary 7-8'!H13</f>
        <v>76780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76780</v>
      </c>
      <c r="C2661" s="2" t="s">
        <v>569</v>
      </c>
      <c r="D2661" s="2" t="str">
        <f t="shared" si="40"/>
        <v>Error?</v>
      </c>
    </row>
    <row r="2662" spans="1:4" x14ac:dyDescent="0.2">
      <c r="A2662" s="5">
        <v>2601</v>
      </c>
      <c r="B2662" s="1832">
        <f>'Acct Summary 7-8'!H20</f>
        <v>54231</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351003</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112348</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351003</v>
      </c>
      <c r="D2912" s="2" t="str">
        <f t="shared" si="44"/>
        <v>Error?</v>
      </c>
    </row>
    <row r="2913" spans="1:4" x14ac:dyDescent="0.2">
      <c r="A2913" s="5">
        <v>2852</v>
      </c>
      <c r="B2913" s="1832">
        <f>'Assets-Liab 5-6'!I41</f>
        <v>351003</v>
      </c>
      <c r="C2913" s="2" t="s">
        <v>569</v>
      </c>
      <c r="D2913" s="2" t="str">
        <f t="shared" si="44"/>
        <v>Error?</v>
      </c>
    </row>
    <row r="2914" spans="1:4" x14ac:dyDescent="0.2">
      <c r="A2914" s="5">
        <v>2853</v>
      </c>
      <c r="B2914" s="1832">
        <f>'Assets-Liab 5-6'!L33</f>
        <v>112348</v>
      </c>
      <c r="D2914" s="2" t="str">
        <f t="shared" si="44"/>
        <v>Error?</v>
      </c>
    </row>
    <row r="2915" spans="1:4" x14ac:dyDescent="0.2">
      <c r="A2915" s="10">
        <v>2854</v>
      </c>
      <c r="B2915" s="1832"/>
      <c r="D2915" s="2" t="str">
        <f t="shared" si="44"/>
        <v>OK</v>
      </c>
    </row>
    <row r="2916" spans="1:4" x14ac:dyDescent="0.2">
      <c r="A2916" s="5">
        <v>2855</v>
      </c>
      <c r="B2916" s="1832">
        <f>'Assets-Liab 5-6'!L34</f>
        <v>112348</v>
      </c>
      <c r="C2916" s="2" t="s">
        <v>569</v>
      </c>
      <c r="D2916" s="2" t="str">
        <f t="shared" si="44"/>
        <v>Error?</v>
      </c>
    </row>
    <row r="2917" spans="1:4" x14ac:dyDescent="0.2">
      <c r="A2917" s="5">
        <v>2856</v>
      </c>
      <c r="B2917" s="1832">
        <f>'Assets-Liab 5-6'!L41</f>
        <v>112348</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305884</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8116</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305884</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8116</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37268</v>
      </c>
      <c r="D3055" s="2" t="str">
        <f t="shared" si="46"/>
        <v>Error?</v>
      </c>
    </row>
    <row r="3056" spans="1:4" x14ac:dyDescent="0.2">
      <c r="A3056" s="5">
        <v>2995</v>
      </c>
      <c r="B3056" s="1832">
        <f>'Expenditures 15-22'!D10</f>
        <v>4992</v>
      </c>
      <c r="D3056" s="2" t="str">
        <f t="shared" si="46"/>
        <v>Error?</v>
      </c>
    </row>
    <row r="3057" spans="1:4" x14ac:dyDescent="0.2">
      <c r="A3057" s="5">
        <v>2996</v>
      </c>
      <c r="B3057" s="1832">
        <f>'Expenditures 15-22'!E10</f>
        <v>36969</v>
      </c>
      <c r="D3057" s="2" t="str">
        <f t="shared" si="46"/>
        <v>Error?</v>
      </c>
    </row>
    <row r="3058" spans="1:4" x14ac:dyDescent="0.2">
      <c r="A3058" s="5">
        <v>2997</v>
      </c>
      <c r="B3058" s="1832">
        <f>'Expenditures 15-22'!F10</f>
        <v>36438</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115667</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19279</v>
      </c>
      <c r="C3225" s="2" t="s">
        <v>569</v>
      </c>
      <c r="D3225" s="2" t="str">
        <f t="shared" si="49"/>
        <v>Error?</v>
      </c>
    </row>
    <row r="3226" spans="1:4" x14ac:dyDescent="0.2">
      <c r="A3226" s="5">
        <v>3165</v>
      </c>
      <c r="B3226" s="1832">
        <f>'Acct Summary 7-8'!I8</f>
        <v>19279</v>
      </c>
      <c r="C3226" s="2" t="s">
        <v>569</v>
      </c>
      <c r="D3226" s="2" t="str">
        <f t="shared" si="49"/>
        <v>Error?</v>
      </c>
    </row>
    <row r="3227" spans="1:4" x14ac:dyDescent="0.2">
      <c r="A3227" s="5">
        <v>3166</v>
      </c>
      <c r="B3227" s="1832">
        <f>'Acct Summary 7-8'!I20</f>
        <v>19279</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-242341</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-45840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8040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7262</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361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54231</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19279</v>
      </c>
      <c r="C3320" s="2" t="s">
        <v>569</v>
      </c>
      <c r="D3320" s="2" t="str">
        <f t="shared" si="50"/>
        <v>Error?</v>
      </c>
    </row>
    <row r="3321" spans="1:4" x14ac:dyDescent="0.2">
      <c r="A3321" s="5">
        <v>3260</v>
      </c>
      <c r="B3321" s="1832">
        <f>'Acct Summary 7-8'!I79</f>
        <v>331724</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351003</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354154</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61233</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10708</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4485</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430580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36502</v>
      </c>
      <c r="D3387" s="2" t="str">
        <f t="shared" si="51"/>
        <v>Error?</v>
      </c>
    </row>
    <row r="3388" spans="1:4" x14ac:dyDescent="0.2">
      <c r="A3388" s="5">
        <v>3327</v>
      </c>
      <c r="B3388" s="1832">
        <f>'Expenditures 15-22'!D217</f>
        <v>17644</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36502</v>
      </c>
      <c r="C3390" s="2" t="s">
        <v>569</v>
      </c>
      <c r="D3390" s="2" t="str">
        <f t="shared" si="51"/>
        <v>Error?</v>
      </c>
    </row>
    <row r="3391" spans="1:4" x14ac:dyDescent="0.2">
      <c r="A3391" s="5">
        <v>3330</v>
      </c>
      <c r="B3391" s="1832">
        <f>'Expenditures 15-22'!K217</f>
        <v>17644</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2599522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490199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57469</v>
      </c>
      <c r="D3417" s="2" t="str">
        <f t="shared" si="52"/>
        <v>Error?</v>
      </c>
    </row>
    <row r="3418" spans="1:4" x14ac:dyDescent="0.2">
      <c r="A3418" s="10">
        <v>3357</v>
      </c>
      <c r="B3418" s="1832"/>
      <c r="D3418" s="2" t="str">
        <f t="shared" si="52"/>
        <v>OK</v>
      </c>
    </row>
    <row r="3419" spans="1:4" x14ac:dyDescent="0.2">
      <c r="A3419" s="5">
        <v>3358</v>
      </c>
      <c r="B3419" s="1832">
        <f>'Assets-Liab 5-6'!F4</f>
        <v>50972</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18040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54231</v>
      </c>
      <c r="D3425" s="2" t="str">
        <f t="shared" si="52"/>
        <v>Error?</v>
      </c>
    </row>
    <row r="3426" spans="1:4" x14ac:dyDescent="0.2">
      <c r="A3426" s="10">
        <v>3365</v>
      </c>
      <c r="B3426" s="1832"/>
      <c r="D3426" s="2" t="str">
        <f t="shared" si="52"/>
        <v>OK</v>
      </c>
    </row>
    <row r="3427" spans="1:4" x14ac:dyDescent="0.2">
      <c r="A3427" s="5">
        <v>3366</v>
      </c>
      <c r="B3427" s="1832">
        <f>'Assets-Liab 5-6'!I4</f>
        <v>351003</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112348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75339</v>
      </c>
      <c r="C3446" s="2" t="s">
        <v>569</v>
      </c>
      <c r="D3446" s="2" t="str">
        <f t="shared" si="52"/>
        <v>Error?</v>
      </c>
    </row>
    <row r="3447" spans="1:4" x14ac:dyDescent="0.2">
      <c r="A3447" s="5">
        <v>3386</v>
      </c>
      <c r="B3447" s="1832">
        <f>'Tax Sched 23'!D16</f>
        <v>75339</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86542</v>
      </c>
      <c r="C3449" s="2" t="s">
        <v>569</v>
      </c>
      <c r="D3449" s="2" t="str">
        <f t="shared" si="52"/>
        <v>Error?</v>
      </c>
    </row>
    <row r="3450" spans="1:4" x14ac:dyDescent="0.2">
      <c r="A3450" s="5">
        <v>3389</v>
      </c>
      <c r="B3450" s="1832">
        <f>'Tax Sched 23'!E16</f>
        <v>86542</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15675</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15675</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15675</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15675</v>
      </c>
      <c r="C3568" s="2" t="s">
        <v>569</v>
      </c>
      <c r="D3568" s="2" t="str">
        <f t="shared" si="54"/>
        <v>Error?</v>
      </c>
    </row>
    <row r="3569" spans="1:4" x14ac:dyDescent="0.2">
      <c r="A3569" s="5">
        <v>3508</v>
      </c>
      <c r="B3569" s="1832">
        <f>'Acct Summary 7-8'!K4</f>
        <v>18967</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18967</v>
      </c>
      <c r="C3571" s="2" t="s">
        <v>569</v>
      </c>
      <c r="D3571" s="2" t="str">
        <f t="shared" si="54"/>
        <v>Error?</v>
      </c>
    </row>
    <row r="3572" spans="1:4" x14ac:dyDescent="0.2">
      <c r="A3572" s="5">
        <v>3511</v>
      </c>
      <c r="B3572" s="1832">
        <f>'Acct Summary 7-8'!K13</f>
        <v>4708</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4708</v>
      </c>
      <c r="C3575" s="2" t="s">
        <v>569</v>
      </c>
      <c r="D3575" s="2" t="str">
        <f t="shared" si="54"/>
        <v>Error?</v>
      </c>
    </row>
    <row r="3576" spans="1:4" x14ac:dyDescent="0.2">
      <c r="A3576" s="5">
        <v>3515</v>
      </c>
      <c r="B3576" s="1832">
        <f>'Acct Summary 7-8'!K20</f>
        <v>14259</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14259</v>
      </c>
      <c r="C3588" s="2" t="s">
        <v>569</v>
      </c>
      <c r="D3588" s="2" t="str">
        <f t="shared" si="55"/>
        <v>Error?</v>
      </c>
    </row>
    <row r="3589" spans="1:4" x14ac:dyDescent="0.2">
      <c r="A3589" s="5">
        <v>3528</v>
      </c>
      <c r="B3589" s="1832">
        <f>'Acct Summary 7-8'!K79</f>
        <v>1416</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15675</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4708</v>
      </c>
      <c r="D3632" s="2" t="str">
        <f t="shared" si="55"/>
        <v>Error?</v>
      </c>
    </row>
    <row r="3633" spans="1:4" x14ac:dyDescent="0.2">
      <c r="A3633" s="5">
        <v>3572</v>
      </c>
      <c r="B3633" s="1832">
        <f>'Expenditures 15-22'!E350</f>
        <v>4708</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4708</v>
      </c>
      <c r="C3635" s="2" t="s">
        <v>569</v>
      </c>
      <c r="D3635" s="2" t="str">
        <f t="shared" si="55"/>
        <v>Error?</v>
      </c>
    </row>
    <row r="3636" spans="1:4" x14ac:dyDescent="0.2">
      <c r="A3636" s="5">
        <v>3575</v>
      </c>
      <c r="B3636" s="1832">
        <f>'Expenditures 15-22'!E367</f>
        <v>4708</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4708</v>
      </c>
      <c r="C3669" s="2" t="s">
        <v>569</v>
      </c>
      <c r="D3669" s="2" t="str">
        <f t="shared" si="56"/>
        <v>Error?</v>
      </c>
    </row>
    <row r="3670" spans="1:4" x14ac:dyDescent="0.2">
      <c r="A3670" s="5">
        <v>3609</v>
      </c>
      <c r="B3670" s="1832">
        <f>'Expenditures 15-22'!K350</f>
        <v>4708</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4708</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4708</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14259</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180151</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2248059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6977559</v>
      </c>
      <c r="C4122" s="2" t="s">
        <v>569</v>
      </c>
      <c r="D4122" s="2" t="str">
        <f t="shared" si="63"/>
        <v>Error?</v>
      </c>
    </row>
    <row r="4123" spans="1:4" x14ac:dyDescent="0.2">
      <c r="A4123" s="5">
        <v>4062</v>
      </c>
      <c r="B4123" s="1832">
        <f>'Acct Summary 7-8'!D10</f>
        <v>243339</v>
      </c>
      <c r="C4123" s="2" t="s">
        <v>569</v>
      </c>
      <c r="D4123" s="2" t="str">
        <f t="shared" si="63"/>
        <v>Error?</v>
      </c>
    </row>
    <row r="4124" spans="1:4" x14ac:dyDescent="0.2">
      <c r="A4124" s="5">
        <v>4063</v>
      </c>
      <c r="B4124" s="1832">
        <f>'Acct Summary 7-8'!E10</f>
        <v>246894</v>
      </c>
      <c r="C4124" s="2" t="s">
        <v>569</v>
      </c>
      <c r="D4124" s="2" t="str">
        <f t="shared" si="63"/>
        <v>Error?</v>
      </c>
    </row>
    <row r="4125" spans="1:4" x14ac:dyDescent="0.2">
      <c r="A4125" s="5">
        <v>4064</v>
      </c>
      <c r="B4125" s="1832">
        <f>'Acct Summary 7-8'!F10</f>
        <v>344680</v>
      </c>
      <c r="C4125" s="2" t="s">
        <v>569</v>
      </c>
      <c r="D4125" s="2" t="str">
        <f t="shared" si="63"/>
        <v>Error?</v>
      </c>
    </row>
    <row r="4126" spans="1:4" x14ac:dyDescent="0.2">
      <c r="A4126" s="5">
        <v>4065</v>
      </c>
      <c r="B4126" s="1832">
        <f>'Acct Summary 7-8'!G10</f>
        <v>162515</v>
      </c>
      <c r="C4126" s="2" t="s">
        <v>569</v>
      </c>
      <c r="D4126" s="2" t="str">
        <f t="shared" si="63"/>
        <v>Error?</v>
      </c>
    </row>
    <row r="4127" spans="1:4" x14ac:dyDescent="0.2">
      <c r="A4127" s="5">
        <v>4066</v>
      </c>
      <c r="B4127" s="1832">
        <f>'Acct Summary 7-8'!H10</f>
        <v>131011</v>
      </c>
      <c r="C4127" s="2" t="s">
        <v>569</v>
      </c>
      <c r="D4127" s="2" t="str">
        <f t="shared" si="63"/>
        <v>Error?</v>
      </c>
    </row>
    <row r="4128" spans="1:4" x14ac:dyDescent="0.2">
      <c r="A4128" s="5">
        <v>4067</v>
      </c>
      <c r="B4128" s="1832">
        <f>'Acct Summary 7-8'!I10</f>
        <v>19279</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18967</v>
      </c>
      <c r="C4130" s="2" t="s">
        <v>569</v>
      </c>
      <c r="D4130" s="2" t="str">
        <f t="shared" si="63"/>
        <v>Error?</v>
      </c>
    </row>
    <row r="4131" spans="1:4" x14ac:dyDescent="0.2">
      <c r="A4131" s="5">
        <v>4070</v>
      </c>
      <c r="B4131" s="1832">
        <f>'Acct Summary 7-8'!C18</f>
        <v>2248059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7219900</v>
      </c>
      <c r="C4136" s="2" t="s">
        <v>569</v>
      </c>
      <c r="D4136" s="2" t="str">
        <f t="shared" si="63"/>
        <v>Error?</v>
      </c>
    </row>
    <row r="4137" spans="1:4" x14ac:dyDescent="0.2">
      <c r="A4137" s="5">
        <v>4076</v>
      </c>
      <c r="B4137" s="1832">
        <f>'Acct Summary 7-8'!D19</f>
        <v>289179</v>
      </c>
      <c r="C4137" s="2" t="s">
        <v>569</v>
      </c>
      <c r="D4137" s="2" t="str">
        <f t="shared" si="63"/>
        <v>Error?</v>
      </c>
    </row>
    <row r="4138" spans="1:4" x14ac:dyDescent="0.2">
      <c r="A4138" s="5">
        <v>4077</v>
      </c>
      <c r="B4138" s="1832">
        <f>'Acct Summary 7-8'!E19</f>
        <v>246533</v>
      </c>
      <c r="C4138" s="2" t="s">
        <v>569</v>
      </c>
      <c r="D4138" s="2" t="str">
        <f t="shared" si="63"/>
        <v>Error?</v>
      </c>
    </row>
    <row r="4139" spans="1:4" x14ac:dyDescent="0.2">
      <c r="A4139" s="5">
        <v>4078</v>
      </c>
      <c r="B4139" s="1832">
        <f>'Acct Summary 7-8'!F19</f>
        <v>336640</v>
      </c>
      <c r="C4139" s="2" t="s">
        <v>569</v>
      </c>
      <c r="D4139" s="2" t="str">
        <f t="shared" si="63"/>
        <v>Error?</v>
      </c>
    </row>
    <row r="4140" spans="1:4" x14ac:dyDescent="0.2">
      <c r="A4140" s="5">
        <v>4079</v>
      </c>
      <c r="B4140" s="1832">
        <f>'Acct Summary 7-8'!G19</f>
        <v>155253</v>
      </c>
      <c r="C4140" s="2" t="s">
        <v>569</v>
      </c>
      <c r="D4140" s="2" t="str">
        <f t="shared" si="63"/>
        <v>Error?</v>
      </c>
    </row>
    <row r="4141" spans="1:4" x14ac:dyDescent="0.2">
      <c r="A4141" s="5">
        <v>4080</v>
      </c>
      <c r="B4141" s="1832">
        <f>'Acct Summary 7-8'!H19</f>
        <v>76780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4708</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1465000</v>
      </c>
      <c r="C4171" s="2" t="s">
        <v>569</v>
      </c>
      <c r="D4171" s="2" t="str">
        <f t="shared" si="64"/>
        <v>Error?</v>
      </c>
    </row>
    <row r="4172" spans="1:4" x14ac:dyDescent="0.2">
      <c r="A4172" s="5">
        <v>4111</v>
      </c>
      <c r="B4172" s="1832">
        <f>'Short-Term Long-Term Debt 24'!J49</f>
        <v>1407531</v>
      </c>
      <c r="C4172" s="2" t="s">
        <v>569</v>
      </c>
      <c r="D4172" s="2" t="str">
        <f t="shared" si="64"/>
        <v>Error?</v>
      </c>
    </row>
    <row r="4173" spans="1:4" x14ac:dyDescent="0.2">
      <c r="A4173" s="5">
        <v>4112</v>
      </c>
      <c r="B4173" s="1832">
        <f>'Short-Term Long-Term Debt 24'!H49</f>
        <v>195000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1451.14</v>
      </c>
      <c r="C4265" s="2" t="s">
        <v>569</v>
      </c>
      <c r="D4265" s="2" t="str">
        <f t="shared" si="65"/>
        <v>Error?</v>
      </c>
      <c r="E4265" s="125"/>
    </row>
    <row r="4266" spans="1:5" x14ac:dyDescent="0.2">
      <c r="A4266" s="12">
        <v>4205</v>
      </c>
      <c r="B4266" s="1832">
        <f>('FP Info 3'!F10)*100000</f>
        <v>457.46</v>
      </c>
      <c r="C4266" s="2" t="s">
        <v>569</v>
      </c>
      <c r="D4266" s="2" t="str">
        <f t="shared" si="65"/>
        <v>Error?</v>
      </c>
      <c r="E4266" s="125"/>
    </row>
    <row r="4267" spans="1:5" x14ac:dyDescent="0.2">
      <c r="A4267" s="12">
        <v>4206</v>
      </c>
      <c r="B4267" s="1832">
        <f>('FP Info 3'!H10)*100000</f>
        <v>199.99900000000002</v>
      </c>
      <c r="C4267" s="2" t="s">
        <v>569</v>
      </c>
      <c r="D4267" s="2" t="str">
        <f t="shared" si="65"/>
        <v>Error?</v>
      </c>
      <c r="E4267" s="125"/>
    </row>
    <row r="4268" spans="1:5" x14ac:dyDescent="0.2">
      <c r="A4268" s="12">
        <v>4207</v>
      </c>
      <c r="B4268" s="1832">
        <f>('FP Info 3'!J10)*100000</f>
        <v>2109</v>
      </c>
      <c r="C4268" s="2" t="s">
        <v>569</v>
      </c>
      <c r="D4268" s="2" t="str">
        <f t="shared" si="65"/>
        <v>Error?</v>
      </c>
    </row>
    <row r="4269" spans="1:5" x14ac:dyDescent="0.2">
      <c r="A4269" s="12">
        <v>4208</v>
      </c>
      <c r="B4269" s="1832">
        <f>'FP Info 3'!J16</f>
        <v>3491696</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12637</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20176</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29434</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30811</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50000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31099</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39366217</v>
      </c>
      <c r="D4995" s="2" t="str">
        <f t="shared" si="77"/>
        <v>Error?</v>
      </c>
    </row>
    <row r="4996" spans="1:4" x14ac:dyDescent="0.2">
      <c r="A4996" s="12">
        <v>4935</v>
      </c>
      <c r="B4996" s="1832">
        <f>'FP Info 3'!H31</f>
        <v>5432537.9460000005</v>
      </c>
      <c r="D4996" s="2" t="str">
        <f t="shared" si="77"/>
        <v>Error?</v>
      </c>
    </row>
    <row r="4997" spans="1:4" x14ac:dyDescent="0.2">
      <c r="A4997" s="12">
        <v>4936</v>
      </c>
      <c r="B4997" s="1832">
        <f>'FP Info 3'!H37</f>
        <v>1465000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555716</v>
      </c>
      <c r="D5061" s="2" t="str">
        <f t="shared" si="78"/>
        <v>Error?</v>
      </c>
    </row>
    <row r="5062" spans="1:4" x14ac:dyDescent="0.2">
      <c r="A5062" s="10">
        <v>5001</v>
      </c>
      <c r="B5062" s="1832"/>
      <c r="D5062" s="2" t="str">
        <f t="shared" si="78"/>
        <v>OK</v>
      </c>
    </row>
    <row r="5063" spans="1:4" x14ac:dyDescent="0.2">
      <c r="A5063" s="5">
        <v>5002</v>
      </c>
      <c r="B5063" s="1832">
        <f>'Revenues 9-14'!C7</f>
        <v>15137</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570853</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70790</v>
      </c>
      <c r="D5069" s="2" t="str">
        <f t="shared" si="78"/>
        <v>Error?</v>
      </c>
    </row>
    <row r="5070" spans="1:4" x14ac:dyDescent="0.2">
      <c r="A5070" s="5">
        <v>5009</v>
      </c>
      <c r="B5070" s="1832">
        <f>'Revenues 9-14'!C17</f>
        <v>563</v>
      </c>
      <c r="D5070" s="2" t="str">
        <f t="shared" si="78"/>
        <v>Error?</v>
      </c>
    </row>
    <row r="5071" spans="1:4" x14ac:dyDescent="0.2">
      <c r="A5071" s="5">
        <v>5010</v>
      </c>
      <c r="B5071" s="1832">
        <f>'Revenues 9-14'!C18</f>
        <v>71353</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25184</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25184</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1409</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3977</v>
      </c>
      <c r="D5094" s="2" t="str">
        <f t="shared" si="78"/>
        <v>Error?</v>
      </c>
    </row>
    <row r="5095" spans="1:4" x14ac:dyDescent="0.2">
      <c r="A5095" s="5">
        <v>5034</v>
      </c>
      <c r="B5095" s="1832">
        <f>'Revenues 9-14'!C74</f>
        <v>7305</v>
      </c>
      <c r="D5095" s="2" t="str">
        <f t="shared" si="78"/>
        <v>Error?</v>
      </c>
    </row>
    <row r="5096" spans="1:4" x14ac:dyDescent="0.2">
      <c r="A5096" s="5">
        <v>5035</v>
      </c>
      <c r="B5096" s="1832">
        <f>'Revenues 9-14'!C75</f>
        <v>13241</v>
      </c>
      <c r="C5096" s="2" t="s">
        <v>569</v>
      </c>
      <c r="D5096" s="2" t="str">
        <f t="shared" si="78"/>
        <v>Error?</v>
      </c>
    </row>
    <row r="5097" spans="1:4" x14ac:dyDescent="0.2">
      <c r="A5097" s="5">
        <v>5036</v>
      </c>
      <c r="B5097" s="1832">
        <f>'Revenues 9-14'!C77</f>
        <v>25003</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25003</v>
      </c>
      <c r="C5102" s="2" t="s">
        <v>569</v>
      </c>
      <c r="D5102" s="2" t="str">
        <f t="shared" si="78"/>
        <v>Error?</v>
      </c>
    </row>
    <row r="5103" spans="1:4" x14ac:dyDescent="0.2">
      <c r="A5103" s="5">
        <v>5042</v>
      </c>
      <c r="B5103" s="1832">
        <f>'Revenues 9-14'!C84</f>
        <v>8465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52</v>
      </c>
      <c r="D5111" s="2" t="str">
        <f t="shared" si="78"/>
        <v>Error?</v>
      </c>
    </row>
    <row r="5112" spans="1:4" x14ac:dyDescent="0.2">
      <c r="A5112" s="5">
        <v>5051</v>
      </c>
      <c r="B5112" s="1832">
        <f>'Revenues 9-14'!C93</f>
        <v>8517</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7742</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13817</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7981</v>
      </c>
      <c r="D5118" s="2" t="str">
        <f t="shared" si="78"/>
        <v>Error?</v>
      </c>
    </row>
    <row r="5119" spans="1:4" x14ac:dyDescent="0.2">
      <c r="A5119" s="5">
        <v>5058</v>
      </c>
      <c r="B5119" s="1832">
        <f>'Revenues 9-14'!C107</f>
        <v>47673</v>
      </c>
      <c r="D5119" s="2" t="str">
        <f t="shared" ref="D5119:D5182" si="79">IF(ISBLANK(B5119),"OK",IF(A5119-B5119=0,"OK","Error?"))</f>
        <v>Error?</v>
      </c>
    </row>
    <row r="5120" spans="1:4" x14ac:dyDescent="0.2">
      <c r="A5120" s="5">
        <v>5059</v>
      </c>
      <c r="B5120" s="1832">
        <f>'Revenues 9-14'!C108</f>
        <v>77213</v>
      </c>
      <c r="C5120" s="2" t="s">
        <v>569</v>
      </c>
      <c r="D5120" s="2" t="str">
        <f t="shared" si="79"/>
        <v>Error?</v>
      </c>
    </row>
    <row r="5121" spans="1:4" x14ac:dyDescent="0.2">
      <c r="A5121" s="5">
        <v>5060</v>
      </c>
      <c r="B5121" s="1832">
        <f>'Revenues 9-14'!C109</f>
        <v>791364</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3319364</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3319364</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20610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2520</v>
      </c>
      <c r="D5167" s="2" t="str">
        <f t="shared" si="79"/>
        <v>Error?</v>
      </c>
    </row>
    <row r="5168" spans="1:4" x14ac:dyDescent="0.2">
      <c r="A5168" s="5">
        <v>5107</v>
      </c>
      <c r="B5168" s="1832">
        <f>'Revenues 9-14'!C148</f>
        <v>6253</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30133</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3349497</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130563</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28798</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160483</v>
      </c>
      <c r="C5246" s="2" t="s">
        <v>569</v>
      </c>
      <c r="D5246" s="2" t="str">
        <f t="shared" si="80"/>
        <v>Error?</v>
      </c>
    </row>
    <row r="5247" spans="1:4" x14ac:dyDescent="0.2">
      <c r="A5247" s="5">
        <v>5186</v>
      </c>
      <c r="B5247" s="1832">
        <f>'Revenues 9-14'!C200</f>
        <v>201340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29434</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201340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3741</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98863</v>
      </c>
      <c r="D5278" s="2" t="str">
        <f t="shared" si="81"/>
        <v>Error?</v>
      </c>
    </row>
    <row r="5279" spans="1:4" x14ac:dyDescent="0.2">
      <c r="A5279" s="5">
        <v>5218</v>
      </c>
      <c r="B5279" s="1832">
        <f>'Revenues 9-14'!C214</f>
        <v>55</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102659</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588639</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588639</v>
      </c>
      <c r="C5326" s="2" t="s">
        <v>569</v>
      </c>
      <c r="D5326" s="2" t="str">
        <f t="shared" si="82"/>
        <v>Error?</v>
      </c>
    </row>
    <row r="5327" spans="1:5" x14ac:dyDescent="0.2">
      <c r="A5327" s="5">
        <v>5266</v>
      </c>
      <c r="B5327" s="1832">
        <f>'Revenues 9-14'!C268</f>
        <v>4729500</v>
      </c>
      <c r="C5327" s="2" t="s">
        <v>569</v>
      </c>
      <c r="D5327" s="2" t="str">
        <f t="shared" si="82"/>
        <v>Error?</v>
      </c>
    </row>
    <row r="5328" spans="1:5" x14ac:dyDescent="0.2">
      <c r="A5328" s="5">
        <v>5267</v>
      </c>
      <c r="B5328" s="1832">
        <f>'Revenues 9-14'!D5</f>
        <v>175300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175300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10728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10728</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6000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386</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925</v>
      </c>
      <c r="D5354" s="2" t="str">
        <f t="shared" si="82"/>
        <v>Error?</v>
      </c>
    </row>
    <row r="5355" spans="1:4" x14ac:dyDescent="0.2">
      <c r="A5355" s="5">
        <v>5294</v>
      </c>
      <c r="B5355" s="1832">
        <f>'Revenues 9-14'!D108</f>
        <v>7311</v>
      </c>
      <c r="C5355" s="2" t="s">
        <v>569</v>
      </c>
      <c r="D5355" s="2" t="str">
        <f t="shared" si="82"/>
        <v>Error?</v>
      </c>
    </row>
    <row r="5356" spans="1:4" x14ac:dyDescent="0.2">
      <c r="A5356" s="5">
        <v>5295</v>
      </c>
      <c r="B5356" s="1832">
        <f>'Revenues 9-14'!D109</f>
        <v>193339</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243339</v>
      </c>
      <c r="C5508" s="2" t="s">
        <v>569</v>
      </c>
      <c r="D5508" s="2" t="str">
        <f t="shared" si="85"/>
        <v>Error?</v>
      </c>
    </row>
    <row r="5509" spans="1:4" x14ac:dyDescent="0.2">
      <c r="A5509" s="5">
        <v>5448</v>
      </c>
      <c r="B5509" s="1832">
        <f>'Revenues 9-14'!E5</f>
        <v>246817</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246817</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77</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77</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246894</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246894</v>
      </c>
      <c r="C5552" s="2" t="s">
        <v>569</v>
      </c>
      <c r="D5552" s="2" t="str">
        <f t="shared" si="85"/>
        <v>Error?</v>
      </c>
    </row>
    <row r="5553" spans="1:4" x14ac:dyDescent="0.2">
      <c r="A5553" s="5">
        <v>5492</v>
      </c>
      <c r="B5553" s="1832">
        <f>'Revenues 9-14'!F5</f>
        <v>75666</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75666</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40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40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75706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60000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60000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125701</v>
      </c>
      <c r="D5615" s="2" t="str">
        <f t="shared" si="86"/>
        <v>Error?</v>
      </c>
    </row>
    <row r="5616" spans="1:4" x14ac:dyDescent="0.2">
      <c r="A5616" s="10">
        <v>5555</v>
      </c>
      <c r="B5616" s="1832"/>
      <c r="D5616" s="2" t="str">
        <f t="shared" si="86"/>
        <v>OK</v>
      </c>
    </row>
    <row r="5617" spans="1:5" x14ac:dyDescent="0.2">
      <c r="A5617" s="5">
        <v>5556</v>
      </c>
      <c r="B5617" s="1832">
        <f>'Revenues 9-14'!F153</f>
        <v>83273</v>
      </c>
      <c r="D5617" s="2" t="str">
        <f t="shared" si="86"/>
        <v>Error?</v>
      </c>
    </row>
    <row r="5618" spans="1:5" x14ac:dyDescent="0.2">
      <c r="A5618" s="5">
        <v>5557</v>
      </c>
      <c r="B5618" s="1832">
        <f>'Revenues 9-14'!F155</f>
        <v>208974</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208974</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268974</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344680</v>
      </c>
      <c r="C5720" s="2" t="s">
        <v>569</v>
      </c>
      <c r="D5720" s="2" t="str">
        <f t="shared" si="88"/>
        <v>Error?</v>
      </c>
    </row>
    <row r="5721" spans="1:4" x14ac:dyDescent="0.2">
      <c r="A5721" s="5">
        <v>5660</v>
      </c>
      <c r="B5721" s="1832">
        <f>'Revenues 9-14'!G5</f>
        <v>61552</v>
      </c>
      <c r="D5721" s="2" t="str">
        <f t="shared" si="88"/>
        <v>Error?</v>
      </c>
    </row>
    <row r="5722" spans="1:4" x14ac:dyDescent="0.2">
      <c r="A5722" s="5">
        <v>5661</v>
      </c>
      <c r="B5722" s="1832">
        <f>'Revenues 9-14'!G7</f>
        <v>0</v>
      </c>
      <c r="D5722" s="2" t="str">
        <f t="shared" si="88"/>
        <v>Error?</v>
      </c>
    </row>
    <row r="5723" spans="1:4" x14ac:dyDescent="0.2">
      <c r="A5723" s="5">
        <v>5662</v>
      </c>
      <c r="B5723" s="1832">
        <f>'Revenues 9-14'!G8</f>
        <v>75339</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136891</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5613</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5613</v>
      </c>
      <c r="C5730" s="2" t="s">
        <v>569</v>
      </c>
      <c r="D5730" s="2" t="str">
        <f t="shared" si="88"/>
        <v>Error?</v>
      </c>
    </row>
    <row r="5731" spans="1:4" x14ac:dyDescent="0.2">
      <c r="A5731" s="5">
        <v>5670</v>
      </c>
      <c r="B5731" s="1832">
        <f>'Revenues 9-14'!G65</f>
        <v>11</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11</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20000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20000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20000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162515</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9</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9</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131002</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131011</v>
      </c>
      <c r="C5915" s="2" t="s">
        <v>569</v>
      </c>
      <c r="D5915" s="2" t="str">
        <f t="shared" si="91"/>
        <v>Error?</v>
      </c>
    </row>
    <row r="5916" spans="1:4" x14ac:dyDescent="0.2">
      <c r="A5916" s="5">
        <v>5855</v>
      </c>
      <c r="B5916" s="1832">
        <f>'Revenues 9-14'!I5</f>
        <v>18917</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18917</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362</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362</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19279</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18920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18920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47</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47</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18967</v>
      </c>
      <c r="C6023" s="2" t="s">
        <v>569</v>
      </c>
      <c r="D6023" s="2" t="str">
        <f t="shared" si="93"/>
        <v>Error?</v>
      </c>
    </row>
    <row r="6024" spans="1:5" x14ac:dyDescent="0.2">
      <c r="A6024" s="5">
        <v>5963</v>
      </c>
      <c r="B6024" s="1832">
        <f>'Revenues 9-14'!G109</f>
        <v>142515</v>
      </c>
      <c r="C6024" s="2" t="s">
        <v>569</v>
      </c>
      <c r="D6024" s="2" t="str">
        <f t="shared" si="93"/>
        <v>Error?</v>
      </c>
    </row>
    <row r="6025" spans="1:5" x14ac:dyDescent="0.2">
      <c r="A6025" s="5">
        <v>5964</v>
      </c>
      <c r="B6025" s="1832">
        <f>'Revenues 9-14'!H109</f>
        <v>131011</v>
      </c>
      <c r="C6025" s="2" t="s">
        <v>569</v>
      </c>
      <c r="D6025" s="2" t="str">
        <f t="shared" si="93"/>
        <v>Error?</v>
      </c>
    </row>
    <row r="6026" spans="1:5" x14ac:dyDescent="0.2">
      <c r="A6026" s="5">
        <v>5965</v>
      </c>
      <c r="B6026" s="1832">
        <f>'Revenues 9-14'!I109</f>
        <v>19279</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18967</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550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18031</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498.81</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88632</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88632</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88632</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88632</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88632</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-242341</v>
      </c>
      <c r="D6267" s="2" t="str">
        <f t="shared" si="96"/>
        <v>Error?</v>
      </c>
      <c r="E6267" s="2" t="s">
        <v>189</v>
      </c>
    </row>
    <row r="6268" spans="1:5" x14ac:dyDescent="0.2">
      <c r="A6268">
        <v>6207</v>
      </c>
      <c r="B6268" s="1832">
        <f>'Acct Summary 7-8'!D82</f>
        <v>-45840</v>
      </c>
      <c r="D6268" s="2" t="str">
        <f t="shared" si="96"/>
        <v>Error?</v>
      </c>
      <c r="E6268" s="2" t="s">
        <v>189</v>
      </c>
    </row>
    <row r="6269" spans="1:5" x14ac:dyDescent="0.2">
      <c r="A6269">
        <v>6208</v>
      </c>
      <c r="B6269" s="1832">
        <f>'Acct Summary 7-8'!E82</f>
        <v>361</v>
      </c>
      <c r="D6269" s="2" t="str">
        <f t="shared" si="96"/>
        <v>Error?</v>
      </c>
      <c r="E6269" s="2" t="s">
        <v>189</v>
      </c>
    </row>
    <row r="6270" spans="1:5" x14ac:dyDescent="0.2">
      <c r="A6270">
        <v>6209</v>
      </c>
      <c r="B6270" s="1832">
        <f>'Acct Summary 7-8'!F82</f>
        <v>8040</v>
      </c>
      <c r="D6270" s="2" t="str">
        <f t="shared" si="96"/>
        <v>Error?</v>
      </c>
      <c r="E6270" s="2" t="s">
        <v>189</v>
      </c>
    </row>
    <row r="6271" spans="1:5" x14ac:dyDescent="0.2">
      <c r="A6271">
        <v>6210</v>
      </c>
      <c r="B6271" s="1832">
        <f>'Acct Summary 7-8'!G82</f>
        <v>7262</v>
      </c>
      <c r="D6271" s="2" t="str">
        <f t="shared" ref="D6271:D6334" si="97">IF(ISBLANK(B6271),"OK",IF(A6271-B6271=0,"OK","Error?"))</f>
        <v>Error?</v>
      </c>
      <c r="E6271" s="2" t="s">
        <v>189</v>
      </c>
    </row>
    <row r="6272" spans="1:5" x14ac:dyDescent="0.2">
      <c r="A6272">
        <v>6211</v>
      </c>
      <c r="B6272" s="1832">
        <f>'Acct Summary 7-8'!H82</f>
        <v>54231</v>
      </c>
      <c r="D6272" s="2" t="str">
        <f t="shared" si="97"/>
        <v>Error?</v>
      </c>
      <c r="E6272" s="2" t="s">
        <v>189</v>
      </c>
    </row>
    <row r="6273" spans="1:5" x14ac:dyDescent="0.2">
      <c r="A6273">
        <v>6212</v>
      </c>
      <c r="B6273" s="1832">
        <f>'Acct Summary 7-8'!I82</f>
        <v>19279</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14259</v>
      </c>
      <c r="D6275" s="2" t="str">
        <f t="shared" si="97"/>
        <v>Error?</v>
      </c>
      <c r="E6275" s="2" t="s">
        <v>189</v>
      </c>
    </row>
    <row r="6276" spans="1:5" x14ac:dyDescent="0.2">
      <c r="A6276">
        <v>6215</v>
      </c>
      <c r="B6276" s="1832">
        <f>'Acct Summary 7-8'!C83</f>
        <v>-9.3225216020483767E-2</v>
      </c>
      <c r="D6276" s="2" t="str">
        <f t="shared" si="97"/>
        <v>Error?</v>
      </c>
      <c r="E6276" s="2" t="s">
        <v>189</v>
      </c>
    </row>
    <row r="6277" spans="1:5" x14ac:dyDescent="0.2">
      <c r="A6277">
        <v>6216</v>
      </c>
      <c r="B6277" s="1832">
        <f>'Acct Summary 7-8'!D83</f>
        <v>-9.3513042662265733E-2</v>
      </c>
      <c r="D6277" s="2" t="str">
        <f t="shared" si="97"/>
        <v>Error?</v>
      </c>
      <c r="E6277" s="2" t="s">
        <v>189</v>
      </c>
    </row>
    <row r="6278" spans="1:5" x14ac:dyDescent="0.2">
      <c r="A6278">
        <v>6217</v>
      </c>
      <c r="B6278" s="1832">
        <f>'Acct Summary 7-8'!E83</f>
        <v>6.2816474969113779E-3</v>
      </c>
      <c r="D6278" s="2" t="str">
        <f t="shared" si="97"/>
        <v>Error?</v>
      </c>
      <c r="E6278" s="2" t="s">
        <v>189</v>
      </c>
    </row>
    <row r="6279" spans="1:5" x14ac:dyDescent="0.2">
      <c r="A6279">
        <v>6218</v>
      </c>
      <c r="B6279" s="1832">
        <f>'Acct Summary 7-8'!F83</f>
        <v>0.15773365769442046</v>
      </c>
      <c r="D6279" s="2" t="str">
        <f t="shared" si="97"/>
        <v>Error?</v>
      </c>
      <c r="E6279" s="2" t="s">
        <v>189</v>
      </c>
    </row>
    <row r="6280" spans="1:5" x14ac:dyDescent="0.2">
      <c r="A6280">
        <v>6219</v>
      </c>
      <c r="B6280" s="1832">
        <f>'Acct Summary 7-8'!G83</f>
        <v>0.40254988913525497</v>
      </c>
      <c r="D6280" s="2" t="str">
        <f t="shared" si="97"/>
        <v>Error?</v>
      </c>
      <c r="E6280" s="2" t="s">
        <v>189</v>
      </c>
    </row>
    <row r="6281" spans="1:5" x14ac:dyDescent="0.2">
      <c r="A6281">
        <v>6220</v>
      </c>
      <c r="B6281" s="1832">
        <f>'Acct Summary 7-8'!H83</f>
        <v>1</v>
      </c>
      <c r="D6281" s="2" t="str">
        <f t="shared" si="97"/>
        <v>Error?</v>
      </c>
      <c r="E6281" s="2" t="s">
        <v>189</v>
      </c>
    </row>
    <row r="6282" spans="1:5" x14ac:dyDescent="0.2">
      <c r="A6282">
        <v>6221</v>
      </c>
      <c r="B6282" s="1832">
        <f>'Acct Summary 7-8'!I83</f>
        <v>5.4925456477579966E-2</v>
      </c>
      <c r="D6282" s="2" t="str">
        <f t="shared" si="97"/>
        <v>Error?</v>
      </c>
      <c r="E6282" s="2" t="s">
        <v>189</v>
      </c>
    </row>
    <row r="6283" spans="1:5" x14ac:dyDescent="0.2">
      <c r="A6283">
        <v>6222</v>
      </c>
      <c r="B6283" s="1832" t="e">
        <f>'Acct Summary 7-8'!J83</f>
        <v>#DIV/0!</v>
      </c>
      <c r="D6283" s="2" t="e">
        <f t="shared" si="97"/>
        <v>#DIV/0!</v>
      </c>
      <c r="E6283" s="2" t="s">
        <v>189</v>
      </c>
    </row>
    <row r="6284" spans="1:5" x14ac:dyDescent="0.2">
      <c r="A6284">
        <v>6223</v>
      </c>
      <c r="B6284" s="1832">
        <f>'Acct Summary 7-8'!K83</f>
        <v>0.90966507177033495</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88632</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88632</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88632</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20610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57079</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73238</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24067</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88632</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88632</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257</v>
      </c>
      <c r="D7079" s="2" t="str">
        <f t="shared" si="109"/>
        <v>Error?</v>
      </c>
    </row>
    <row r="7080" spans="1:4" x14ac:dyDescent="0.2">
      <c r="A7080">
        <v>7019</v>
      </c>
      <c r="B7080" s="1832">
        <f>'Expenditures 15-22'!K226</f>
        <v>257</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17551</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17551</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70310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70310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771</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771</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88632</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88632</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88632</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88632</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13630</v>
      </c>
      <c r="D7246" s="2" t="str">
        <f t="shared" si="112"/>
        <v>Error?</v>
      </c>
    </row>
    <row r="7247" spans="1:4" x14ac:dyDescent="0.2">
      <c r="A7247">
        <f t="shared" si="113"/>
        <v>7186</v>
      </c>
      <c r="B7247" s="1832">
        <f>'Expenditures 15-22'!E7</f>
        <v>39</v>
      </c>
      <c r="D7247" s="2" t="str">
        <f t="shared" si="112"/>
        <v>Error?</v>
      </c>
    </row>
    <row r="7248" spans="1:4" x14ac:dyDescent="0.2">
      <c r="A7248">
        <f t="shared" si="113"/>
        <v>7187</v>
      </c>
      <c r="B7248" s="1832">
        <f>'Expenditures 15-22'!F7</f>
        <v>952</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1538</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17921</v>
      </c>
      <c r="D7263" s="2" t="str">
        <f t="shared" si="112"/>
        <v>Error?</v>
      </c>
    </row>
    <row r="7264" spans="1:4" x14ac:dyDescent="0.2">
      <c r="A7264">
        <f t="shared" si="113"/>
        <v>7203</v>
      </c>
      <c r="B7264" s="1832">
        <f>'Expenditures 15-22'!D17</f>
        <v>2680</v>
      </c>
      <c r="D7264" s="2" t="str">
        <f t="shared" si="112"/>
        <v>Error?</v>
      </c>
    </row>
    <row r="7265" spans="1:5" x14ac:dyDescent="0.2">
      <c r="A7265">
        <f t="shared" si="113"/>
        <v>7204</v>
      </c>
      <c r="B7265" s="1832">
        <f>'Expenditures 15-22'!E17</f>
        <v>3055</v>
      </c>
      <c r="D7265" s="2" t="str">
        <f t="shared" si="112"/>
        <v>Error?</v>
      </c>
    </row>
    <row r="7266" spans="1:5" x14ac:dyDescent="0.2">
      <c r="A7266">
        <f t="shared" si="113"/>
        <v>7205</v>
      </c>
      <c r="B7266" s="1832">
        <f>'Expenditures 15-22'!F17</f>
        <v>411</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540165</v>
      </c>
      <c r="D7615" s="2" t="str">
        <f t="shared" ref="D7615:D7678" si="124">IF(ISBLANK(B7615),"OK",IF(A7615-B7615=0,"OK","Error?"))</f>
        <v>Error?</v>
      </c>
      <c r="E7615" s="2" t="s">
        <v>19</v>
      </c>
    </row>
    <row r="7616" spans="1:5" x14ac:dyDescent="0.2">
      <c r="A7616">
        <f t="shared" si="123"/>
        <v>7555</v>
      </c>
      <c r="B7616" s="1832">
        <f>'Cap Outlay Deprec 26'!D14</f>
        <v>67131</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607296</v>
      </c>
      <c r="D7618" s="2" t="str">
        <f t="shared" si="124"/>
        <v>Error?</v>
      </c>
      <c r="E7618" s="2" t="s">
        <v>19</v>
      </c>
    </row>
    <row r="7619" spans="1:5" x14ac:dyDescent="0.2">
      <c r="A7619">
        <f t="shared" si="123"/>
        <v>7558</v>
      </c>
      <c r="B7619" s="1832">
        <f>'Cap Outlay Deprec 26'!H14</f>
        <v>496786</v>
      </c>
      <c r="D7619" s="2" t="str">
        <f t="shared" si="124"/>
        <v>Error?</v>
      </c>
      <c r="E7619" s="2" t="s">
        <v>19</v>
      </c>
    </row>
    <row r="7620" spans="1:5" x14ac:dyDescent="0.2">
      <c r="A7620">
        <f t="shared" si="123"/>
        <v>7559</v>
      </c>
      <c r="B7620" s="1832">
        <f>'Cap Outlay Deprec 26'!I14</f>
        <v>60222</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557008</v>
      </c>
      <c r="D7622" s="2" t="str">
        <f t="shared" si="124"/>
        <v>Error?</v>
      </c>
      <c r="E7622" s="2" t="s">
        <v>19</v>
      </c>
    </row>
    <row r="7623" spans="1:5" x14ac:dyDescent="0.2">
      <c r="A7623">
        <f t="shared" si="123"/>
        <v>7562</v>
      </c>
      <c r="B7623" s="1832">
        <f>'Cap Outlay Deprec 26'!L14</f>
        <v>50288</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325207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1122</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6253</v>
      </c>
      <c r="D7712" s="2" t="str">
        <f t="shared" si="126"/>
        <v>Error?</v>
      </c>
      <c r="E7712" s="2" t="s">
        <v>822</v>
      </c>
    </row>
    <row r="7713" spans="1:6" x14ac:dyDescent="0.2">
      <c r="A7713">
        <v>7652</v>
      </c>
      <c r="B7713" s="1832">
        <f>'Rest Tax Levies-Tort Im 25'!J8</f>
        <v>131002</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9</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131011</v>
      </c>
      <c r="D7718" s="2" t="str">
        <f t="shared" si="126"/>
        <v>Error?</v>
      </c>
      <c r="E7718" s="2" t="s">
        <v>822</v>
      </c>
    </row>
    <row r="7719" spans="1:6" x14ac:dyDescent="0.2">
      <c r="A7719">
        <v>7658</v>
      </c>
      <c r="B7719" s="1832">
        <f>'Rest Tax Levies-Tort Im 25'!K12</f>
        <v>6253</v>
      </c>
      <c r="D7719" s="2" t="str">
        <f t="shared" si="126"/>
        <v>Error?</v>
      </c>
      <c r="E7719" s="2" t="s">
        <v>822</v>
      </c>
    </row>
    <row r="7720" spans="1:6" x14ac:dyDescent="0.2">
      <c r="A7720">
        <v>7659</v>
      </c>
      <c r="B7720" s="1832">
        <f>'Rest Tax Levies-Tort Im 25'!H14</f>
        <v>15137</v>
      </c>
      <c r="D7720" s="2" t="str">
        <f t="shared" si="126"/>
        <v>Error?</v>
      </c>
      <c r="E7720" s="2" t="s">
        <v>822</v>
      </c>
    </row>
    <row r="7721" spans="1:6" x14ac:dyDescent="0.2">
      <c r="A7721">
        <v>7660</v>
      </c>
      <c r="B7721" s="1832">
        <f>'Rest Tax Levies-Tort Im 25'!K14</f>
        <v>6253</v>
      </c>
      <c r="D7721" s="2" t="str">
        <f t="shared" si="126"/>
        <v>Error?</v>
      </c>
      <c r="E7721" s="2" t="s">
        <v>822</v>
      </c>
    </row>
    <row r="7722" spans="1:6" x14ac:dyDescent="0.2">
      <c r="A7722">
        <v>7661</v>
      </c>
      <c r="B7722" s="1832">
        <f>'Rest Tax Levies-Tort Im 25'!J15</f>
        <v>76780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76780</v>
      </c>
      <c r="D7730" s="2" t="str">
        <f t="shared" si="126"/>
        <v>Error?</v>
      </c>
      <c r="E7730" s="2" t="s">
        <v>822</v>
      </c>
    </row>
    <row r="7731" spans="1:6" x14ac:dyDescent="0.2">
      <c r="A7731">
        <v>7670</v>
      </c>
      <c r="B7731" s="1832">
        <f>'Revenues 9-14'!H103</f>
        <v>131002</v>
      </c>
      <c r="D7731" s="2" t="str">
        <f t="shared" si="126"/>
        <v>Error?</v>
      </c>
      <c r="E7731" s="2" t="s">
        <v>822</v>
      </c>
    </row>
    <row r="7732" spans="1:6" x14ac:dyDescent="0.2">
      <c r="A7732">
        <v>7671</v>
      </c>
      <c r="B7732" s="1832">
        <f>'Rest Tax Levies-Tort Im 25'!J24</f>
        <v>54231</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54231</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6253</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1845000</v>
      </c>
      <c r="D7817" s="2" t="str">
        <f t="shared" si="128"/>
        <v>Error?</v>
      </c>
      <c r="E7817" s="4" t="s">
        <v>1966</v>
      </c>
    </row>
    <row r="7818" spans="1:5" x14ac:dyDescent="0.2">
      <c r="A7818">
        <v>7757</v>
      </c>
      <c r="B7818" s="1832">
        <f>'PCTC-OEPP 27-28'!F172</f>
        <v>179309</v>
      </c>
      <c r="D7818" s="2" t="str">
        <f t="shared" si="128"/>
        <v>Error?</v>
      </c>
      <c r="E7818" s="4" t="s">
        <v>1980</v>
      </c>
    </row>
    <row r="7819" spans="1:5" x14ac:dyDescent="0.2">
      <c r="A7819">
        <v>7758</v>
      </c>
      <c r="B7819" s="1832">
        <f>'PCTC-OEPP 27-28'!F173</f>
        <v>24022</v>
      </c>
      <c r="D7819" s="2" t="str">
        <f t="shared" si="128"/>
        <v>Error?</v>
      </c>
      <c r="E7819" s="4" t="s">
        <v>1980</v>
      </c>
    </row>
    <row r="7820" spans="1:5" x14ac:dyDescent="0.2">
      <c r="A7820">
        <v>7759</v>
      </c>
      <c r="B7820" s="1832">
        <f>'ICR Computation 30'!E40</f>
        <v>-286383</v>
      </c>
      <c r="D7820" s="2" t="str">
        <f t="shared" si="128"/>
        <v>Error?</v>
      </c>
    </row>
    <row r="7821" spans="1:5" x14ac:dyDescent="0.2">
      <c r="A7821">
        <v>7760</v>
      </c>
      <c r="B7821" s="1832">
        <f>'ICR Computation 30'!G40</f>
        <v>-286383</v>
      </c>
      <c r="D7821" s="2" t="str">
        <f t="shared" si="128"/>
        <v>Error?</v>
      </c>
    </row>
    <row r="7822" spans="1:5" x14ac:dyDescent="0.2">
      <c r="A7822" s="1">
        <v>7761</v>
      </c>
      <c r="B7822" s="1832">
        <f>'PCTC-OEPP 27-28'!F14</f>
        <v>6088078</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73238</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649369</v>
      </c>
      <c r="D7834" s="2" t="str">
        <f t="shared" si="129"/>
        <v>Error?</v>
      </c>
      <c r="E7834" s="4" t="s">
        <v>1998</v>
      </c>
    </row>
    <row r="7835" spans="1:5" x14ac:dyDescent="0.2">
      <c r="A7835">
        <v>7774</v>
      </c>
      <c r="B7835" s="1832">
        <f>'PCTC-OEPP 27-28'!F78</f>
        <v>5438709</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10903.36801587779</v>
      </c>
      <c r="D7837" s="2" t="str">
        <f t="shared" si="129"/>
        <v>Error?</v>
      </c>
      <c r="E7837" s="4" t="s">
        <v>1998</v>
      </c>
    </row>
    <row r="7838" spans="1:5" x14ac:dyDescent="0.2">
      <c r="A7838">
        <v>7777</v>
      </c>
      <c r="B7838" s="1832">
        <f>'PCTC-OEPP 27-28'!F96</f>
        <v>25003</v>
      </c>
      <c r="D7838" s="2" t="str">
        <f t="shared" si="129"/>
        <v>Error?</v>
      </c>
      <c r="E7838" s="4" t="s">
        <v>1998</v>
      </c>
    </row>
    <row r="7839" spans="1:5" x14ac:dyDescent="0.2">
      <c r="A7839">
        <v>7778</v>
      </c>
      <c r="B7839" s="1832">
        <f>'PCTC-OEPP 27-28'!F102</f>
        <v>6000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20610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6253</v>
      </c>
      <c r="D7846" s="2" t="str">
        <f t="shared" si="129"/>
        <v>Error?</v>
      </c>
      <c r="E7846" s="4" t="s">
        <v>1998</v>
      </c>
    </row>
    <row r="7847" spans="1:5" x14ac:dyDescent="0.2">
      <c r="A7847">
        <v>7786</v>
      </c>
      <c r="B7847" s="1832">
        <f>'PCTC-OEPP 27-28'!F112</f>
        <v>208974</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50750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160483</v>
      </c>
      <c r="D7858" s="2" t="str">
        <f t="shared" si="129"/>
        <v>Error?</v>
      </c>
      <c r="E7858" s="4" t="s">
        <v>1998</v>
      </c>
    </row>
    <row r="7859" spans="1:5" x14ac:dyDescent="0.2">
      <c r="A7859">
        <v>7798</v>
      </c>
      <c r="B7859" s="1832">
        <f>'PCTC-OEPP 27-28'!F127</f>
        <v>201340</v>
      </c>
      <c r="D7859" s="2" t="str">
        <f t="shared" si="129"/>
        <v>Error?</v>
      </c>
      <c r="E7859" s="4" t="s">
        <v>1998</v>
      </c>
    </row>
    <row r="7860" spans="1:5" x14ac:dyDescent="0.2">
      <c r="A7860">
        <v>7799</v>
      </c>
      <c r="B7860" s="1832">
        <f>'PCTC-OEPP 27-28'!F128</f>
        <v>29434</v>
      </c>
      <c r="D7860" s="2" t="str">
        <f t="shared" si="129"/>
        <v>Error?</v>
      </c>
      <c r="E7860" s="4" t="s">
        <v>1998</v>
      </c>
    </row>
    <row r="7861" spans="1:5" x14ac:dyDescent="0.2">
      <c r="A7861">
        <v>7800</v>
      </c>
      <c r="B7861" s="1832">
        <f>'PCTC-OEPP 27-28'!F129</f>
        <v>98863</v>
      </c>
      <c r="D7861" s="2" t="str">
        <f t="shared" si="129"/>
        <v>Error?</v>
      </c>
      <c r="E7861" s="4" t="s">
        <v>1998</v>
      </c>
    </row>
    <row r="7862" spans="1:5" x14ac:dyDescent="0.2">
      <c r="A7862">
        <v>7801</v>
      </c>
      <c r="B7862" s="1832">
        <f>'PCTC-OEPP 27-28'!F130</f>
        <v>55</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30811</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12637</v>
      </c>
      <c r="D7874" s="2" t="str">
        <f t="shared" si="129"/>
        <v>Error?</v>
      </c>
      <c r="E7874" s="4" t="s">
        <v>1998</v>
      </c>
    </row>
    <row r="7875" spans="1:5" x14ac:dyDescent="0.2">
      <c r="A7875">
        <v>7814</v>
      </c>
      <c r="B7875" s="1832">
        <f>'PCTC-OEPP 27-28'!F170</f>
        <v>20176</v>
      </c>
      <c r="D7875" s="2" t="str">
        <f t="shared" si="129"/>
        <v>Error?</v>
      </c>
      <c r="E7875" s="4" t="s">
        <v>1998</v>
      </c>
    </row>
    <row r="7876" spans="1:5" x14ac:dyDescent="0.2">
      <c r="A7876">
        <v>7815</v>
      </c>
      <c r="B7876" s="1832">
        <f>'PCTC-OEPP 27-28'!F171</f>
        <v>31099</v>
      </c>
      <c r="D7876" s="2" t="str">
        <f t="shared" si="129"/>
        <v>Error?</v>
      </c>
      <c r="E7876" s="4" t="s">
        <v>1998</v>
      </c>
    </row>
    <row r="7877" spans="1:5" x14ac:dyDescent="0.2">
      <c r="A7877">
        <v>7816</v>
      </c>
      <c r="B7877" s="1832">
        <f>'PCTC-OEPP 27-28'!F175</f>
        <v>1138078</v>
      </c>
      <c r="D7877" s="2" t="str">
        <f t="shared" si="129"/>
        <v>Error?</v>
      </c>
      <c r="E7877" s="4" t="s">
        <v>1998</v>
      </c>
    </row>
    <row r="7878" spans="1:5" x14ac:dyDescent="0.2">
      <c r="A7878">
        <v>7817</v>
      </c>
      <c r="B7878" s="1832">
        <f>'PCTC-OEPP 27-28'!F176</f>
        <v>4300631</v>
      </c>
      <c r="D7878" s="2" t="str">
        <f t="shared" si="129"/>
        <v>Error?</v>
      </c>
      <c r="E7878" s="4" t="s">
        <v>1998</v>
      </c>
    </row>
    <row r="7879" spans="1:5" x14ac:dyDescent="0.2">
      <c r="A7879">
        <v>7818</v>
      </c>
      <c r="B7879" s="1832">
        <f>'PCTC-OEPP 27-28'!F178</f>
        <v>4625838</v>
      </c>
      <c r="D7879" s="2" t="str">
        <f t="shared" si="129"/>
        <v>Error?</v>
      </c>
      <c r="E7879" s="4" t="s">
        <v>1998</v>
      </c>
    </row>
    <row r="7880" spans="1:5" x14ac:dyDescent="0.2">
      <c r="A7880">
        <v>7819</v>
      </c>
      <c r="B7880" s="1832">
        <f>'PCTC-OEPP 27-28'!F180</f>
        <v>9273.7475190954465</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 xml:space="preserve"> Cobden SUD 17</v>
      </c>
      <c r="B7" s="2536"/>
      <c r="C7" s="2536"/>
      <c r="D7" s="2537"/>
      <c r="E7" s="2538">
        <f>COVER!A13</f>
        <v>30091017022</v>
      </c>
      <c r="F7" s="2539"/>
      <c r="G7" s="2545" t="str">
        <f>COVER!T23</f>
        <v>066-005023</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BEUSSINK HICKAM &amp; KOCHEL PC</v>
      </c>
      <c r="H9" s="2551"/>
      <c r="I9" s="2551"/>
      <c r="J9" s="2551"/>
      <c r="K9" s="2551"/>
      <c r="L9" s="2552"/>
    </row>
    <row r="10" spans="1:29" ht="13.5" customHeight="1" x14ac:dyDescent="0.2">
      <c r="A10" s="2524" t="str">
        <f>COVER!A38</f>
        <v>EDWIN SHOEMATE</v>
      </c>
      <c r="B10" s="2525"/>
      <c r="C10" s="2525"/>
      <c r="D10" s="2525"/>
      <c r="E10" s="2525"/>
      <c r="F10" s="2526"/>
      <c r="G10" s="2518" t="str">
        <f>COVER!T17</f>
        <v>139 W VIENNA ST - PO BOX 556</v>
      </c>
      <c r="H10" s="2519"/>
      <c r="I10" s="2519"/>
      <c r="J10" s="2519"/>
      <c r="K10" s="2519"/>
      <c r="L10" s="2520"/>
    </row>
    <row r="11" spans="1:29" ht="13.5" customHeight="1" x14ac:dyDescent="0.2">
      <c r="A11" s="963" t="s">
        <v>1502</v>
      </c>
      <c r="B11" s="964"/>
      <c r="C11" s="965"/>
      <c r="D11" s="970"/>
      <c r="E11" s="965"/>
      <c r="F11" s="969"/>
      <c r="G11" s="2518" t="str">
        <f>COVER!T19</f>
        <v>ANNA</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shickam@frontier.com</v>
      </c>
      <c r="J13" s="2531"/>
      <c r="K13" s="2531"/>
      <c r="L13" s="2532"/>
    </row>
    <row r="14" spans="1:29" ht="13.5" customHeight="1" x14ac:dyDescent="0.2">
      <c r="A14" s="2518" t="str">
        <f>COVER!A19</f>
        <v>413 APPLEKNOCKER</v>
      </c>
      <c r="B14" s="2519"/>
      <c r="C14" s="2519"/>
      <c r="D14" s="2519"/>
      <c r="E14" s="2519"/>
      <c r="F14" s="2520"/>
      <c r="G14" s="974" t="s">
        <v>1175</v>
      </c>
      <c r="H14" s="972"/>
      <c r="I14" s="972"/>
      <c r="J14" s="972"/>
      <c r="K14" s="972"/>
      <c r="L14" s="973"/>
    </row>
    <row r="15" spans="1:29" ht="13.5" customHeight="1" x14ac:dyDescent="0.2">
      <c r="A15" s="2518" t="str">
        <f>COVER!A21</f>
        <v>COBDEN</v>
      </c>
      <c r="B15" s="2519"/>
      <c r="C15" s="2519"/>
      <c r="D15" s="2519"/>
      <c r="E15" s="2519"/>
      <c r="F15" s="2520"/>
      <c r="G15" s="2515" t="str">
        <f>COVER!T15</f>
        <v>SCOTT A HICKAM CPA</v>
      </c>
      <c r="H15" s="2516"/>
      <c r="I15" s="2516"/>
      <c r="J15" s="2516"/>
      <c r="K15" s="2516"/>
      <c r="L15" s="2517"/>
    </row>
    <row r="16" spans="1:29" ht="12.2" customHeight="1" x14ac:dyDescent="0.2">
      <c r="A16" s="2541">
        <f>COVER!A25</f>
        <v>62920</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618-833-2721</v>
      </c>
      <c r="H18" s="2536"/>
      <c r="I18" s="2536"/>
      <c r="J18" s="2536"/>
      <c r="K18" s="2535" t="str">
        <f>COVER!X21</f>
        <v>618-833-7077</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Cobden SUD 17</v>
      </c>
      <c r="B1" s="2558"/>
      <c r="C1" s="2558"/>
      <c r="D1" s="2558"/>
    </row>
    <row r="2" spans="1:11" s="991" customFormat="1" ht="12.75" x14ac:dyDescent="0.2">
      <c r="A2" s="2559">
        <f>'Single Audit Cover'!E7</f>
        <v>30091017022</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Cobden SUD 17</v>
      </c>
      <c r="B1" s="2562"/>
      <c r="C1" s="2562"/>
      <c r="D1" s="2562"/>
      <c r="E1" s="2562"/>
    </row>
    <row r="2" spans="1:5" x14ac:dyDescent="0.2">
      <c r="A2" s="2563">
        <f>'Single Audit Cover'!E7</f>
        <v>30091017022</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588639</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18031</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-20176</v>
      </c>
    </row>
    <row r="19" spans="1:4" ht="13.5" thickBot="1" x14ac:dyDescent="0.25">
      <c r="A19" s="1041" t="s">
        <v>1224</v>
      </c>
      <c r="D19" s="1042">
        <f>SUM(D10:D17)</f>
        <v>586494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586494</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586494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Cobden SUD 17</v>
      </c>
      <c r="C1" s="2566"/>
      <c r="D1" s="2566"/>
      <c r="E1" s="2566"/>
      <c r="F1" s="2566"/>
      <c r="G1" s="2566"/>
      <c r="H1" s="2566"/>
      <c r="I1" s="2566"/>
      <c r="J1" s="2566"/>
      <c r="K1" s="2566"/>
      <c r="L1" s="2566"/>
      <c r="M1" s="2566"/>
    </row>
    <row r="2" spans="2:14" ht="15" x14ac:dyDescent="0.2">
      <c r="B2" s="2567">
        <f>'Single Audit Cover'!E7</f>
        <v>30091017022</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Cobden SUD 17</v>
      </c>
      <c r="B1" s="2579"/>
      <c r="C1" s="2579"/>
      <c r="D1" s="2579"/>
      <c r="E1" s="2579"/>
      <c r="F1" s="2579"/>
    </row>
    <row r="2" spans="1:7" ht="13.5" customHeight="1" x14ac:dyDescent="0.2">
      <c r="A2" s="2567">
        <f>'Single Audit Cover'!E7</f>
        <v>30091017022</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1709</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B32" sqref="B3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t="s">
        <v>2051</v>
      </c>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35431</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2052</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Cobden SUD 17</v>
      </c>
      <c r="C1" s="2594"/>
      <c r="D1" s="2594"/>
      <c r="E1" s="2594"/>
      <c r="F1" s="2594"/>
      <c r="G1" s="2594"/>
      <c r="H1" s="2594"/>
      <c r="I1" s="2594"/>
      <c r="J1" s="1178"/>
    </row>
    <row r="2" spans="2:10" s="295" customFormat="1" ht="12.75" customHeight="1" x14ac:dyDescent="0.2">
      <c r="B2" s="2595">
        <f>'Single Audit Cover'!E7</f>
        <v>30091017022</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Cobden SUD 17</v>
      </c>
      <c r="C1" s="2593"/>
      <c r="D1" s="2593"/>
      <c r="E1" s="2593"/>
      <c r="F1" s="2593"/>
      <c r="G1" s="2593"/>
      <c r="H1" s="2593"/>
      <c r="I1" s="2593"/>
      <c r="J1" s="2593"/>
      <c r="K1" s="2593"/>
      <c r="L1" s="1144"/>
      <c r="M1" s="1144"/>
    </row>
    <row r="2" spans="1:13" ht="12" customHeight="1" x14ac:dyDescent="0.2">
      <c r="B2" s="2595">
        <f>'Single Audit Cover'!E7</f>
        <v>30091017022</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Cobden SUD 17</v>
      </c>
      <c r="C1" s="2616"/>
      <c r="D1" s="2616"/>
      <c r="E1" s="2616"/>
      <c r="F1" s="2616"/>
      <c r="G1" s="2616"/>
      <c r="H1" s="2616"/>
      <c r="I1" s="2616"/>
      <c r="J1" s="2616"/>
      <c r="K1" s="2616"/>
      <c r="L1" s="1221"/>
    </row>
    <row r="2" spans="1:12" ht="12.75" customHeight="1" x14ac:dyDescent="0.2">
      <c r="B2" s="2617">
        <f>'Single Audit Cover'!E7</f>
        <v>30091017022</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Cobden SUD 17</v>
      </c>
      <c r="C1" s="2593"/>
      <c r="D1" s="2593"/>
      <c r="E1" s="1240"/>
    </row>
    <row r="2" spans="2:5" s="1058" customFormat="1" ht="12.75" customHeight="1" x14ac:dyDescent="0.2">
      <c r="B2" s="2595">
        <f>'Single Audit Cover'!E7</f>
        <v>30091017022</v>
      </c>
      <c r="C2" s="2595"/>
      <c r="D2" s="2595"/>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31" sqref="L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39366217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f>1.45114/100</f>
        <v>1.4511400000000001E-2</v>
      </c>
      <c r="E10" s="333" t="s">
        <v>998</v>
      </c>
      <c r="F10" s="332">
        <f>0.45746/100</f>
        <v>4.5745999999999998E-3</v>
      </c>
      <c r="G10" s="333" t="s">
        <v>998</v>
      </c>
      <c r="H10" s="332">
        <f>0.199999/100</f>
        <v>1.9999900000000001E-3</v>
      </c>
      <c r="I10" s="333" t="s">
        <v>999</v>
      </c>
      <c r="J10" s="1424">
        <f>ROUND(D10+F10+H10,5)</f>
        <v>2.1090000000000001E-2</v>
      </c>
      <c r="K10" s="217"/>
      <c r="L10" s="332">
        <f>0.05/100</f>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5336798</v>
      </c>
      <c r="E16" s="1547"/>
      <c r="F16" s="1546">
        <f>SUM('Acct Summary 7-8'!C17,'Acct Summary 7-8'!D17,'Acct Summary 7-8'!F17)</f>
        <v>5597660</v>
      </c>
      <c r="G16" s="1547"/>
      <c r="H16" s="1546">
        <f>SUM(D16-F16)</f>
        <v>-260862</v>
      </c>
      <c r="I16" s="1548"/>
      <c r="J16" s="1546">
        <f>SUM('Acct Summary 7-8'!C81,'Acct Summary 7-8'!D81,'Acct Summary 7-8'!F81,'Acct Summary 7-8'!I81)</f>
        <v>3491696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5432537.9460000005</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1465000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Cobden SUD 17</v>
      </c>
      <c r="E7" s="368"/>
      <c r="G7" s="247"/>
      <c r="H7" s="364"/>
      <c r="I7" s="364"/>
      <c r="J7" s="364"/>
      <c r="K7" s="364"/>
      <c r="L7" s="307"/>
      <c r="M7" s="307"/>
      <c r="N7" s="307"/>
      <c r="O7" s="307"/>
      <c r="P7" s="307"/>
    </row>
    <row r="8" spans="1:18" ht="12.75" x14ac:dyDescent="0.2">
      <c r="A8" s="307"/>
      <c r="B8" s="307"/>
      <c r="C8" s="366" t="s">
        <v>1115</v>
      </c>
      <c r="D8" s="369">
        <f>COVER!A13</f>
        <v>30091017022</v>
      </c>
      <c r="E8" s="370"/>
      <c r="G8" s="307"/>
      <c r="H8" s="307"/>
      <c r="I8" s="307"/>
      <c r="J8" s="307"/>
      <c r="K8" s="307"/>
      <c r="L8" s="307"/>
      <c r="M8" s="307"/>
      <c r="N8" s="307"/>
      <c r="O8" s="307"/>
      <c r="P8" s="307"/>
    </row>
    <row r="9" spans="1:18" ht="12.75" x14ac:dyDescent="0.2">
      <c r="A9" s="307"/>
      <c r="B9" s="307"/>
      <c r="C9" s="366" t="s">
        <v>708</v>
      </c>
      <c r="D9" s="371" t="str">
        <f>COVER!A15</f>
        <v>UNION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3491696</v>
      </c>
      <c r="I12" s="380"/>
      <c r="J12" s="380"/>
      <c r="K12" s="1559">
        <f>TRUNC((H12/H13*100000),5)/100000</f>
        <v>0.65426797110000001</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5336798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5597660</v>
      </c>
      <c r="I17" s="380"/>
      <c r="J17" s="389"/>
      <c r="K17" s="1559">
        <f>TRUNC((H17/H18*100000),5)/100000</f>
        <v>1.0488798714000001</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5336798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11.339390900000001</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3491696</v>
      </c>
      <c r="I24" s="394"/>
      <c r="J24" s="394"/>
      <c r="K24" s="1555">
        <f>TRUNC(((H24/H25*100000)/100000),2)</f>
        <v>224.56</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15549.055560000001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705698.48904999997</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1465000</v>
      </c>
      <c r="I32" s="392"/>
      <c r="J32" s="392"/>
      <c r="K32" s="1555">
        <f>TRUNC(100-((((H32/H33*100))*100)/100),2)</f>
        <v>73.03</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5432537.9460000005</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3.55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C12" sqref="C1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2599522</v>
      </c>
      <c r="D4" s="1573">
        <v>490199</v>
      </c>
      <c r="E4" s="1573">
        <v>57469</v>
      </c>
      <c r="F4" s="1573">
        <v>50972</v>
      </c>
      <c r="G4" s="1573">
        <v>18040</v>
      </c>
      <c r="H4" s="1573">
        <v>54231</v>
      </c>
      <c r="I4" s="1573">
        <v>351003</v>
      </c>
      <c r="J4" s="1574">
        <v>0</v>
      </c>
      <c r="K4" s="1573">
        <v>15675</v>
      </c>
      <c r="L4" s="1573">
        <v>112348</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2599522</v>
      </c>
      <c r="D13" s="1587">
        <f t="shared" ref="D13:L13" si="0">SUM(D4:D12)</f>
        <v>490199</v>
      </c>
      <c r="E13" s="1587">
        <f t="shared" si="0"/>
        <v>57469</v>
      </c>
      <c r="F13" s="1587">
        <f t="shared" si="0"/>
        <v>50972</v>
      </c>
      <c r="G13" s="1587">
        <f t="shared" si="0"/>
        <v>18040</v>
      </c>
      <c r="H13" s="1587">
        <f t="shared" si="0"/>
        <v>54231</v>
      </c>
      <c r="I13" s="1587">
        <f t="shared" si="0"/>
        <v>351003</v>
      </c>
      <c r="J13" s="1587">
        <f t="shared" si="0"/>
        <v>0</v>
      </c>
      <c r="K13" s="1587">
        <f t="shared" si="0"/>
        <v>15675</v>
      </c>
      <c r="L13" s="1587">
        <f t="shared" si="0"/>
        <v>112348</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106866</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10173526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907663</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1693558</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57469</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1407531</v>
      </c>
    </row>
    <row r="23" spans="1:14" ht="13.5" customHeight="1" thickBot="1" x14ac:dyDescent="0.25">
      <c r="A23" s="1426" t="s">
        <v>638</v>
      </c>
      <c r="B23" s="1429"/>
      <c r="C23" s="1575"/>
      <c r="D23" s="1575"/>
      <c r="E23" s="1575"/>
      <c r="F23" s="1575"/>
      <c r="G23" s="1575"/>
      <c r="H23" s="1575"/>
      <c r="I23" s="1575"/>
      <c r="J23" s="1575"/>
      <c r="K23" s="1575"/>
      <c r="L23" s="1575"/>
      <c r="M23" s="1594">
        <f>SUM(M15:M22)</f>
        <v>12881613</v>
      </c>
      <c r="N23" s="1594">
        <f>SUM(N21:N22)</f>
        <v>1465000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112348</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112348</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1465000</v>
      </c>
    </row>
    <row r="37" spans="1:14" ht="13.5" thickBot="1" x14ac:dyDescent="0.25">
      <c r="A37" s="1426" t="s">
        <v>648</v>
      </c>
      <c r="B37" s="1429"/>
      <c r="C37" s="1582"/>
      <c r="D37" s="1582"/>
      <c r="E37" s="1582"/>
      <c r="F37" s="1582"/>
      <c r="G37" s="1582"/>
      <c r="H37" s="1582"/>
      <c r="I37" s="1582"/>
      <c r="J37" s="1582"/>
      <c r="K37" s="1582"/>
      <c r="L37" s="1585"/>
      <c r="M37" s="1575"/>
      <c r="N37" s="1594">
        <f>SUM(N36:N36)</f>
        <v>1465000</v>
      </c>
    </row>
    <row r="38" spans="1:14" s="307" customFormat="1" ht="13.5" customHeight="1" thickTop="1" x14ac:dyDescent="0.2">
      <c r="A38" s="438" t="s">
        <v>417</v>
      </c>
      <c r="B38" s="432">
        <v>714</v>
      </c>
      <c r="C38" s="1573">
        <v>0</v>
      </c>
      <c r="D38" s="1573">
        <v>50000</v>
      </c>
      <c r="E38" s="1573">
        <v>57469</v>
      </c>
      <c r="F38" s="1573">
        <v>0</v>
      </c>
      <c r="G38" s="1573">
        <v>18040</v>
      </c>
      <c r="H38" s="1573">
        <v>54231</v>
      </c>
      <c r="I38" s="1573">
        <v>0</v>
      </c>
      <c r="J38" s="1574">
        <v>0</v>
      </c>
      <c r="K38" s="1573">
        <v>15675</v>
      </c>
      <c r="L38" s="1586">
        <v>0</v>
      </c>
      <c r="M38" s="1604"/>
      <c r="N38" s="1604"/>
    </row>
    <row r="39" spans="1:14" s="307" customFormat="1" ht="13.5" customHeight="1" x14ac:dyDescent="0.2">
      <c r="A39" s="438" t="s">
        <v>339</v>
      </c>
      <c r="B39" s="432">
        <v>730</v>
      </c>
      <c r="C39" s="1573">
        <v>2599522</v>
      </c>
      <c r="D39" s="1573">
        <v>440199</v>
      </c>
      <c r="E39" s="1573">
        <v>0</v>
      </c>
      <c r="F39" s="1573">
        <v>50972</v>
      </c>
      <c r="G39" s="1573">
        <v>0</v>
      </c>
      <c r="H39" s="1573">
        <v>0</v>
      </c>
      <c r="I39" s="1573">
        <v>351003</v>
      </c>
      <c r="J39" s="1574">
        <v>0</v>
      </c>
      <c r="K39" s="1573">
        <v>0</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12881613</v>
      </c>
      <c r="N40" s="1604"/>
    </row>
    <row r="41" spans="1:14" ht="13.5" customHeight="1" thickBot="1" x14ac:dyDescent="0.25">
      <c r="A41" s="1426" t="s">
        <v>650</v>
      </c>
      <c r="B41" s="1405"/>
      <c r="C41" s="1594">
        <f>(SUM(C34,C37,C38,C39))</f>
        <v>2599522</v>
      </c>
      <c r="D41" s="1594">
        <f t="shared" ref="D41:L41" si="2">SUM(D34,D37,D38:D39)</f>
        <v>490199</v>
      </c>
      <c r="E41" s="1594">
        <f t="shared" si="2"/>
        <v>57469</v>
      </c>
      <c r="F41" s="1594">
        <f t="shared" si="2"/>
        <v>50972</v>
      </c>
      <c r="G41" s="1594">
        <f t="shared" si="2"/>
        <v>18040</v>
      </c>
      <c r="H41" s="1594">
        <f t="shared" si="2"/>
        <v>54231</v>
      </c>
      <c r="I41" s="1594">
        <f t="shared" si="2"/>
        <v>351003</v>
      </c>
      <c r="J41" s="1594">
        <f t="shared" si="2"/>
        <v>0</v>
      </c>
      <c r="K41" s="1594">
        <f t="shared" si="2"/>
        <v>15675</v>
      </c>
      <c r="L41" s="1594">
        <f t="shared" si="2"/>
        <v>112348</v>
      </c>
      <c r="M41" s="1594">
        <f>SUM(M40)</f>
        <v>12881613</v>
      </c>
      <c r="N41" s="1594">
        <f>SUM(N37)</f>
        <v>1465000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&amp;L&amp;8&amp;F&amp;CThe accompanying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791364</v>
      </c>
      <c r="D4" s="1606">
        <f>'Revenues 9-14'!D109</f>
        <v>193339</v>
      </c>
      <c r="E4" s="1606">
        <f>'Revenues 9-14'!E109</f>
        <v>246894</v>
      </c>
      <c r="F4" s="1606">
        <f>'Revenues 9-14'!F109</f>
        <v>75706</v>
      </c>
      <c r="G4" s="1606">
        <f>'Revenues 9-14'!G109</f>
        <v>142515</v>
      </c>
      <c r="H4" s="1606">
        <f>'Revenues 9-14'!H109</f>
        <v>131011</v>
      </c>
      <c r="I4" s="1606">
        <f>'Revenues 9-14'!I109</f>
        <v>19279</v>
      </c>
      <c r="J4" s="1606">
        <f>'Revenues 9-14'!J109</f>
        <v>88632</v>
      </c>
      <c r="K4" s="1606">
        <f>'Revenues 9-14'!K109</f>
        <v>18967</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3349497</v>
      </c>
      <c r="D6" s="1607">
        <f>'Revenues 9-14'!D170</f>
        <v>50000</v>
      </c>
      <c r="E6" s="1607">
        <f>'Revenues 9-14'!E170</f>
        <v>0</v>
      </c>
      <c r="F6" s="1607">
        <f>'Revenues 9-14'!F170</f>
        <v>268974</v>
      </c>
      <c r="G6" s="1607">
        <f>'Revenues 9-14'!G170</f>
        <v>20000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588639</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4729500</v>
      </c>
      <c r="D8" s="1594">
        <f t="shared" ref="D8:K8" si="0">SUM(D4:D7)</f>
        <v>243339</v>
      </c>
      <c r="E8" s="1594">
        <f t="shared" si="0"/>
        <v>246894</v>
      </c>
      <c r="F8" s="1594">
        <f t="shared" si="0"/>
        <v>344680</v>
      </c>
      <c r="G8" s="1594">
        <f t="shared" si="0"/>
        <v>162515</v>
      </c>
      <c r="H8" s="1594">
        <f t="shared" si="0"/>
        <v>131011</v>
      </c>
      <c r="I8" s="1594">
        <f t="shared" si="0"/>
        <v>19279</v>
      </c>
      <c r="J8" s="1594">
        <f t="shared" si="0"/>
        <v>88632</v>
      </c>
      <c r="K8" s="1594">
        <f t="shared" si="0"/>
        <v>18967</v>
      </c>
      <c r="L8" s="325"/>
    </row>
    <row r="9" spans="1:13" ht="15.75" thickTop="1" x14ac:dyDescent="0.2">
      <c r="A9" s="449" t="s">
        <v>1634</v>
      </c>
      <c r="B9" s="450">
        <v>3998</v>
      </c>
      <c r="C9" s="1586">
        <v>2248059</v>
      </c>
      <c r="D9" s="1613">
        <v>0</v>
      </c>
      <c r="E9" s="1586">
        <v>0</v>
      </c>
      <c r="F9" s="1586">
        <v>0</v>
      </c>
      <c r="G9" s="1614">
        <v>0</v>
      </c>
      <c r="H9" s="1586">
        <v>0</v>
      </c>
      <c r="I9" s="1609" t="s">
        <v>1159</v>
      </c>
      <c r="J9" s="1583">
        <v>0</v>
      </c>
      <c r="K9" s="1586">
        <v>0</v>
      </c>
      <c r="L9" s="325"/>
    </row>
    <row r="10" spans="1:13" s="452" customFormat="1" ht="13.5" thickBot="1" x14ac:dyDescent="0.25">
      <c r="A10" s="1426" t="s">
        <v>1163</v>
      </c>
      <c r="B10" s="1407"/>
      <c r="C10" s="1594">
        <f>SUM(C8:C9)</f>
        <v>6977559</v>
      </c>
      <c r="D10" s="1594">
        <f t="shared" ref="D10:K10" si="1">SUM(D8:D9)</f>
        <v>243339</v>
      </c>
      <c r="E10" s="1594">
        <f t="shared" si="1"/>
        <v>246894</v>
      </c>
      <c r="F10" s="1594">
        <f t="shared" si="1"/>
        <v>344680</v>
      </c>
      <c r="G10" s="1594">
        <f t="shared" si="1"/>
        <v>162515</v>
      </c>
      <c r="H10" s="1594">
        <f t="shared" si="1"/>
        <v>131011</v>
      </c>
      <c r="I10" s="1594">
        <f t="shared" si="1"/>
        <v>19279</v>
      </c>
      <c r="J10" s="1594">
        <f t="shared" si="1"/>
        <v>88632</v>
      </c>
      <c r="K10" s="1594">
        <f t="shared" si="1"/>
        <v>18967</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3301861</v>
      </c>
      <c r="D12" s="1616" t="s">
        <v>1159</v>
      </c>
      <c r="E12" s="1575" t="s">
        <v>1159</v>
      </c>
      <c r="F12" s="1575" t="s">
        <v>1159</v>
      </c>
      <c r="G12" s="1606">
        <f>'Expenditures 15-22'!K229</f>
        <v>68949</v>
      </c>
      <c r="H12" s="1617"/>
      <c r="I12" s="1575" t="s">
        <v>1159</v>
      </c>
      <c r="J12" s="1575" t="s">
        <v>1159</v>
      </c>
      <c r="K12" s="1617" t="s">
        <v>1159</v>
      </c>
      <c r="L12" s="325"/>
    </row>
    <row r="13" spans="1:13" ht="15.75" customHeight="1" x14ac:dyDescent="0.2">
      <c r="A13" s="1314" t="s">
        <v>454</v>
      </c>
      <c r="B13" s="1316">
        <v>2000</v>
      </c>
      <c r="C13" s="1607">
        <f>'Expenditures 15-22'!K74</f>
        <v>1355980</v>
      </c>
      <c r="D13" s="1607">
        <f>'Expenditures 15-22'!K129</f>
        <v>289179</v>
      </c>
      <c r="E13" s="1576" t="s">
        <v>1159</v>
      </c>
      <c r="F13" s="1607">
        <f>'Expenditures 15-22'!K184</f>
        <v>336640</v>
      </c>
      <c r="G13" s="1607">
        <f>'Expenditures 15-22'!K279</f>
        <v>86304</v>
      </c>
      <c r="H13" s="1607">
        <f>'Expenditures 15-22'!K303</f>
        <v>76780</v>
      </c>
      <c r="I13" s="1575" t="s">
        <v>1159</v>
      </c>
      <c r="J13" s="1607">
        <f>'Expenditures 15-22'!K330</f>
        <v>88632</v>
      </c>
      <c r="K13" s="1618">
        <f>'Expenditures 15-22'!K352</f>
        <v>4708</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314000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246533</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4971841</v>
      </c>
      <c r="D17" s="1594">
        <f t="shared" si="2"/>
        <v>289179</v>
      </c>
      <c r="E17" s="1594">
        <f t="shared" si="2"/>
        <v>246533</v>
      </c>
      <c r="F17" s="1594">
        <f t="shared" si="2"/>
        <v>336640</v>
      </c>
      <c r="G17" s="1594">
        <f t="shared" si="2"/>
        <v>155253</v>
      </c>
      <c r="H17" s="1594">
        <f t="shared" si="2"/>
        <v>76780</v>
      </c>
      <c r="I17" s="1575"/>
      <c r="J17" s="1594">
        <f>SUM(J12:J16)</f>
        <v>88632</v>
      </c>
      <c r="K17" s="1594">
        <f>SUM(K12:K16)</f>
        <v>4708</v>
      </c>
      <c r="L17" s="325"/>
    </row>
    <row r="18" spans="1:12" ht="15" customHeight="1" thickTop="1" x14ac:dyDescent="0.2">
      <c r="A18" s="1430" t="s">
        <v>1635</v>
      </c>
      <c r="B18" s="1431">
        <v>4180</v>
      </c>
      <c r="C18" s="1606">
        <f t="shared" ref="C18:H18" si="3">C9</f>
        <v>2248059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7219900</v>
      </c>
      <c r="D19" s="1594">
        <f t="shared" si="4"/>
        <v>289179</v>
      </c>
      <c r="E19" s="1594">
        <f t="shared" si="4"/>
        <v>246533</v>
      </c>
      <c r="F19" s="1594">
        <f t="shared" si="4"/>
        <v>336640</v>
      </c>
      <c r="G19" s="1594">
        <f t="shared" si="4"/>
        <v>155253</v>
      </c>
      <c r="H19" s="1594">
        <f t="shared" si="4"/>
        <v>76780</v>
      </c>
      <c r="I19" s="1575"/>
      <c r="J19" s="1594">
        <f>SUM(J17:J18)</f>
        <v>88632</v>
      </c>
      <c r="K19" s="1594">
        <f>SUM(K17:K18)</f>
        <v>4708</v>
      </c>
      <c r="L19" s="325"/>
    </row>
    <row r="20" spans="1:12" ht="16.5" thickTop="1" thickBot="1" x14ac:dyDescent="0.25">
      <c r="A20" s="2231" t="s">
        <v>1636</v>
      </c>
      <c r="B20" s="2232"/>
      <c r="C20" s="1622">
        <f>C8-C17</f>
        <v>-242341</v>
      </c>
      <c r="D20" s="1622">
        <f t="shared" ref="D20:K20" si="5">D8-D17</f>
        <v>-45840</v>
      </c>
      <c r="E20" s="1622">
        <f t="shared" si="5"/>
        <v>361</v>
      </c>
      <c r="F20" s="1622">
        <f t="shared" si="5"/>
        <v>8040</v>
      </c>
      <c r="G20" s="1622">
        <f t="shared" si="5"/>
        <v>7262</v>
      </c>
      <c r="H20" s="1622">
        <f t="shared" si="5"/>
        <v>54231</v>
      </c>
      <c r="I20" s="1622">
        <f t="shared" si="5"/>
        <v>19279</v>
      </c>
      <c r="J20" s="1622">
        <f t="shared" si="5"/>
        <v>0</v>
      </c>
      <c r="K20" s="1622">
        <f t="shared" si="5"/>
        <v>14259</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-242341</v>
      </c>
      <c r="D78" s="1629">
        <f t="shared" si="9"/>
        <v>-45840</v>
      </c>
      <c r="E78" s="1629">
        <f t="shared" si="9"/>
        <v>361</v>
      </c>
      <c r="F78" s="1629">
        <f t="shared" si="9"/>
        <v>8040</v>
      </c>
      <c r="G78" s="1629">
        <f t="shared" si="9"/>
        <v>7262</v>
      </c>
      <c r="H78" s="1629">
        <f t="shared" si="9"/>
        <v>54231</v>
      </c>
      <c r="I78" s="1629">
        <f t="shared" si="9"/>
        <v>19279</v>
      </c>
      <c r="J78" s="1629">
        <f t="shared" si="9"/>
        <v>0</v>
      </c>
      <c r="K78" s="1629">
        <f t="shared" si="9"/>
        <v>14259</v>
      </c>
      <c r="L78" s="457"/>
    </row>
    <row r="79" spans="1:12" ht="13.5" thickTop="1" x14ac:dyDescent="0.2">
      <c r="A79" s="1844" t="str">
        <f>"Fund Balances - July 1, "&amp;'AFR20'!E2-1</f>
        <v>Fund Balances - July 1, 2019</v>
      </c>
      <c r="B79" s="458"/>
      <c r="C79" s="1583">
        <v>2841863</v>
      </c>
      <c r="D79" s="1630">
        <v>536039</v>
      </c>
      <c r="E79" s="1630">
        <v>57108</v>
      </c>
      <c r="F79" s="1630">
        <v>42932</v>
      </c>
      <c r="G79" s="1630">
        <v>10778</v>
      </c>
      <c r="H79" s="1630">
        <v>0</v>
      </c>
      <c r="I79" s="1630">
        <v>331724</v>
      </c>
      <c r="J79" s="1630">
        <v>0</v>
      </c>
      <c r="K79" s="1630">
        <v>1416</v>
      </c>
      <c r="L79" s="325"/>
    </row>
    <row r="80" spans="1:12" x14ac:dyDescent="0.2">
      <c r="A80" s="2233" t="s">
        <v>1772</v>
      </c>
      <c r="B80" s="2234"/>
      <c r="C80" s="1574">
        <v>0</v>
      </c>
      <c r="D80" s="1574">
        <v>0</v>
      </c>
      <c r="E80" s="1574">
        <v>0</v>
      </c>
      <c r="F80" s="1574">
        <v>0</v>
      </c>
      <c r="G80" s="1574">
        <v>0</v>
      </c>
      <c r="H80" s="1574">
        <v>0</v>
      </c>
      <c r="I80" s="1574">
        <v>0</v>
      </c>
      <c r="J80" s="1574">
        <v>0</v>
      </c>
      <c r="K80" s="1574">
        <v>0</v>
      </c>
      <c r="L80" s="325"/>
    </row>
    <row r="81" spans="1:12" ht="13.5" thickBot="1" x14ac:dyDescent="0.25">
      <c r="A81" s="2225" t="str">
        <f>"Fund Balances - June 30, "&amp;'AFR20'!E2</f>
        <v>Fund Balances - June 30, 2020</v>
      </c>
      <c r="B81" s="2226"/>
      <c r="C81" s="1594">
        <f>(SUM(C78:C80))</f>
        <v>2599522</v>
      </c>
      <c r="D81" s="1594">
        <f>SUM(D78:D80)</f>
        <v>490199</v>
      </c>
      <c r="E81" s="1594">
        <f t="shared" ref="E81:K81" si="10">SUM(E78:E80)</f>
        <v>57469</v>
      </c>
      <c r="F81" s="1594">
        <f t="shared" si="10"/>
        <v>50972</v>
      </c>
      <c r="G81" s="1594">
        <f t="shared" si="10"/>
        <v>18040</v>
      </c>
      <c r="H81" s="1594">
        <f t="shared" si="10"/>
        <v>54231</v>
      </c>
      <c r="I81" s="1594">
        <f t="shared" si="10"/>
        <v>351003</v>
      </c>
      <c r="J81" s="1594">
        <f t="shared" si="10"/>
        <v>0</v>
      </c>
      <c r="K81" s="1594">
        <f t="shared" si="10"/>
        <v>15675</v>
      </c>
      <c r="L81" s="325"/>
    </row>
    <row r="82" spans="1:12" ht="0.75" customHeight="1" thickTop="1" thickBot="1" x14ac:dyDescent="0.25">
      <c r="A82" s="459" t="s">
        <v>340</v>
      </c>
      <c r="B82" s="460"/>
      <c r="C82" s="461">
        <f>(C81-C79)</f>
        <v>-242341</v>
      </c>
      <c r="D82" s="461">
        <f t="shared" ref="D82:K82" si="11">(D81-D79)</f>
        <v>-45840</v>
      </c>
      <c r="E82" s="461">
        <f t="shared" si="11"/>
        <v>361</v>
      </c>
      <c r="F82" s="461">
        <f t="shared" si="11"/>
        <v>8040</v>
      </c>
      <c r="G82" s="461">
        <f t="shared" si="11"/>
        <v>7262</v>
      </c>
      <c r="H82" s="461">
        <f t="shared" si="11"/>
        <v>54231</v>
      </c>
      <c r="I82" s="461">
        <f t="shared" si="11"/>
        <v>19279</v>
      </c>
      <c r="J82" s="461">
        <f t="shared" si="11"/>
        <v>0</v>
      </c>
      <c r="K82" s="461">
        <f t="shared" si="11"/>
        <v>14259</v>
      </c>
    </row>
    <row r="83" spans="1:12" ht="14.25" hidden="1" thickTop="1" thickBot="1" x14ac:dyDescent="0.25">
      <c r="A83" s="462" t="s">
        <v>341</v>
      </c>
      <c r="B83" s="428"/>
      <c r="C83" s="463">
        <f>C82/C81</f>
        <v>-9.3225216020483767E-2</v>
      </c>
      <c r="D83" s="463">
        <f t="shared" ref="D83:K83" si="12">D82/D81</f>
        <v>-9.3513042662265733E-2</v>
      </c>
      <c r="E83" s="463">
        <f t="shared" si="12"/>
        <v>6.2816474969113779E-3</v>
      </c>
      <c r="F83" s="463">
        <f t="shared" si="12"/>
        <v>0.15773365769442046</v>
      </c>
      <c r="G83" s="463">
        <f t="shared" si="12"/>
        <v>0.40254988913525497</v>
      </c>
      <c r="H83" s="463">
        <f t="shared" si="12"/>
        <v>1</v>
      </c>
      <c r="I83" s="463">
        <f t="shared" si="12"/>
        <v>5.4925456477579966E-2</v>
      </c>
      <c r="J83" s="463" t="e">
        <f t="shared" si="12"/>
        <v>#DIV/0!</v>
      </c>
      <c r="K83" s="463">
        <f t="shared" si="12"/>
        <v>0.90966507177033495</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&amp;L&amp;8&amp;F&amp;CThe accompanying Notes to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17" sqref="C1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555716</v>
      </c>
      <c r="D5" s="1586">
        <v>175300</v>
      </c>
      <c r="E5" s="1573">
        <v>246817</v>
      </c>
      <c r="F5" s="1631">
        <v>75666</v>
      </c>
      <c r="G5" s="1573">
        <v>61552</v>
      </c>
      <c r="H5" s="1573"/>
      <c r="I5" s="1573">
        <v>18917</v>
      </c>
      <c r="J5" s="1574">
        <v>88632</v>
      </c>
      <c r="K5" s="1573">
        <v>18920</v>
      </c>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15137</v>
      </c>
      <c r="D7" s="1573"/>
      <c r="E7" s="1575"/>
      <c r="F7" s="1574"/>
      <c r="G7" s="1574"/>
      <c r="H7" s="1574"/>
      <c r="I7" s="1575"/>
      <c r="J7" s="1575"/>
      <c r="K7" s="1575"/>
    </row>
    <row r="8" spans="1:12" x14ac:dyDescent="0.2">
      <c r="A8" s="427" t="s">
        <v>410</v>
      </c>
      <c r="B8" s="429">
        <v>1150</v>
      </c>
      <c r="C8" s="1580"/>
      <c r="D8" s="1580"/>
      <c r="E8" s="1582"/>
      <c r="F8" s="1582"/>
      <c r="G8" s="1586">
        <v>75339</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570853</v>
      </c>
      <c r="D12" s="1633">
        <f t="shared" si="0"/>
        <v>175300</v>
      </c>
      <c r="E12" s="1633">
        <f t="shared" si="0"/>
        <v>246817</v>
      </c>
      <c r="F12" s="1633">
        <f t="shared" si="0"/>
        <v>75666</v>
      </c>
      <c r="G12" s="1633">
        <f t="shared" si="0"/>
        <v>136891</v>
      </c>
      <c r="H12" s="1633">
        <f t="shared" si="0"/>
        <v>0</v>
      </c>
      <c r="I12" s="1633">
        <f t="shared" si="0"/>
        <v>18917</v>
      </c>
      <c r="J12" s="1633">
        <f t="shared" si="0"/>
        <v>88632</v>
      </c>
      <c r="K12" s="1594">
        <f t="shared" si="0"/>
        <v>18920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70790</v>
      </c>
      <c r="D16" s="1573"/>
      <c r="E16" s="1573"/>
      <c r="F16" s="1573"/>
      <c r="G16" s="1573">
        <v>5613</v>
      </c>
      <c r="H16" s="1573"/>
      <c r="I16" s="1573"/>
      <c r="J16" s="1574"/>
      <c r="K16" s="1573"/>
    </row>
    <row r="17" spans="1:11" ht="12.75" customHeight="1" x14ac:dyDescent="0.2">
      <c r="A17" s="427" t="s">
        <v>802</v>
      </c>
      <c r="B17" s="429">
        <v>1290</v>
      </c>
      <c r="C17" s="1632">
        <v>563</v>
      </c>
      <c r="D17" s="1573"/>
      <c r="E17" s="1573"/>
      <c r="F17" s="1573"/>
      <c r="G17" s="1573"/>
      <c r="H17" s="1573"/>
      <c r="I17" s="1573"/>
      <c r="J17" s="1574"/>
      <c r="K17" s="1573"/>
    </row>
    <row r="18" spans="1:11" ht="12.75" customHeight="1" thickBot="1" x14ac:dyDescent="0.25">
      <c r="A18" s="1406" t="s">
        <v>534</v>
      </c>
      <c r="B18" s="1407"/>
      <c r="C18" s="1635">
        <f>SUM(C14:C17)</f>
        <v>71353</v>
      </c>
      <c r="D18" s="1635">
        <f t="shared" ref="D18:K18" si="1">SUM(D14:D17)</f>
        <v>0</v>
      </c>
      <c r="E18" s="1635">
        <f t="shared" si="1"/>
        <v>0</v>
      </c>
      <c r="F18" s="1635">
        <f t="shared" si="1"/>
        <v>0</v>
      </c>
      <c r="G18" s="1635">
        <f t="shared" si="1"/>
        <v>5613</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25184</v>
      </c>
      <c r="D65" s="1573">
        <v>10728</v>
      </c>
      <c r="E65" s="1573">
        <v>77</v>
      </c>
      <c r="F65" s="1574">
        <v>40</v>
      </c>
      <c r="G65" s="1573">
        <v>11</v>
      </c>
      <c r="H65" s="1573">
        <v>9</v>
      </c>
      <c r="I65" s="1573">
        <v>362</v>
      </c>
      <c r="J65" s="1574"/>
      <c r="K65" s="1573">
        <v>47</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25184</v>
      </c>
      <c r="D67" s="1594">
        <f t="shared" ref="D67:K67" si="2">SUM(D65:D66)</f>
        <v>10728</v>
      </c>
      <c r="E67" s="1594">
        <f t="shared" si="2"/>
        <v>77</v>
      </c>
      <c r="F67" s="1594">
        <f t="shared" si="2"/>
        <v>40</v>
      </c>
      <c r="G67" s="1594">
        <f t="shared" si="2"/>
        <v>11</v>
      </c>
      <c r="H67" s="1594">
        <f t="shared" si="2"/>
        <v>9</v>
      </c>
      <c r="I67" s="1594">
        <f t="shared" si="2"/>
        <v>362</v>
      </c>
      <c r="J67" s="1594">
        <f t="shared" si="2"/>
        <v>0</v>
      </c>
      <c r="K67" s="1594">
        <f t="shared" si="2"/>
        <v>47</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550</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v>1409</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3977</v>
      </c>
      <c r="D73" s="1575"/>
      <c r="E73" s="1575"/>
      <c r="F73" s="1575"/>
      <c r="G73" s="1575"/>
      <c r="H73" s="1575"/>
      <c r="I73" s="1575"/>
      <c r="J73" s="1575"/>
      <c r="K73" s="1575"/>
    </row>
    <row r="74" spans="1:11" ht="12.75" customHeight="1" x14ac:dyDescent="0.2">
      <c r="A74" s="427" t="s">
        <v>25</v>
      </c>
      <c r="B74" s="429">
        <v>1690</v>
      </c>
      <c r="C74" s="1632">
        <v>7305</v>
      </c>
      <c r="D74" s="1575"/>
      <c r="E74" s="1575"/>
      <c r="F74" s="1575"/>
      <c r="G74" s="1575"/>
      <c r="H74" s="1575"/>
      <c r="I74" s="1575"/>
      <c r="J74" s="1575"/>
      <c r="K74" s="1575"/>
    </row>
    <row r="75" spans="1:11" ht="12.75" customHeight="1" thickBot="1" x14ac:dyDescent="0.25">
      <c r="A75" s="1406" t="s">
        <v>544</v>
      </c>
      <c r="B75" s="1407"/>
      <c r="C75" s="1594">
        <f>SUM(C69:C74)</f>
        <v>13241</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25003</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25003</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8465</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v>52</v>
      </c>
      <c r="D92" s="1575"/>
      <c r="E92" s="1575"/>
      <c r="F92" s="1575"/>
      <c r="G92" s="1575"/>
      <c r="H92" s="1575"/>
      <c r="I92" s="1575"/>
      <c r="J92" s="1575"/>
      <c r="K92" s="1575"/>
    </row>
    <row r="93" spans="1:11" ht="12.75" customHeight="1" thickBot="1" x14ac:dyDescent="0.25">
      <c r="A93" s="1406" t="s">
        <v>241</v>
      </c>
      <c r="B93" s="1407"/>
      <c r="C93" s="1594">
        <f>SUM(C84:C92)</f>
        <v>8517</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6000</v>
      </c>
      <c r="E95" s="1617"/>
      <c r="F95" s="1617"/>
      <c r="G95" s="1617"/>
      <c r="H95" s="1617"/>
      <c r="I95" s="1617"/>
      <c r="J95" s="1617"/>
      <c r="K95" s="1617"/>
    </row>
    <row r="96" spans="1:11" ht="12.75" customHeight="1" x14ac:dyDescent="0.2">
      <c r="A96" s="427" t="s">
        <v>388</v>
      </c>
      <c r="B96" s="429">
        <v>1920</v>
      </c>
      <c r="C96" s="1632">
        <v>7742</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13817</v>
      </c>
      <c r="D99" s="1573">
        <v>386</v>
      </c>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131002</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7981</v>
      </c>
      <c r="D106" s="1598"/>
      <c r="E106" s="1574"/>
      <c r="F106" s="1574"/>
      <c r="G106" s="1574"/>
      <c r="H106" s="1574"/>
      <c r="I106" s="1617"/>
      <c r="J106" s="1574"/>
      <c r="K106" s="1574"/>
    </row>
    <row r="107" spans="1:12" ht="12.75" customHeight="1" x14ac:dyDescent="0.2">
      <c r="A107" s="427" t="s">
        <v>78</v>
      </c>
      <c r="B107" s="429">
        <v>1999</v>
      </c>
      <c r="C107" s="1632">
        <v>47673</v>
      </c>
      <c r="D107" s="1573">
        <v>925</v>
      </c>
      <c r="E107" s="1573"/>
      <c r="F107" s="1573"/>
      <c r="G107" s="1573"/>
      <c r="H107" s="1573"/>
      <c r="I107" s="1573"/>
      <c r="J107" s="1574"/>
      <c r="K107" s="1573"/>
    </row>
    <row r="108" spans="1:12" ht="12.75" customHeight="1" thickBot="1" x14ac:dyDescent="0.25">
      <c r="A108" s="1406" t="s">
        <v>484</v>
      </c>
      <c r="B108" s="1408"/>
      <c r="C108" s="1633">
        <f>SUM(C95:C107)</f>
        <v>77213</v>
      </c>
      <c r="D108" s="1633">
        <f t="shared" ref="D108:K108" si="3">SUM(D95:D107)</f>
        <v>7311</v>
      </c>
      <c r="E108" s="1633">
        <f t="shared" si="3"/>
        <v>0</v>
      </c>
      <c r="F108" s="1633">
        <f t="shared" si="3"/>
        <v>0</v>
      </c>
      <c r="G108" s="1633">
        <f t="shared" si="3"/>
        <v>0</v>
      </c>
      <c r="H108" s="1633">
        <f t="shared" si="3"/>
        <v>131002</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791364</v>
      </c>
      <c r="D109" s="1641">
        <f t="shared" si="4"/>
        <v>193339</v>
      </c>
      <c r="E109" s="1641">
        <f t="shared" si="4"/>
        <v>246894</v>
      </c>
      <c r="F109" s="1641">
        <f t="shared" si="4"/>
        <v>75706</v>
      </c>
      <c r="G109" s="1641">
        <f t="shared" si="4"/>
        <v>142515</v>
      </c>
      <c r="H109" s="1641">
        <f t="shared" si="4"/>
        <v>131011</v>
      </c>
      <c r="I109" s="1641">
        <f t="shared" si="4"/>
        <v>19279</v>
      </c>
      <c r="J109" s="1641">
        <f t="shared" si="4"/>
        <v>88632</v>
      </c>
      <c r="K109" s="1629">
        <f t="shared" si="4"/>
        <v>18967</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3319364</v>
      </c>
      <c r="D117" s="1586"/>
      <c r="E117" s="1573"/>
      <c r="F117" s="1586">
        <v>60000</v>
      </c>
      <c r="G117" s="1586">
        <v>20000</v>
      </c>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3319364</v>
      </c>
      <c r="D122" s="1633">
        <f t="shared" si="5"/>
        <v>0</v>
      </c>
      <c r="E122" s="1633">
        <f t="shared" si="5"/>
        <v>0</v>
      </c>
      <c r="F122" s="1633">
        <f t="shared" si="5"/>
        <v>60000</v>
      </c>
      <c r="G122" s="1633">
        <f t="shared" si="5"/>
        <v>20000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20610</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20610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2520</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6253</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125701</v>
      </c>
      <c r="G152" s="1574"/>
      <c r="H152" s="1575"/>
      <c r="I152" s="1575"/>
      <c r="J152" s="1575"/>
      <c r="K152" s="1575"/>
    </row>
    <row r="153" spans="1:11" ht="12.75" customHeight="1" x14ac:dyDescent="0.2">
      <c r="A153" s="427" t="s">
        <v>1048</v>
      </c>
      <c r="B153" s="478">
        <v>3510</v>
      </c>
      <c r="C153" s="1632"/>
      <c r="D153" s="1573"/>
      <c r="E153" s="1640"/>
      <c r="F153" s="1573">
        <v>83273</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208974</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750</v>
      </c>
      <c r="D168" s="1655">
        <v>50000</v>
      </c>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30133</v>
      </c>
      <c r="D169" s="1658">
        <f t="shared" si="6"/>
        <v>50000</v>
      </c>
      <c r="E169" s="1658">
        <f t="shared" si="6"/>
        <v>0</v>
      </c>
      <c r="F169" s="1658">
        <f t="shared" si="6"/>
        <v>208974</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3349497</v>
      </c>
      <c r="D170" s="1641">
        <f t="shared" si="7"/>
        <v>50000</v>
      </c>
      <c r="E170" s="1641">
        <f t="shared" si="7"/>
        <v>0</v>
      </c>
      <c r="F170" s="1641">
        <f t="shared" si="7"/>
        <v>268974</v>
      </c>
      <c r="G170" s="1641">
        <f t="shared" si="7"/>
        <v>20000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130563</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28798</v>
      </c>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v>1122</v>
      </c>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160483</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201340</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201340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29434</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29434</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3741</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98863</v>
      </c>
      <c r="D213" s="1573"/>
      <c r="E213" s="1575"/>
      <c r="F213" s="1573"/>
      <c r="G213" s="1573"/>
      <c r="H213" s="1575"/>
      <c r="I213" s="1575"/>
      <c r="J213" s="1575"/>
      <c r="K213" s="1575"/>
    </row>
    <row r="214" spans="1:11" ht="12.75" customHeight="1" x14ac:dyDescent="0.2">
      <c r="A214" s="427" t="s">
        <v>1045</v>
      </c>
      <c r="B214" s="429">
        <v>4625</v>
      </c>
      <c r="C214" s="1632">
        <v>55</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102659</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30811</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12637</v>
      </c>
      <c r="D263" s="1651"/>
      <c r="E263" s="1575"/>
      <c r="F263" s="1651"/>
      <c r="G263" s="1651"/>
      <c r="H263" s="1575"/>
      <c r="I263" s="1575"/>
      <c r="J263" s="1575"/>
      <c r="K263" s="1575"/>
    </row>
    <row r="264" spans="1:11" ht="12.75" customHeight="1" thickTop="1" thickBot="1" x14ac:dyDescent="0.25">
      <c r="A264" s="427" t="s">
        <v>374</v>
      </c>
      <c r="B264" s="429">
        <v>4992</v>
      </c>
      <c r="C264" s="1650">
        <v>20176</v>
      </c>
      <c r="D264" s="1651"/>
      <c r="E264" s="1575"/>
      <c r="F264" s="1651"/>
      <c r="G264" s="1651"/>
      <c r="H264" s="1575"/>
      <c r="I264" s="1575"/>
      <c r="J264" s="1575"/>
      <c r="K264" s="1575"/>
    </row>
    <row r="265" spans="1:11" s="489" customFormat="1" ht="12.75" customHeight="1" thickTop="1" thickBot="1" x14ac:dyDescent="0.25">
      <c r="A265" s="479" t="s">
        <v>75</v>
      </c>
      <c r="B265" s="475">
        <v>4998</v>
      </c>
      <c r="C265" s="1650">
        <v>31099</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588639</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588639</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4729500</v>
      </c>
      <c r="D268" s="1641">
        <f t="shared" si="12"/>
        <v>243339</v>
      </c>
      <c r="E268" s="1641">
        <f t="shared" si="12"/>
        <v>246894</v>
      </c>
      <c r="F268" s="1641">
        <f t="shared" si="12"/>
        <v>344680</v>
      </c>
      <c r="G268" s="1641">
        <f t="shared" si="12"/>
        <v>162515</v>
      </c>
      <c r="H268" s="1641">
        <f t="shared" si="12"/>
        <v>131011</v>
      </c>
      <c r="I268" s="1641">
        <f t="shared" si="12"/>
        <v>19279</v>
      </c>
      <c r="J268" s="1641">
        <f t="shared" si="12"/>
        <v>88632</v>
      </c>
      <c r="K268" s="1629">
        <f t="shared" si="12"/>
        <v>18967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&amp;L&amp;8&amp;F&amp;CThe accompanying Notes to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27" activePane="bottomLeft" state="frozen"/>
      <selection pane="bottomLeft" activeCell="G301" sqref="G30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f>1672770+5984</f>
        <v>1678754</v>
      </c>
      <c r="D5" s="1573">
        <f>196537+108896+993</f>
        <v>306426</v>
      </c>
      <c r="E5" s="1573">
        <f>18064+34456</f>
        <v>52520</v>
      </c>
      <c r="F5" s="1573">
        <f>158610+13722+2741</f>
        <v>175073</v>
      </c>
      <c r="G5" s="1573">
        <v>4292</v>
      </c>
      <c r="H5" s="1573">
        <v>6000</v>
      </c>
      <c r="I5" s="1574"/>
      <c r="J5" s="1574"/>
      <c r="K5" s="1672">
        <f>SUM(C5:J5)</f>
        <v>2223065</v>
      </c>
      <c r="L5" s="1573">
        <v>2115518</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57079</v>
      </c>
      <c r="D7" s="1574">
        <f>8491+5139</f>
        <v>13630</v>
      </c>
      <c r="E7" s="1574">
        <v>39</v>
      </c>
      <c r="F7" s="1574">
        <v>952</v>
      </c>
      <c r="G7" s="1574"/>
      <c r="H7" s="1574">
        <v>1538</v>
      </c>
      <c r="I7" s="1574"/>
      <c r="J7" s="1574"/>
      <c r="K7" s="1672">
        <f t="shared" ref="K7:K32" si="0">SUM(C7:J7)</f>
        <v>73238</v>
      </c>
      <c r="L7" s="1573">
        <v>74507</v>
      </c>
    </row>
    <row r="8" spans="1:14" x14ac:dyDescent="0.2">
      <c r="A8" s="1274" t="s">
        <v>163</v>
      </c>
      <c r="B8" s="503">
        <v>1200</v>
      </c>
      <c r="C8" s="1573">
        <v>354154</v>
      </c>
      <c r="D8" s="1573">
        <f>36097+25136</f>
        <v>61233</v>
      </c>
      <c r="E8" s="1573">
        <v>10708</v>
      </c>
      <c r="F8" s="1573">
        <v>4485</v>
      </c>
      <c r="G8" s="1573"/>
      <c r="H8" s="1573"/>
      <c r="I8" s="1574"/>
      <c r="J8" s="1574"/>
      <c r="K8" s="1672">
        <f t="shared" si="0"/>
        <v>430580</v>
      </c>
      <c r="L8" s="1573">
        <v>408570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37268</v>
      </c>
      <c r="D10" s="1573">
        <f>4955+37</f>
        <v>4992</v>
      </c>
      <c r="E10" s="1573">
        <v>36969</v>
      </c>
      <c r="F10" s="1573">
        <v>36438</v>
      </c>
      <c r="G10" s="1573"/>
      <c r="H10" s="1573"/>
      <c r="I10" s="1574"/>
      <c r="J10" s="1574"/>
      <c r="K10" s="1672">
        <f t="shared" si="0"/>
        <v>115667</v>
      </c>
      <c r="L10" s="1573">
        <v>132721</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136900</v>
      </c>
      <c r="D13" s="1573">
        <f>17327+11331</f>
        <v>28658</v>
      </c>
      <c r="E13" s="1573">
        <v>32</v>
      </c>
      <c r="F13" s="1573">
        <v>5196</v>
      </c>
      <c r="G13" s="1573"/>
      <c r="H13" s="1573"/>
      <c r="I13" s="1574"/>
      <c r="J13" s="1574"/>
      <c r="K13" s="1672">
        <f t="shared" si="0"/>
        <v>170786</v>
      </c>
      <c r="L13" s="1573">
        <v>183745</v>
      </c>
    </row>
    <row r="14" spans="1:14" x14ac:dyDescent="0.2">
      <c r="A14" s="1274" t="s">
        <v>957</v>
      </c>
      <c r="B14" s="503">
        <v>1500</v>
      </c>
      <c r="C14" s="1573">
        <v>60314</v>
      </c>
      <c r="D14" s="1573">
        <f>1815+269</f>
        <v>2084</v>
      </c>
      <c r="E14" s="1573">
        <v>33495</v>
      </c>
      <c r="F14" s="1573">
        <v>16007</v>
      </c>
      <c r="G14" s="1573"/>
      <c r="H14" s="1573"/>
      <c r="I14" s="1574"/>
      <c r="J14" s="1574"/>
      <c r="K14" s="1672">
        <f t="shared" si="0"/>
        <v>111900</v>
      </c>
      <c r="L14" s="1573">
        <v>112047</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17921</v>
      </c>
      <c r="D17" s="1574">
        <f>2254+426</f>
        <v>2680</v>
      </c>
      <c r="E17" s="1574">
        <v>3055</v>
      </c>
      <c r="F17" s="1574">
        <v>411</v>
      </c>
      <c r="G17" s="1574"/>
      <c r="H17" s="1574"/>
      <c r="I17" s="1574"/>
      <c r="J17" s="1574"/>
      <c r="K17" s="1672">
        <f t="shared" si="0"/>
        <v>24067</v>
      </c>
      <c r="L17" s="1573">
        <v>29515</v>
      </c>
    </row>
    <row r="18" spans="1:12" x14ac:dyDescent="0.2">
      <c r="A18" s="1274" t="s">
        <v>1078</v>
      </c>
      <c r="B18" s="503">
        <v>1800</v>
      </c>
      <c r="C18" s="1573">
        <v>131529</v>
      </c>
      <c r="D18" s="1573">
        <f>10156+10510</f>
        <v>20666</v>
      </c>
      <c r="E18" s="1573"/>
      <c r="F18" s="1573">
        <v>363</v>
      </c>
      <c r="G18" s="1573"/>
      <c r="H18" s="1573"/>
      <c r="I18" s="1574"/>
      <c r="J18" s="1574"/>
      <c r="K18" s="1672">
        <f t="shared" si="0"/>
        <v>152558</v>
      </c>
      <c r="L18" s="1573">
        <v>160966</v>
      </c>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2473919</v>
      </c>
      <c r="D33" s="1674">
        <f t="shared" ref="D33:L33" si="1">SUM(D5:D32)</f>
        <v>440369</v>
      </c>
      <c r="E33" s="1674">
        <f t="shared" si="1"/>
        <v>136818</v>
      </c>
      <c r="F33" s="1674">
        <f t="shared" si="1"/>
        <v>238925</v>
      </c>
      <c r="G33" s="1674">
        <f t="shared" si="1"/>
        <v>4292</v>
      </c>
      <c r="H33" s="1674">
        <f t="shared" si="1"/>
        <v>7538</v>
      </c>
      <c r="I33" s="1674">
        <f t="shared" si="1"/>
        <v>0</v>
      </c>
      <c r="J33" s="1674">
        <f t="shared" si="1"/>
        <v>0</v>
      </c>
      <c r="K33" s="1674">
        <f t="shared" si="1"/>
        <v>3301861</v>
      </c>
      <c r="L33" s="1674">
        <f t="shared" si="1"/>
        <v>3217589</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42981</v>
      </c>
      <c r="D37" s="1573">
        <f>5420+185</f>
        <v>5605</v>
      </c>
      <c r="E37" s="1573"/>
      <c r="F37" s="1573">
        <v>2432</v>
      </c>
      <c r="G37" s="1573"/>
      <c r="H37" s="1573"/>
      <c r="I37" s="1574"/>
      <c r="J37" s="1574"/>
      <c r="K37" s="1672">
        <f t="shared" si="2"/>
        <v>51018</v>
      </c>
      <c r="L37" s="1573">
        <v>49056</v>
      </c>
    </row>
    <row r="38" spans="1:14" x14ac:dyDescent="0.2">
      <c r="A38" s="1274" t="s">
        <v>196</v>
      </c>
      <c r="B38" s="503">
        <v>2130</v>
      </c>
      <c r="C38" s="1573">
        <v>47652</v>
      </c>
      <c r="D38" s="1573">
        <v>14</v>
      </c>
      <c r="E38" s="1573">
        <v>2255</v>
      </c>
      <c r="F38" s="1573">
        <v>1406</v>
      </c>
      <c r="G38" s="1573"/>
      <c r="H38" s="1573"/>
      <c r="I38" s="1574"/>
      <c r="J38" s="1574"/>
      <c r="K38" s="1672">
        <f t="shared" si="2"/>
        <v>51327</v>
      </c>
      <c r="L38" s="1573">
        <v>49016</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51396</v>
      </c>
      <c r="D40" s="1573">
        <f>6460+5267</f>
        <v>11727</v>
      </c>
      <c r="E40" s="1573">
        <v>270</v>
      </c>
      <c r="F40" s="1573">
        <v>527</v>
      </c>
      <c r="G40" s="1573"/>
      <c r="H40" s="1573"/>
      <c r="I40" s="1574"/>
      <c r="J40" s="1574"/>
      <c r="K40" s="1672">
        <f t="shared" si="2"/>
        <v>63920</v>
      </c>
      <c r="L40" s="1573">
        <v>64313</v>
      </c>
    </row>
    <row r="41" spans="1:14" x14ac:dyDescent="0.2">
      <c r="A41" s="1274" t="s">
        <v>1650</v>
      </c>
      <c r="B41" s="503">
        <v>2190</v>
      </c>
      <c r="C41" s="1573"/>
      <c r="D41" s="1573"/>
      <c r="E41" s="1573">
        <v>27027</v>
      </c>
      <c r="F41" s="1573"/>
      <c r="G41" s="1573"/>
      <c r="H41" s="1573"/>
      <c r="I41" s="1574"/>
      <c r="J41" s="1574"/>
      <c r="K41" s="1672">
        <f t="shared" si="2"/>
        <v>27027</v>
      </c>
      <c r="L41" s="1573"/>
    </row>
    <row r="42" spans="1:14" ht="12.75" customHeight="1" thickBot="1" x14ac:dyDescent="0.25">
      <c r="A42" s="1380" t="s">
        <v>556</v>
      </c>
      <c r="B42" s="1381" t="s">
        <v>711</v>
      </c>
      <c r="C42" s="1674">
        <f>SUM(C36:C41)</f>
        <v>142029</v>
      </c>
      <c r="D42" s="1674">
        <f t="shared" ref="D42:L42" si="3">SUM(D36:D41)</f>
        <v>17346</v>
      </c>
      <c r="E42" s="1674">
        <f t="shared" si="3"/>
        <v>29552</v>
      </c>
      <c r="F42" s="1674">
        <f t="shared" si="3"/>
        <v>4365</v>
      </c>
      <c r="G42" s="1674">
        <f t="shared" si="3"/>
        <v>0</v>
      </c>
      <c r="H42" s="1674">
        <f t="shared" si="3"/>
        <v>0</v>
      </c>
      <c r="I42" s="1674">
        <f t="shared" si="3"/>
        <v>0</v>
      </c>
      <c r="J42" s="1674">
        <f t="shared" si="3"/>
        <v>0</v>
      </c>
      <c r="K42" s="1674">
        <f t="shared" si="3"/>
        <v>193292</v>
      </c>
      <c r="L42" s="1674">
        <f t="shared" si="3"/>
        <v>162385</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94953</v>
      </c>
      <c r="D44" s="1586">
        <v>6313</v>
      </c>
      <c r="E44" s="1586">
        <v>17681</v>
      </c>
      <c r="F44" s="1586"/>
      <c r="G44" s="1586"/>
      <c r="H44" s="1586"/>
      <c r="I44" s="1574"/>
      <c r="J44" s="1574"/>
      <c r="K44" s="1678">
        <f>SUM(C44:J44)</f>
        <v>118947</v>
      </c>
      <c r="L44" s="1586">
        <v>24301</v>
      </c>
    </row>
    <row r="45" spans="1:14" x14ac:dyDescent="0.2">
      <c r="A45" s="1274" t="s">
        <v>810</v>
      </c>
      <c r="B45" s="503">
        <v>2220</v>
      </c>
      <c r="C45" s="1573">
        <v>1431</v>
      </c>
      <c r="D45" s="1573"/>
      <c r="E45" s="1573"/>
      <c r="F45" s="1573">
        <v>791</v>
      </c>
      <c r="G45" s="1573"/>
      <c r="H45" s="1573"/>
      <c r="I45" s="1574"/>
      <c r="J45" s="1574"/>
      <c r="K45" s="1678">
        <f>SUM(C45:J45)</f>
        <v>2222</v>
      </c>
      <c r="L45" s="1573">
        <v>1642</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96384</v>
      </c>
      <c r="D47" s="1674">
        <f t="shared" ref="D47:K47" si="4">SUM(D44:D46)</f>
        <v>6313</v>
      </c>
      <c r="E47" s="1674">
        <f t="shared" si="4"/>
        <v>17681</v>
      </c>
      <c r="F47" s="1674">
        <f t="shared" si="4"/>
        <v>791</v>
      </c>
      <c r="G47" s="1674">
        <f t="shared" si="4"/>
        <v>0</v>
      </c>
      <c r="H47" s="1674">
        <f t="shared" si="4"/>
        <v>0</v>
      </c>
      <c r="I47" s="1674">
        <f t="shared" si="4"/>
        <v>0</v>
      </c>
      <c r="J47" s="1674">
        <f t="shared" si="4"/>
        <v>0</v>
      </c>
      <c r="K47" s="1674">
        <f t="shared" si="4"/>
        <v>121169</v>
      </c>
      <c r="L47" s="1674">
        <f>SUM(L44:L46)</f>
        <v>25943</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3150</v>
      </c>
      <c r="D49" s="1586">
        <v>593</v>
      </c>
      <c r="E49" s="1586">
        <v>45147</v>
      </c>
      <c r="F49" s="1586">
        <v>169</v>
      </c>
      <c r="G49" s="1586"/>
      <c r="H49" s="1586"/>
      <c r="I49" s="1574"/>
      <c r="J49" s="1574"/>
      <c r="K49" s="1678">
        <f>SUM(C49:J49)</f>
        <v>49059</v>
      </c>
      <c r="L49" s="1586">
        <v>40290</v>
      </c>
    </row>
    <row r="50" spans="1:14" x14ac:dyDescent="0.2">
      <c r="A50" s="1274" t="s">
        <v>813</v>
      </c>
      <c r="B50" s="503">
        <v>2320</v>
      </c>
      <c r="C50" s="1573">
        <v>163074</v>
      </c>
      <c r="D50" s="1573">
        <f>15842+16272</f>
        <v>32114</v>
      </c>
      <c r="E50" s="1573">
        <v>4930</v>
      </c>
      <c r="F50" s="1573">
        <v>481</v>
      </c>
      <c r="G50" s="1573"/>
      <c r="H50" s="1573"/>
      <c r="I50" s="1574"/>
      <c r="J50" s="1574"/>
      <c r="K50" s="1678">
        <f>SUM(C50:J50)</f>
        <v>200599</v>
      </c>
      <c r="L50" s="1573">
        <v>194138</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166224</v>
      </c>
      <c r="D53" s="1674">
        <f t="shared" ref="D53:L53" si="5">SUM(D49:D52)</f>
        <v>32707</v>
      </c>
      <c r="E53" s="1674">
        <f t="shared" si="5"/>
        <v>50077</v>
      </c>
      <c r="F53" s="1674">
        <f t="shared" si="5"/>
        <v>650</v>
      </c>
      <c r="G53" s="1674">
        <f t="shared" si="5"/>
        <v>0</v>
      </c>
      <c r="H53" s="1674">
        <f t="shared" si="5"/>
        <v>0</v>
      </c>
      <c r="I53" s="1674">
        <f t="shared" si="5"/>
        <v>0</v>
      </c>
      <c r="J53" s="1674">
        <f t="shared" si="5"/>
        <v>0</v>
      </c>
      <c r="K53" s="1674">
        <f t="shared" si="5"/>
        <v>249658</v>
      </c>
      <c r="L53" s="1674">
        <f t="shared" si="5"/>
        <v>234428</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126711</v>
      </c>
      <c r="D55" s="1586">
        <f>8626+13471</f>
        <v>22097</v>
      </c>
      <c r="E55" s="1586">
        <v>23492</v>
      </c>
      <c r="F55" s="1586">
        <v>4358</v>
      </c>
      <c r="G55" s="1586"/>
      <c r="H55" s="1586"/>
      <c r="I55" s="1574"/>
      <c r="J55" s="1574"/>
      <c r="K55" s="1678">
        <f>SUM(C55:J55)</f>
        <v>176658</v>
      </c>
      <c r="L55" s="1586">
        <v>188873</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126711</v>
      </c>
      <c r="D57" s="1679">
        <f t="shared" ref="D57:K57" si="6">SUM(D55:D56)</f>
        <v>22097</v>
      </c>
      <c r="E57" s="1679">
        <f t="shared" si="6"/>
        <v>23492</v>
      </c>
      <c r="F57" s="1679">
        <f t="shared" si="6"/>
        <v>4358</v>
      </c>
      <c r="G57" s="1679">
        <f t="shared" si="6"/>
        <v>0</v>
      </c>
      <c r="H57" s="1679">
        <f t="shared" si="6"/>
        <v>0</v>
      </c>
      <c r="I57" s="1679">
        <f t="shared" si="6"/>
        <v>0</v>
      </c>
      <c r="J57" s="1679">
        <f t="shared" si="6"/>
        <v>0</v>
      </c>
      <c r="K57" s="1679">
        <f t="shared" si="6"/>
        <v>176658</v>
      </c>
      <c r="L57" s="1674">
        <f>SUM(L55:L56)</f>
        <v>188873</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54339</v>
      </c>
      <c r="D60" s="1573">
        <v>8124</v>
      </c>
      <c r="E60" s="1573"/>
      <c r="F60" s="1573"/>
      <c r="G60" s="1573"/>
      <c r="H60" s="1573"/>
      <c r="I60" s="1574"/>
      <c r="J60" s="1574"/>
      <c r="K60" s="1678">
        <f t="shared" si="7"/>
        <v>62463</v>
      </c>
      <c r="L60" s="1573">
        <v>68513</v>
      </c>
      <c r="M60" s="501"/>
      <c r="N60" s="501"/>
    </row>
    <row r="61" spans="1:14" s="321" customFormat="1" x14ac:dyDescent="0.2">
      <c r="A61" s="1274" t="s">
        <v>195</v>
      </c>
      <c r="B61" s="503">
        <v>2540</v>
      </c>
      <c r="C61" s="1573">
        <v>197065</v>
      </c>
      <c r="D61" s="1573">
        <v>17723</v>
      </c>
      <c r="E61" s="1573">
        <v>25924</v>
      </c>
      <c r="F61" s="1573">
        <v>964</v>
      </c>
      <c r="G61" s="1573"/>
      <c r="H61" s="1573"/>
      <c r="I61" s="1574"/>
      <c r="J61" s="1574"/>
      <c r="K61" s="1678">
        <f t="shared" si="7"/>
        <v>241676</v>
      </c>
      <c r="L61" s="1573">
        <v>214067</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96164</v>
      </c>
      <c r="D63" s="1573">
        <v>13510</v>
      </c>
      <c r="E63" s="1573">
        <v>6530</v>
      </c>
      <c r="F63" s="1573">
        <v>194834</v>
      </c>
      <c r="G63" s="1573"/>
      <c r="H63" s="1573">
        <v>26</v>
      </c>
      <c r="I63" s="1574"/>
      <c r="J63" s="1574"/>
      <c r="K63" s="1678">
        <f t="shared" si="7"/>
        <v>311064</v>
      </c>
      <c r="L63" s="1573">
        <v>243507</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347568</v>
      </c>
      <c r="D65" s="1674">
        <f t="shared" ref="D65:L65" si="8">SUM(D59:D64)</f>
        <v>39357</v>
      </c>
      <c r="E65" s="1674">
        <f t="shared" si="8"/>
        <v>32454</v>
      </c>
      <c r="F65" s="1674">
        <f t="shared" si="8"/>
        <v>195798</v>
      </c>
      <c r="G65" s="1674">
        <f t="shared" si="8"/>
        <v>0</v>
      </c>
      <c r="H65" s="1674">
        <f t="shared" si="8"/>
        <v>26</v>
      </c>
      <c r="I65" s="1674">
        <f t="shared" si="8"/>
        <v>0</v>
      </c>
      <c r="J65" s="1674">
        <f t="shared" si="8"/>
        <v>0</v>
      </c>
      <c r="K65" s="1674">
        <f t="shared" si="8"/>
        <v>615203</v>
      </c>
      <c r="L65" s="1674">
        <f t="shared" si="8"/>
        <v>526087</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878916</v>
      </c>
      <c r="D74" s="1681">
        <f t="shared" ref="D74:K74" si="10">SUM(D42,D47,D53,D57,D65,D72,D73)</f>
        <v>117820</v>
      </c>
      <c r="E74" s="1681">
        <f t="shared" si="10"/>
        <v>153256</v>
      </c>
      <c r="F74" s="1681">
        <f t="shared" si="10"/>
        <v>205962</v>
      </c>
      <c r="G74" s="1681">
        <f t="shared" si="10"/>
        <v>0</v>
      </c>
      <c r="H74" s="1681">
        <f t="shared" si="10"/>
        <v>26</v>
      </c>
      <c r="I74" s="1681">
        <f t="shared" si="10"/>
        <v>0</v>
      </c>
      <c r="J74" s="1681">
        <f t="shared" si="10"/>
        <v>0</v>
      </c>
      <c r="K74" s="1681">
        <f t="shared" si="10"/>
        <v>1355980</v>
      </c>
      <c r="L74" s="1681">
        <f>SUM(L42,L47,L53,L57,L65,L72,L73)</f>
        <v>1137716</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305884</v>
      </c>
      <c r="I79" s="1582"/>
      <c r="J79" s="1582"/>
      <c r="K79" s="1672">
        <f t="shared" si="11"/>
        <v>305884</v>
      </c>
      <c r="L79" s="1573">
        <v>126000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v>8116</v>
      </c>
      <c r="I81" s="1582"/>
      <c r="J81" s="1582"/>
      <c r="K81" s="1672">
        <f t="shared" si="11"/>
        <v>8116</v>
      </c>
      <c r="L81" s="1573">
        <v>7300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314000</v>
      </c>
      <c r="I84" s="1582"/>
      <c r="J84" s="1582"/>
      <c r="K84" s="1674">
        <f>SUM(K78:K83)</f>
        <v>314000</v>
      </c>
      <c r="L84" s="1674">
        <f>SUM(L78:L83)</f>
        <v>133300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314000</v>
      </c>
      <c r="I102" s="1582"/>
      <c r="J102" s="1582"/>
      <c r="K102" s="1681">
        <f>SUM(K84,K92,K100,K101)</f>
        <v>314000</v>
      </c>
      <c r="L102" s="1681">
        <f>SUM(L84,L92,L100,L101)</f>
        <v>133300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34000</v>
      </c>
      <c r="M113" s="502"/>
      <c r="N113" s="502"/>
    </row>
    <row r="114" spans="1:14" ht="12.75" customHeight="1" thickTop="1" thickBot="1" x14ac:dyDescent="0.25">
      <c r="A114" s="1380" t="s">
        <v>48</v>
      </c>
      <c r="B114" s="1388"/>
      <c r="C114" s="1674">
        <f>SUM(C33,C74,C75,C102,C112,C113)</f>
        <v>3352835</v>
      </c>
      <c r="D114" s="1674">
        <f t="shared" ref="D114:K114" si="13">SUM(D33,D74,D75,D102,D112,D113)</f>
        <v>558189</v>
      </c>
      <c r="E114" s="1674">
        <f t="shared" si="13"/>
        <v>290074</v>
      </c>
      <c r="F114" s="1674">
        <f t="shared" si="13"/>
        <v>444887</v>
      </c>
      <c r="G114" s="1674">
        <f t="shared" si="13"/>
        <v>4292</v>
      </c>
      <c r="H114" s="1674">
        <f>SUM(H33,H74,H75,H102,H112,H113)</f>
        <v>321564</v>
      </c>
      <c r="I114" s="1674">
        <f t="shared" si="13"/>
        <v>0</v>
      </c>
      <c r="J114" s="1674">
        <f t="shared" si="13"/>
        <v>0</v>
      </c>
      <c r="K114" s="1674">
        <f t="shared" si="13"/>
        <v>4971841</v>
      </c>
      <c r="L114" s="1674">
        <f>SUM(L33,L74,L75,L102,L112,L113)</f>
        <v>4522605</v>
      </c>
    </row>
    <row r="115" spans="1:14" ht="13.5" thickTop="1" x14ac:dyDescent="0.2">
      <c r="A115" s="2286" t="s">
        <v>989</v>
      </c>
      <c r="B115" s="2287"/>
      <c r="C115" s="1675"/>
      <c r="D115" s="1675"/>
      <c r="E115" s="1675"/>
      <c r="F115" s="1675"/>
      <c r="G115" s="1675"/>
      <c r="H115" s="1675"/>
      <c r="I115" s="1675"/>
      <c r="J115" s="1675"/>
      <c r="K115" s="1689">
        <f>'Revenues 9-14'!C268-'Expenditures 15-22'!K114</f>
        <v>-242341</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v>58892</v>
      </c>
      <c r="F124" s="1573">
        <v>167448</v>
      </c>
      <c r="G124" s="1573">
        <v>62839</v>
      </c>
      <c r="H124" s="1573"/>
      <c r="I124" s="1574"/>
      <c r="J124" s="1574"/>
      <c r="K124" s="1674">
        <f>SUM(C124:J124)</f>
        <v>289179</v>
      </c>
      <c r="L124" s="1573">
        <v>198856</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58892</v>
      </c>
      <c r="F127" s="1674">
        <f t="shared" si="14"/>
        <v>167448</v>
      </c>
      <c r="G127" s="1674">
        <f t="shared" si="14"/>
        <v>62839</v>
      </c>
      <c r="H127" s="1674">
        <f t="shared" si="14"/>
        <v>0</v>
      </c>
      <c r="I127" s="1674">
        <f t="shared" si="14"/>
        <v>0</v>
      </c>
      <c r="J127" s="1674">
        <f t="shared" si="14"/>
        <v>0</v>
      </c>
      <c r="K127" s="1674">
        <f t="shared" si="14"/>
        <v>289179</v>
      </c>
      <c r="L127" s="1674">
        <f t="shared" si="14"/>
        <v>198856</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58892</v>
      </c>
      <c r="F129" s="1681">
        <f t="shared" si="15"/>
        <v>167448</v>
      </c>
      <c r="G129" s="1681">
        <f t="shared" si="15"/>
        <v>62839</v>
      </c>
      <c r="H129" s="1681">
        <f t="shared" si="15"/>
        <v>0</v>
      </c>
      <c r="I129" s="1681">
        <f t="shared" si="15"/>
        <v>0</v>
      </c>
      <c r="J129" s="1681">
        <f t="shared" si="15"/>
        <v>0</v>
      </c>
      <c r="K129" s="1681">
        <f t="shared" si="15"/>
        <v>289179</v>
      </c>
      <c r="L129" s="1681">
        <f t="shared" si="15"/>
        <v>198856</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0</v>
      </c>
      <c r="D151" s="1674">
        <f t="shared" ref="D151:K151" si="16">SUM(D129,D130,D139,D149,D150)</f>
        <v>0</v>
      </c>
      <c r="E151" s="1674">
        <f t="shared" si="16"/>
        <v>58892</v>
      </c>
      <c r="F151" s="1674">
        <f t="shared" si="16"/>
        <v>167448</v>
      </c>
      <c r="G151" s="1674">
        <f t="shared" si="16"/>
        <v>62839</v>
      </c>
      <c r="H151" s="1674">
        <f t="shared" si="16"/>
        <v>0</v>
      </c>
      <c r="I151" s="1674">
        <f t="shared" si="16"/>
        <v>0</v>
      </c>
      <c r="J151" s="1674">
        <f t="shared" si="16"/>
        <v>0</v>
      </c>
      <c r="K151" s="1674">
        <f t="shared" si="16"/>
        <v>289179</v>
      </c>
      <c r="L151" s="1674">
        <f>SUM(L129,L130,L139,L149,L150)</f>
        <v>198856</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-45840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51033</v>
      </c>
      <c r="I169" s="1673"/>
      <c r="J169" s="1673"/>
      <c r="K169" s="1672">
        <f>SUM(C169:H169)</f>
        <v>51033</v>
      </c>
      <c r="L169" s="1695">
        <v>51033</v>
      </c>
    </row>
    <row r="170" spans="1:14" ht="33.75" customHeight="1" x14ac:dyDescent="0.2">
      <c r="A170" s="543" t="s">
        <v>1651</v>
      </c>
      <c r="B170" s="545" t="s">
        <v>31</v>
      </c>
      <c r="C170" s="1673"/>
      <c r="D170" s="1673"/>
      <c r="E170" s="1673"/>
      <c r="F170" s="1673"/>
      <c r="G170" s="1673"/>
      <c r="H170" s="1646">
        <v>195000</v>
      </c>
      <c r="I170" s="1673"/>
      <c r="J170" s="1673"/>
      <c r="K170" s="1672">
        <f>SUM(C170:J170)</f>
        <v>195000</v>
      </c>
      <c r="L170" s="1646">
        <v>195000</v>
      </c>
    </row>
    <row r="171" spans="1:14" ht="15.75" customHeight="1" x14ac:dyDescent="0.2">
      <c r="A171" s="507" t="s">
        <v>761</v>
      </c>
      <c r="B171" s="546" t="s">
        <v>84</v>
      </c>
      <c r="C171" s="1673"/>
      <c r="D171" s="1673"/>
      <c r="E171" s="1573"/>
      <c r="F171" s="1673"/>
      <c r="G171" s="1673"/>
      <c r="H171" s="1646">
        <v>500</v>
      </c>
      <c r="I171" s="1582"/>
      <c r="J171" s="1673"/>
      <c r="K171" s="1672">
        <f>SUM(C171:J171)</f>
        <v>500</v>
      </c>
      <c r="L171" s="1646">
        <v>500</v>
      </c>
    </row>
    <row r="172" spans="1:14" ht="12.75" customHeight="1" thickBot="1" x14ac:dyDescent="0.25">
      <c r="A172" s="1380" t="s">
        <v>633</v>
      </c>
      <c r="B172" s="1381" t="s">
        <v>489</v>
      </c>
      <c r="C172" s="1673"/>
      <c r="D172" s="1673"/>
      <c r="E172" s="1681">
        <f>SUM(E168,E169,E170,E171)</f>
        <v>0</v>
      </c>
      <c r="F172" s="1673"/>
      <c r="G172" s="1673"/>
      <c r="H172" s="1681">
        <f>SUM(H168,H169,H170,H171)</f>
        <v>246533</v>
      </c>
      <c r="I172" s="1684"/>
      <c r="J172" s="1673"/>
      <c r="K172" s="1681">
        <f>SUM(K168,K169,K170,K171)</f>
        <v>246533</v>
      </c>
      <c r="L172" s="1681">
        <f>SUM(L168,L169,L170,L171)</f>
        <v>246533</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246533</v>
      </c>
      <c r="I174" s="1684"/>
      <c r="J174" s="1673"/>
      <c r="K174" s="1681">
        <f>SUM(K160,K172,K173)</f>
        <v>246533</v>
      </c>
      <c r="L174" s="1681">
        <f>SUM(L160,L172,L173)</f>
        <v>246533</v>
      </c>
    </row>
    <row r="175" spans="1:14" ht="13.5" thickTop="1" x14ac:dyDescent="0.2">
      <c r="A175" s="2286" t="s">
        <v>989</v>
      </c>
      <c r="B175" s="2287"/>
      <c r="C175" s="1673"/>
      <c r="D175" s="1673"/>
      <c r="E175" s="1673"/>
      <c r="F175" s="1673"/>
      <c r="G175" s="1673"/>
      <c r="H175" s="1675"/>
      <c r="I175" s="1673"/>
      <c r="J175" s="1673"/>
      <c r="K175" s="1689">
        <f>'Revenues 9-14'!E268-'Expenditures 15-22'!K174</f>
        <v>361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v>312004</v>
      </c>
      <c r="F182" s="1573">
        <v>24636</v>
      </c>
      <c r="G182" s="1573"/>
      <c r="H182" s="1573"/>
      <c r="I182" s="1574"/>
      <c r="J182" s="1574"/>
      <c r="K182" s="1672">
        <f>SUM(C182:J182)</f>
        <v>336640</v>
      </c>
      <c r="L182" s="1573">
        <v>349000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312004</v>
      </c>
      <c r="F184" s="1681">
        <f t="shared" si="17"/>
        <v>24636</v>
      </c>
      <c r="G184" s="1681">
        <f t="shared" si="17"/>
        <v>0</v>
      </c>
      <c r="H184" s="1681">
        <f t="shared" si="17"/>
        <v>0</v>
      </c>
      <c r="I184" s="1681">
        <f t="shared" si="17"/>
        <v>0</v>
      </c>
      <c r="J184" s="1681">
        <f t="shared" si="17"/>
        <v>0</v>
      </c>
      <c r="K184" s="1681">
        <f>SUM(K180,K182,K183)</f>
        <v>336640</v>
      </c>
      <c r="L184" s="1681">
        <f>SUM(L180, L182:L183)</f>
        <v>349000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312004</v>
      </c>
      <c r="F210" s="1674">
        <f>SUM(F184,F185)</f>
        <v>24636</v>
      </c>
      <c r="G210" s="1674">
        <f>SUM(G184,G185)</f>
        <v>0</v>
      </c>
      <c r="H210" s="1674">
        <f>SUM(H184,H185,H196,H208,H209)</f>
        <v>0</v>
      </c>
      <c r="I210" s="1674">
        <f>SUM(I184,I185)</f>
        <v>0</v>
      </c>
      <c r="J210" s="1674">
        <f>SUM(J184,J185)</f>
        <v>0</v>
      </c>
      <c r="K210" s="1672">
        <f>SUM(K184,K185,K196,K208,K209)</f>
        <v>336640</v>
      </c>
      <c r="L210" s="1674">
        <f>SUM(L184,L185,L196,L208,L209)</f>
        <v>349000</v>
      </c>
    </row>
    <row r="211" spans="1:14" ht="13.5" thickTop="1" x14ac:dyDescent="0.2">
      <c r="A211" s="2286" t="s">
        <v>989</v>
      </c>
      <c r="B211" s="2287"/>
      <c r="C211" s="1675"/>
      <c r="D211" s="1675"/>
      <c r="E211" s="1675"/>
      <c r="F211" s="1675"/>
      <c r="G211" s="1675"/>
      <c r="H211" s="1675"/>
      <c r="I211" s="1673"/>
      <c r="J211" s="1673"/>
      <c r="K211" s="1689">
        <f>'Revenues 9-14'!F268-'Expenditures 15-22'!K210</f>
        <v>8040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36502</v>
      </c>
      <c r="E215" s="1673"/>
      <c r="F215" s="1673"/>
      <c r="G215" s="1673"/>
      <c r="H215" s="1673"/>
      <c r="I215" s="1673"/>
      <c r="J215" s="1673"/>
      <c r="K215" s="1672">
        <f>D215</f>
        <v>36502</v>
      </c>
      <c r="L215" s="1573">
        <v>36510</v>
      </c>
    </row>
    <row r="216" spans="1:14" x14ac:dyDescent="0.2">
      <c r="A216" s="1274" t="s">
        <v>162</v>
      </c>
      <c r="B216" s="503" t="s">
        <v>961</v>
      </c>
      <c r="C216" s="1673"/>
      <c r="D216" s="1574"/>
      <c r="E216" s="1673"/>
      <c r="F216" s="1673"/>
      <c r="G216" s="1673"/>
      <c r="H216" s="1673"/>
      <c r="I216" s="1673"/>
      <c r="J216" s="1673"/>
      <c r="K216" s="1672">
        <f t="shared" ref="K216:K228" si="19">D216</f>
        <v>0</v>
      </c>
      <c r="L216" s="1573">
        <v>3100</v>
      </c>
    </row>
    <row r="217" spans="1:14" x14ac:dyDescent="0.2">
      <c r="A217" s="1274" t="s">
        <v>163</v>
      </c>
      <c r="B217" s="503">
        <v>1200</v>
      </c>
      <c r="C217" s="1673"/>
      <c r="D217" s="1573">
        <v>17644</v>
      </c>
      <c r="E217" s="1673"/>
      <c r="F217" s="1673"/>
      <c r="G217" s="1673"/>
      <c r="H217" s="1673"/>
      <c r="I217" s="1673"/>
      <c r="J217" s="1673"/>
      <c r="K217" s="1672">
        <f t="shared" si="19"/>
        <v>17644</v>
      </c>
      <c r="L217" s="1573">
        <v>21205</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v>1573</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1800</v>
      </c>
      <c r="E222" s="1673"/>
      <c r="F222" s="1673"/>
      <c r="G222" s="1673"/>
      <c r="H222" s="1673"/>
      <c r="I222" s="1673"/>
      <c r="J222" s="1673"/>
      <c r="K222" s="1672">
        <f t="shared" si="19"/>
        <v>1800</v>
      </c>
      <c r="L222" s="1573">
        <v>1800</v>
      </c>
    </row>
    <row r="223" spans="1:14" x14ac:dyDescent="0.2">
      <c r="A223" s="1274" t="s">
        <v>957</v>
      </c>
      <c r="B223" s="503">
        <v>1500</v>
      </c>
      <c r="C223" s="1673"/>
      <c r="D223" s="1573">
        <v>3764</v>
      </c>
      <c r="E223" s="1673"/>
      <c r="F223" s="1673"/>
      <c r="G223" s="1673"/>
      <c r="H223" s="1673"/>
      <c r="I223" s="1673"/>
      <c r="J223" s="1673"/>
      <c r="K223" s="1672">
        <f t="shared" si="19"/>
        <v>3764</v>
      </c>
      <c r="L223" s="1573">
        <v>3905</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257</v>
      </c>
      <c r="E226" s="1673"/>
      <c r="F226" s="1673"/>
      <c r="G226" s="1673"/>
      <c r="H226" s="1673"/>
      <c r="I226" s="1673"/>
      <c r="J226" s="1673"/>
      <c r="K226" s="1672">
        <f t="shared" si="19"/>
        <v>257</v>
      </c>
      <c r="L226" s="1573">
        <v>520</v>
      </c>
    </row>
    <row r="227" spans="1:12" x14ac:dyDescent="0.2">
      <c r="A227" s="1274" t="s">
        <v>1078</v>
      </c>
      <c r="B227" s="503">
        <v>1800</v>
      </c>
      <c r="C227" s="1673"/>
      <c r="D227" s="1573">
        <v>8982</v>
      </c>
      <c r="E227" s="1673"/>
      <c r="F227" s="1673"/>
      <c r="G227" s="1673"/>
      <c r="H227" s="1673"/>
      <c r="I227" s="1673"/>
      <c r="J227" s="1673"/>
      <c r="K227" s="1672">
        <f t="shared" si="19"/>
        <v>8982</v>
      </c>
      <c r="L227" s="1573">
        <v>6800</v>
      </c>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68949</v>
      </c>
      <c r="E229" s="1673"/>
      <c r="F229" s="1673"/>
      <c r="G229" s="1673"/>
      <c r="H229" s="1673"/>
      <c r="I229" s="1673"/>
      <c r="J229" s="1673"/>
      <c r="K229" s="1674">
        <f>SUM(K215:K228)</f>
        <v>68949</v>
      </c>
      <c r="L229" s="1674">
        <f>SUM(L215:L228)</f>
        <v>75413</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623</v>
      </c>
      <c r="E233" s="1673"/>
      <c r="F233" s="1673"/>
      <c r="G233" s="1673"/>
      <c r="H233" s="1673"/>
      <c r="I233" s="1673"/>
      <c r="J233" s="1673"/>
      <c r="K233" s="1672">
        <f t="shared" si="20"/>
        <v>623</v>
      </c>
      <c r="L233" s="1573">
        <v>600</v>
      </c>
    </row>
    <row r="234" spans="1:12" x14ac:dyDescent="0.2">
      <c r="A234" s="1274" t="s">
        <v>196</v>
      </c>
      <c r="B234" s="503">
        <v>2130</v>
      </c>
      <c r="C234" s="1673"/>
      <c r="D234" s="1573">
        <v>8262</v>
      </c>
      <c r="E234" s="1673"/>
      <c r="F234" s="1673"/>
      <c r="G234" s="1673"/>
      <c r="H234" s="1673"/>
      <c r="I234" s="1673"/>
      <c r="J234" s="1673"/>
      <c r="K234" s="1672">
        <f t="shared" si="20"/>
        <v>8262</v>
      </c>
      <c r="L234" s="1573">
        <v>8185</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687</v>
      </c>
      <c r="E236" s="1673"/>
      <c r="F236" s="1673"/>
      <c r="G236" s="1673"/>
      <c r="H236" s="1673"/>
      <c r="I236" s="1673"/>
      <c r="J236" s="1673"/>
      <c r="K236" s="1672">
        <f t="shared" si="20"/>
        <v>687</v>
      </c>
      <c r="L236" s="1573">
        <v>550</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9572</v>
      </c>
      <c r="E238" s="1673"/>
      <c r="F238" s="1673"/>
      <c r="G238" s="1673"/>
      <c r="H238" s="1673"/>
      <c r="I238" s="1673"/>
      <c r="J238" s="1673"/>
      <c r="K238" s="1674">
        <f>SUM(K232:K237)</f>
        <v>9572</v>
      </c>
      <c r="L238" s="1674">
        <f>SUM(L232:L237)</f>
        <v>9335</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v>854</v>
      </c>
    </row>
    <row r="241" spans="1:12" x14ac:dyDescent="0.2">
      <c r="A241" s="1274" t="s">
        <v>810</v>
      </c>
      <c r="B241" s="503">
        <v>2220</v>
      </c>
      <c r="C241" s="1673"/>
      <c r="D241" s="1573">
        <v>110</v>
      </c>
      <c r="E241" s="1673"/>
      <c r="F241" s="1673"/>
      <c r="G241" s="1673"/>
      <c r="H241" s="1673"/>
      <c r="I241" s="1673"/>
      <c r="J241" s="1673"/>
      <c r="K241" s="1678">
        <f>D241</f>
        <v>110</v>
      </c>
      <c r="L241" s="1573">
        <v>29</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110</v>
      </c>
      <c r="E243" s="1673"/>
      <c r="F243" s="1673"/>
      <c r="G243" s="1673"/>
      <c r="H243" s="1673"/>
      <c r="I243" s="1673"/>
      <c r="J243" s="1673"/>
      <c r="K243" s="1674">
        <f>SUM(K240:K242)</f>
        <v>110</v>
      </c>
      <c r="L243" s="1674">
        <f>SUM(L240:L242)</f>
        <v>883</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790</v>
      </c>
      <c r="E245" s="1673"/>
      <c r="F245" s="1673"/>
      <c r="G245" s="1673"/>
      <c r="H245" s="1673"/>
      <c r="I245" s="1673"/>
      <c r="J245" s="1673"/>
      <c r="K245" s="1678">
        <f>D245</f>
        <v>790</v>
      </c>
      <c r="L245" s="1586">
        <v>944</v>
      </c>
    </row>
    <row r="246" spans="1:12" x14ac:dyDescent="0.2">
      <c r="A246" s="1274" t="s">
        <v>813</v>
      </c>
      <c r="B246" s="503">
        <v>2320</v>
      </c>
      <c r="C246" s="1673"/>
      <c r="D246" s="1573">
        <v>7808</v>
      </c>
      <c r="E246" s="1673"/>
      <c r="F246" s="1673"/>
      <c r="G246" s="1673"/>
      <c r="H246" s="1673"/>
      <c r="I246" s="1673"/>
      <c r="J246" s="1673"/>
      <c r="K246" s="1678">
        <f t="shared" ref="K246:K256" si="21">D246</f>
        <v>7808</v>
      </c>
      <c r="L246" s="1573">
        <v>7100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8598</v>
      </c>
      <c r="E257" s="1673"/>
      <c r="F257" s="1673"/>
      <c r="G257" s="1673"/>
      <c r="H257" s="1673"/>
      <c r="I257" s="1673"/>
      <c r="J257" s="1673"/>
      <c r="K257" s="1674">
        <f>SUM(K245:K256)</f>
        <v>8598</v>
      </c>
      <c r="L257" s="1674">
        <f>SUM(L245:L256)</f>
        <v>8044</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10870</v>
      </c>
      <c r="E259" s="1673"/>
      <c r="F259" s="1673"/>
      <c r="G259" s="1673"/>
      <c r="H259" s="1673"/>
      <c r="I259" s="1673"/>
      <c r="J259" s="1673"/>
      <c r="K259" s="1678">
        <f>D259</f>
        <v>10870</v>
      </c>
      <c r="L259" s="1586">
        <v>10150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10870</v>
      </c>
      <c r="E261" s="1673"/>
      <c r="F261" s="1673"/>
      <c r="G261" s="1673"/>
      <c r="H261" s="1673"/>
      <c r="I261" s="1673"/>
      <c r="J261" s="1673"/>
      <c r="K261" s="1674">
        <f>SUM(K259:K260)</f>
        <v>10870</v>
      </c>
      <c r="L261" s="1674">
        <f>SUM(L259:L260)</f>
        <v>10150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9601</v>
      </c>
      <c r="E264" s="1673"/>
      <c r="F264" s="1673"/>
      <c r="G264" s="1673"/>
      <c r="H264" s="1673"/>
      <c r="I264" s="1673"/>
      <c r="J264" s="1673"/>
      <c r="K264" s="1678">
        <f t="shared" ref="K264:K269" si="22">D264</f>
        <v>9601</v>
      </c>
      <c r="L264" s="1573">
        <v>9650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32001</v>
      </c>
      <c r="E266" s="1673"/>
      <c r="F266" s="1673"/>
      <c r="G266" s="1673"/>
      <c r="H266" s="1673"/>
      <c r="I266" s="1673"/>
      <c r="J266" s="1673"/>
      <c r="K266" s="1678">
        <f t="shared" si="22"/>
        <v>32001</v>
      </c>
      <c r="L266" s="1573">
        <v>30650</v>
      </c>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v>15552</v>
      </c>
      <c r="E268" s="1673"/>
      <c r="F268" s="1673"/>
      <c r="G268" s="1673"/>
      <c r="H268" s="1673"/>
      <c r="I268" s="1673"/>
      <c r="J268" s="1673"/>
      <c r="K268" s="1678">
        <f t="shared" si="22"/>
        <v>15552</v>
      </c>
      <c r="L268" s="1573">
        <v>14500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57154</v>
      </c>
      <c r="E270" s="1673"/>
      <c r="F270" s="1673"/>
      <c r="G270" s="1673"/>
      <c r="H270" s="1673"/>
      <c r="I270" s="1673"/>
      <c r="J270" s="1673"/>
      <c r="K270" s="1674">
        <f>SUM(K263:K269)</f>
        <v>57154</v>
      </c>
      <c r="L270" s="1674">
        <f>SUM(L263:L269)</f>
        <v>54800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86304</v>
      </c>
      <c r="E279" s="1673"/>
      <c r="F279" s="1673"/>
      <c r="G279" s="1673"/>
      <c r="H279" s="1673"/>
      <c r="I279" s="1673"/>
      <c r="J279" s="1673"/>
      <c r="K279" s="1681">
        <f>SUM(K238,K243,K257,K261,K270,K277,K278)</f>
        <v>86304</v>
      </c>
      <c r="L279" s="1681">
        <f>SUM(L238,L243,L257,L261,L270,L277,L278)</f>
        <v>83212</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155253</v>
      </c>
      <c r="E295" s="1673"/>
      <c r="F295" s="1673"/>
      <c r="G295" s="1673"/>
      <c r="H295" s="1674">
        <f>H293</f>
        <v>0</v>
      </c>
      <c r="I295" s="1673"/>
      <c r="J295" s="1673"/>
      <c r="K295" s="1674">
        <f>SUM(K229,K279,K280,K285,K293,K294)</f>
        <v>155253</v>
      </c>
      <c r="L295" s="1674">
        <f>SUM(L229,L279,L280,L285,L293,L294)</f>
        <v>158625</v>
      </c>
    </row>
    <row r="296" spans="1:14" ht="13.5" thickTop="1" x14ac:dyDescent="0.2">
      <c r="A296" s="2286" t="s">
        <v>989</v>
      </c>
      <c r="B296" s="2287"/>
      <c r="C296" s="1673"/>
      <c r="D296" s="1675"/>
      <c r="E296" s="1673"/>
      <c r="F296" s="1673"/>
      <c r="G296" s="1673"/>
      <c r="H296" s="1707"/>
      <c r="I296" s="1673"/>
      <c r="J296" s="1673"/>
      <c r="K296" s="1689">
        <f>'Revenues 9-14'!G268-'Expenditures 15-22'!K295</f>
        <v>7262</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10780</v>
      </c>
      <c r="F301" s="1573"/>
      <c r="G301" s="1573">
        <v>9499</v>
      </c>
      <c r="H301" s="1573"/>
      <c r="I301" s="1574"/>
      <c r="J301" s="1574"/>
      <c r="K301" s="1672">
        <f>SUM(C301:J301)</f>
        <v>20279</v>
      </c>
      <c r="L301" s="1574">
        <v>50000</v>
      </c>
    </row>
    <row r="302" spans="1:14" ht="13.5" customHeight="1" x14ac:dyDescent="0.2">
      <c r="A302" s="1287" t="s">
        <v>973</v>
      </c>
      <c r="B302" s="503" t="s">
        <v>570</v>
      </c>
      <c r="C302" s="1573"/>
      <c r="D302" s="1573"/>
      <c r="E302" s="1573">
        <v>46185</v>
      </c>
      <c r="F302" s="1573"/>
      <c r="G302" s="1573">
        <v>10316</v>
      </c>
      <c r="H302" s="1573"/>
      <c r="I302" s="1574"/>
      <c r="J302" s="1574"/>
      <c r="K302" s="1672">
        <f>SUM(C302:J302)</f>
        <v>56501</v>
      </c>
      <c r="L302" s="1573"/>
    </row>
    <row r="303" spans="1:14" ht="12.75" customHeight="1" thickBot="1" x14ac:dyDescent="0.25">
      <c r="A303" s="1380" t="s">
        <v>806</v>
      </c>
      <c r="B303" s="1381" t="s">
        <v>565</v>
      </c>
      <c r="C303" s="1681">
        <f>SUM(C301:C302)</f>
        <v>0</v>
      </c>
      <c r="D303" s="1681">
        <f t="shared" ref="D303:L303" si="23">SUM(D301:D302)</f>
        <v>0</v>
      </c>
      <c r="E303" s="1681">
        <f t="shared" si="23"/>
        <v>56965</v>
      </c>
      <c r="F303" s="1681">
        <f t="shared" si="23"/>
        <v>0</v>
      </c>
      <c r="G303" s="1681">
        <f t="shared" si="23"/>
        <v>19815</v>
      </c>
      <c r="H303" s="1681">
        <f t="shared" si="23"/>
        <v>0</v>
      </c>
      <c r="I303" s="1681">
        <f t="shared" si="23"/>
        <v>0</v>
      </c>
      <c r="J303" s="1681">
        <f t="shared" si="23"/>
        <v>0</v>
      </c>
      <c r="K303" s="1681">
        <f t="shared" si="23"/>
        <v>76780</v>
      </c>
      <c r="L303" s="1681">
        <f t="shared" si="23"/>
        <v>50000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56965</v>
      </c>
      <c r="F312" s="1674">
        <f>SUM(F303)</f>
        <v>0</v>
      </c>
      <c r="G312" s="1674">
        <f>SUM(G303)</f>
        <v>19815</v>
      </c>
      <c r="H312" s="1674">
        <f>SUM(H303,H310)</f>
        <v>0</v>
      </c>
      <c r="I312" s="1674">
        <f>SUM(I303)</f>
        <v>0</v>
      </c>
      <c r="J312" s="1674">
        <f>SUM(J303)</f>
        <v>0</v>
      </c>
      <c r="K312" s="1674">
        <f>SUM(K303,K310,K311)</f>
        <v>76780</v>
      </c>
      <c r="L312" s="1674">
        <f>SUM(L303,L310,L311)</f>
        <v>50000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54231</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17551</v>
      </c>
      <c r="F320" s="1574"/>
      <c r="G320" s="1574"/>
      <c r="H320" s="1574"/>
      <c r="I320" s="1574"/>
      <c r="J320" s="1574"/>
      <c r="K320" s="1672">
        <f t="shared" ref="K320:K327" si="24">SUM(C320:J320)</f>
        <v>17551</v>
      </c>
      <c r="L320" s="1574">
        <v>22000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70310</v>
      </c>
      <c r="F322" s="1574"/>
      <c r="G322" s="1574"/>
      <c r="H322" s="1574"/>
      <c r="I322" s="1574"/>
      <c r="J322" s="1574"/>
      <c r="K322" s="1672">
        <f t="shared" si="24"/>
        <v>70310</v>
      </c>
      <c r="L322" s="1574">
        <v>60000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771</v>
      </c>
      <c r="F327" s="1574"/>
      <c r="G327" s="1574"/>
      <c r="H327" s="1574"/>
      <c r="I327" s="1574"/>
      <c r="J327" s="1574"/>
      <c r="K327" s="1672">
        <f t="shared" si="24"/>
        <v>771</v>
      </c>
      <c r="L327" s="1574">
        <v>6294</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88632</v>
      </c>
      <c r="F330" s="1674">
        <f t="shared" si="25"/>
        <v>0</v>
      </c>
      <c r="G330" s="1674">
        <f t="shared" si="25"/>
        <v>0</v>
      </c>
      <c r="H330" s="1674">
        <f t="shared" si="25"/>
        <v>0</v>
      </c>
      <c r="I330" s="1674">
        <f t="shared" si="25"/>
        <v>0</v>
      </c>
      <c r="J330" s="1674">
        <f t="shared" si="25"/>
        <v>0</v>
      </c>
      <c r="K330" s="1674">
        <f>SUM(K319:K329)</f>
        <v>88632</v>
      </c>
      <c r="L330" s="1674">
        <f>SUM(L319:L329)</f>
        <v>88294</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88632</v>
      </c>
      <c r="F342" s="1674">
        <f>SUM(F330)</f>
        <v>0</v>
      </c>
      <c r="G342" s="1674">
        <f>SUM(G330)</f>
        <v>0</v>
      </c>
      <c r="H342" s="1674">
        <f>SUM(H330,H334,H340)</f>
        <v>0</v>
      </c>
      <c r="I342" s="1674">
        <f>SUM(I330)</f>
        <v>0</v>
      </c>
      <c r="J342" s="1674">
        <f>SUM(J330)</f>
        <v>0</v>
      </c>
      <c r="K342" s="1674">
        <f>SUM(K330,K334,K340)</f>
        <v>88632</v>
      </c>
      <c r="L342" s="1681">
        <f>SUM(L330,L334,L340,L341)</f>
        <v>88294</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4708</v>
      </c>
      <c r="F349" s="1573"/>
      <c r="G349" s="1573"/>
      <c r="H349" s="1573"/>
      <c r="I349" s="1574"/>
      <c r="J349" s="1574"/>
      <c r="K349" s="1672">
        <f>SUM(C349:J349)</f>
        <v>4708</v>
      </c>
      <c r="L349" s="1573">
        <v>12000</v>
      </c>
    </row>
    <row r="350" spans="1:14" ht="12.75" customHeight="1" thickBot="1" x14ac:dyDescent="0.25">
      <c r="A350" s="1380" t="s">
        <v>714</v>
      </c>
      <c r="B350" s="1381" t="s">
        <v>35</v>
      </c>
      <c r="C350" s="1674">
        <f>SUM(C348:C349)</f>
        <v>0</v>
      </c>
      <c r="D350" s="1674">
        <f t="shared" ref="D350:L350" si="26">SUM(D348:D349)</f>
        <v>0</v>
      </c>
      <c r="E350" s="1674">
        <f t="shared" si="26"/>
        <v>4708</v>
      </c>
      <c r="F350" s="1674">
        <f t="shared" si="26"/>
        <v>0</v>
      </c>
      <c r="G350" s="1674">
        <f t="shared" si="26"/>
        <v>0</v>
      </c>
      <c r="H350" s="1674">
        <f t="shared" si="26"/>
        <v>0</v>
      </c>
      <c r="I350" s="1674">
        <f t="shared" si="26"/>
        <v>0</v>
      </c>
      <c r="J350" s="1674">
        <f t="shared" si="26"/>
        <v>0</v>
      </c>
      <c r="K350" s="1674">
        <f t="shared" si="26"/>
        <v>4708</v>
      </c>
      <c r="L350" s="1674">
        <f t="shared" si="26"/>
        <v>12000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4708</v>
      </c>
      <c r="F352" s="1674">
        <f t="shared" si="27"/>
        <v>0</v>
      </c>
      <c r="G352" s="1674">
        <f t="shared" si="27"/>
        <v>0</v>
      </c>
      <c r="H352" s="1674">
        <f t="shared" si="27"/>
        <v>0</v>
      </c>
      <c r="I352" s="1674">
        <f t="shared" si="27"/>
        <v>0</v>
      </c>
      <c r="J352" s="1674">
        <f t="shared" si="27"/>
        <v>0</v>
      </c>
      <c r="K352" s="1674">
        <f t="shared" si="27"/>
        <v>4708</v>
      </c>
      <c r="L352" s="1674">
        <f t="shared" si="27"/>
        <v>12000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4708</v>
      </c>
      <c r="F367" s="1674">
        <f t="shared" si="28"/>
        <v>0</v>
      </c>
      <c r="G367" s="1674">
        <f t="shared" si="28"/>
        <v>0</v>
      </c>
      <c r="H367" s="1674">
        <f t="shared" si="28"/>
        <v>0</v>
      </c>
      <c r="I367" s="1674">
        <f t="shared" si="28"/>
        <v>0</v>
      </c>
      <c r="J367" s="1674">
        <f t="shared" si="28"/>
        <v>0</v>
      </c>
      <c r="K367" s="1674">
        <f t="shared" si="28"/>
        <v>4708</v>
      </c>
      <c r="L367" s="1674">
        <f t="shared" si="28"/>
        <v>12000</v>
      </c>
    </row>
    <row r="368" spans="1:14" ht="13.5" thickTop="1" x14ac:dyDescent="0.2">
      <c r="A368" s="2286" t="s">
        <v>989</v>
      </c>
      <c r="B368" s="2287"/>
      <c r="C368" s="1694"/>
      <c r="D368" s="1694"/>
      <c r="E368" s="1677"/>
      <c r="F368" s="1677"/>
      <c r="G368" s="1677"/>
      <c r="H368" s="1677"/>
      <c r="I368" s="1677"/>
      <c r="J368" s="1676"/>
      <c r="K368" s="1672">
        <f>'Revenues 9-14'!K268-'Expenditures 15-22'!K367</f>
        <v>14259</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&amp;L&amp;8&amp;F&amp;CThe accompanying Notes to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purl.org/dc/dcmitype/"/>
    <ds:schemaRef ds:uri="http://purl.org/dc/elements/1.1/"/>
    <ds:schemaRef ds:uri="http://schemas.microsoft.com/sharepoint/v3"/>
    <ds:schemaRef ds:uri="http://schemas.microsoft.com/office/2006/documentManagement/types"/>
    <ds:schemaRef ds:uri="6ce3111e-7420-4802-b50a-75d4e9a0b980"/>
    <ds:schemaRef ds:uri="http://schemas.microsoft.com/office/2006/metadata/properties"/>
    <ds:schemaRef ds:uri="http://www.w3.org/XML/1998/namespace"/>
    <ds:schemaRef ds:uri="http://schemas.openxmlformats.org/package/2006/metadata/core-properties"/>
    <ds:schemaRef ds:uri="4d435f69-8686-490b-bd6d-b153bf22ab50"/>
    <ds:schemaRef ds:uri="http://schemas.microsoft.com/office/infopath/2007/PartnerControls"/>
    <ds:schemaRef ds:uri="d21dc803-237d-4c68-8692-8d731fd2911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'Contracts Paid in CY 29'!Print_Area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2021-03-01T15:26:23Z</cp:lastPrinted>
  <dcterms:created xsi:type="dcterms:W3CDTF">2003-10-29T19:06:34Z</dcterms:created>
  <dcterms:modified xsi:type="dcterms:W3CDTF">2021-03-01T17:29:38Z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