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E37B8D7-B5BC-4ABA-ADA6-B568154F7841}" xr6:coauthVersionLast="36" xr6:coauthVersionMax="36" xr10:uidLastSave="{00000000-0000-0000-0000-000000000000}"/>
  <bookViews>
    <workbookView xWindow="11310" yWindow="2295"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M19" i="3"/>
  <c r="M17" i="3"/>
  <c r="C264" i="5" l="1"/>
  <c r="E11" i="108" l="1"/>
  <c r="C65" i="5" l="1"/>
  <c r="E65" i="5" l="1"/>
  <c r="G8" i="5"/>
  <c r="G5" i="5"/>
  <c r="J6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6" i="183" l="1"/>
  <c r="F35" i="183"/>
  <c r="F34" i="183"/>
  <c r="F33" i="183"/>
  <c r="F32" i="183"/>
  <c r="F31" i="183"/>
  <c r="F30" i="183"/>
  <c r="F29" i="183"/>
  <c r="F28" i="183"/>
  <c r="F24" i="183"/>
  <c r="F23" i="183"/>
  <c r="F22" i="183"/>
  <c r="F21" i="183"/>
  <c r="F20" i="183"/>
  <c r="E36" i="183"/>
  <c r="E35" i="183"/>
  <c r="E34" i="183"/>
  <c r="E33" i="183"/>
  <c r="E32" i="183"/>
  <c r="E31" i="183"/>
  <c r="E30" i="183"/>
  <c r="E29" i="183"/>
  <c r="E28"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C342" i="29" l="1"/>
  <c r="B7216" i="106" s="1"/>
  <c r="D7216"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14" i="29" l="1"/>
  <c r="N23" i="3"/>
  <c r="B284" i="106" s="1"/>
  <c r="D284" i="106" s="1"/>
  <c r="B1381" i="106"/>
  <c r="D1381" i="106" s="1"/>
  <c r="F41" i="108"/>
  <c r="G43" i="108" s="1"/>
  <c r="B5527" i="106"/>
  <c r="D5527" i="106" s="1"/>
  <c r="B6216" i="106"/>
  <c r="D6216" i="106"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B6227" i="106"/>
  <c r="D6227" i="106" s="1"/>
  <c r="F8" i="4"/>
  <c r="B2595" i="106" s="1"/>
  <c r="D2595" i="106" s="1"/>
  <c r="K17" i="4"/>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8" i="146"/>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<sst xmlns="http://schemas.openxmlformats.org/spreadsheetml/2006/main" count="5161" uniqueCount="2086">
  <si>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</si>
  <si>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</si>
  <si>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</si>
  <si>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</si>
  <si>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</si>
  <si>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</si>
  <si>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</si>
  <si>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</si>
  <si>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</si>
  <si>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</si>
  <si>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</si>
  <si>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</si>
  <si>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</si>
  <si>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</si>
  <si>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</si>
  <si>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</si>
  <si>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</si>
  <si>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</si>
  <si>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</si>
  <si>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</si>
  <si>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</si>
  <si>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</si>
  <si>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</si>
  <si>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</si>
  <si>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</si>
  <si>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</si>
  <si>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</si>
  <si>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</si>
  <si>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</si>
  <si>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</si>
  <si>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</si>
  <si>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</si>
  <si>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</si>
  <si>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</si>
  <si>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</si>
  <si>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</si>
  <si>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</si>
  <si>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</si>
  <si>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</si>
  <si>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</si>
  <si>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</si>
  <si>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</si>
  <si>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</si>
  <si>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</si>
  <si>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</si>
  <si>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</si>
  <si>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</si>
  <si>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</si>
  <si>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</si>
  <si>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</si>
  <si>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</si>
  <si>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</si>
  <si>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</si>
  <si>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</si>
  <si>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</si>
  <si>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</si>
  <si>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</si>
  <si>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</si>
  <si>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</si>
  <si>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</si>
  <si>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</si>
  <si>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</si>
  <si>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</si>
  <si>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</si>
  <si>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</si>
  <si>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</si>
  <si>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</si>
  <si>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</si>
  <si>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</si>
  <si>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</si>
  <si>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</si>
  <si>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</si>
  <si>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</si>
  <si>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</si>
  <si>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</si>
  <si>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</si>
  <si>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</si>
  <si>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</si>
  <si>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</si>
  <si>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</si>
  <si>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</si>
  <si>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</si>
  <si>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</si>
  <si>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</si>
  <si>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</si>
  <si>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</si>
  <si>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</si>
  <si>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</si>
  <si>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</si>
  <si>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</si>
  <si>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</si>
  <si>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</si>
  <si>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</si>
  <si>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</si>
  <si>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</si>
  <si>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</si>
  <si>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</si>
  <si>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</si>
  <si>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</si>
  <si>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</si>
  <si>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</si>
  <si>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</si>
  <si>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</si>
  <si>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</si>
  <si>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</si>
  <si>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</si>
  <si>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</si>
  <si>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</si>
  <si>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</si>
  <si>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</si>
  <si>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</si>
  <si>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</si>
  <si>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</si>
  <si>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</si>
  <si>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</si>
  <si>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</si>
  <si>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</si>
  <si>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</si>
  <si>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</si>
  <si>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</si>
  <si>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</si>
  <si>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</si>
  <si>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</si>
  <si>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</si>
  <si>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</si>
  <si>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</si>
  <si>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</si>
  <si>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</si>
  <si>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</si>
  <si>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</si>
  <si>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</si>
  <si>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</si>
  <si>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</si>
  <si>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</si>
  <si>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</si>
  <si>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</si>
  <si>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</si>
  <si>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</si>
  <si>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</si>
  <si>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</si>
  <si>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</si>
  <si>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</si>
  <si>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</si>
  <si>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</si>
  <si>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</si>
  <si>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</si>
  <si>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</si>
  <si>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</si>
  <si>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</si>
  <si>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</si>
  <si>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</si>
  <si>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</si>
  <si>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</si>
  <si>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</si>
  <si>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</si>
  <si>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</si>
  <si>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</si>
  <si>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</si>
  <si>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</si>
  <si>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</si>
  <si>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</si>
  <si>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</si>
  <si>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</si>
  <si>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</si>
  <si>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</si>
  <si>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</si>
  <si>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</si>
  <si>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</si>
  <si>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</si>
  <si>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</si>
  <si>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</si>
  <si>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</si>
  <si>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</si>
  <si>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</si>
  <si>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</si>
  <si>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</si>
  <si>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</si>
  <si>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</si>
  <si>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</si>
  <si>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</si>
  <si>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</si>
  <si>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</si>
  <si>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</si>
  <si>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</si>
  <si>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</si>
  <si>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</si>
  <si>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</si>
  <si>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</si>
  <si>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</si>
  <si>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</si>
  <si>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</si>
  <si>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</si>
  <si>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</si>
  <si>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</si>
  <si>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</si>
  <si>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</si>
  <si>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</si>
  <si>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</si>
  <si>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</si>
  <si>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</si>
  <si>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</si>
  <si>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</si>
  <si>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</si>
  <si>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</si>
  <si>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</si>
  <si>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</si>
  <si>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</si>
  <si>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</si>
  <si>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</si>
  <si>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</si>
  <si>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</si>
  <si>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</si>
  <si>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</si>
  <si>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</si>
  <si>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</si>
  <si>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</si>
  <si>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</si>
  <si>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</si>
  <si>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</si>
  <si>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</si>
  <si>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</si>
  <si>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</si>
  <si>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</si>
  <si>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</si>
  <si>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</si>
  <si>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</si>
  <si>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</si>
  <si>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</si>
  <si>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</si>
  <si>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</si>
  <si>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</si>
  <si>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</si>
  <si>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</si>
  <si>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</si>
  <si>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</si>
  <si>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</si>
  <si>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</si>
  <si>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</si>
  <si>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</si>
  <si>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</si>
  <si>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</si>
  <si>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</si>
  <si>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</si>
  <si>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</si>
  <si>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</si>
  <si>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</si>
  <si>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</si>
  <si>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</si>
  <si>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</si>
  <si>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</si>
  <si>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</si>
  <si>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</si>
  <si>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</si>
  <si>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</si>
  <si>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</si>
  <si>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</si>
  <si>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</si>
  <si>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</si>
  <si>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</si>
  <si>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</si>
  <si>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</si>
  <si>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</si>
  <si>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</si>
  <si>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</si>
  <si>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</si>
  <si>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</si>
  <si>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</si>
  <si>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</si>
  <si>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</si>
  <si>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</si>
  <si>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</si>
  <si>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</si>
  <si>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</si>
  <si>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</si>
  <si>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</si>
  <si>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</si>
  <si>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</si>
  <si>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</si>
  <si>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</si>
  <si>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</si>
  <si>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</si>
  <si>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</si>
  <si>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</si>
  <si>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</si>
  <si>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</si>
  <si>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</si>
  <si>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</si>
  <si>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</si>
  <si>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</si>
  <si>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</si>
  <si>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</si>
  <si>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</si>
  <si>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</si>
  <si>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</si>
  <si>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</si>
  <si>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</si>
  <si>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</si>
  <si>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</si>
  <si>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</si>
  <si>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</si>
  <si>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</si>
  <si>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</si>
  <si>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</si>
  <si>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</si>
  <si>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</si>
  <si>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</si>
  <si>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</si>
  <si>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</si>
  <si>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</si>
  <si>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</si>
  <si>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</si>
  <si>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</si>
  <si>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</si>
  <si>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</si>
  <si>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</si>
  <si>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</si>
  <si>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</si>
  <si>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</si>
  <si>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</si>
  <si>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</si>
  <si>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</si>
  <si>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</si>
  <si>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</si>
  <si>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</si>
  <si>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</si>
  <si>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</si>
  <si>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</si>
  <si>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</si>
  <si>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</si>
  <si>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</si>
  <si>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</si>
  <si>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</si>
  <si>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</si>
  <si>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</si>
  <si>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</si>
  <si>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</si>
  <si>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</si>
  <si>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</si>
  <si>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</si>
  <si>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</si>
  <si>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</si>
  <si>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</si>
  <si>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</si>
  <si>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</si>
  <si>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</si>
  <si>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</si>
  <si>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</si>
  <si>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</si>
  <si>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</si>
  <si>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</si>
  <si>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</si>
  <si>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</si>
  <si>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</si>
  <si>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</si>
  <si>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</si>
  <si>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</si>
  <si>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</si>
  <si>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</si>
  <si>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</si>
  <si>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</si>
  <si>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</si>
  <si>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</si>
  <si>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</si>
  <si>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</si>
  <si>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</si>
  <si>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</si>
  <si>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</si>
  <si>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</si>
  <si>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</si>
  <si>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</si>
  <si>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</si>
  <si>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</si>
  <si>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</si>
  <si>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</si>
  <si>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</si>
  <si>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</si>
  <si>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</si>
  <si>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</si>
  <si>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</si>
  <si>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</si>
  <si>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</si>
  <si>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</si>
  <si>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</si>
  <si>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</si>
  <si>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</si>
  <si>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</si>
  <si>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</si>
  <si>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</si>
  <si>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</si>
  <si>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</si>
  <si>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</si>
  <si>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</si>
  <si>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</si>
  <si>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</si>
  <si>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</si>
  <si>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</si>
  <si>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</si>
  <si>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</si>
  <si>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</si>
  <si>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</si>
  <si>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</si>
  <si>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</si>
  <si>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</si>
  <si>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</si>
  <si>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</si>
  <si>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</si>
  <si>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</si>
  <si>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</si>
  <si>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</si>
  <si>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</si>
  <si>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</si>
  <si>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</si>
  <si>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</si>
  <si>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</si>
  <si>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</si>
  <si>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</si>
  <si>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</si>
  <si>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</si>
  <si>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</si>
  <si>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</si>
  <si>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</si>
  <si>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</si>
  <si>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</si>
  <si>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</si>
  <si>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</si>
  <si>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</si>
  <si>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</si>
  <si>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</si>
  <si>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</si>
  <si>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</si>
  <si>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</si>
  <si>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</si>
  <si>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</si>
  <si>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</si>
  <si>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</si>
  <si>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</si>
  <si>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</si>
  <si>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</si>
  <si>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</si>
  <si>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</si>
  <si>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</si>
  <si>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</si>
  <si>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</si>
  <si>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</si>
  <si>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</si>
  <si>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</si>
  <si>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</si>
  <si>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</si>
  <si>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</si>
  <si>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</si>
  <si>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</si>
  <si>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</si>
  <si>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</si>
  <si>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</si>
  <si>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</si>
  <si>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</si>
  <si>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</si>
  <si>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</si>
  <si>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</si>
  <si>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</si>
  <si>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</si>
  <si>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</si>
  <si>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</si>
  <si>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</si>
  <si>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</si>
  <si>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</si>
  <si>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</si>
  <si>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</si>
  <si>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</si>
  <si>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</si>
  <si>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</si>
  <si>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</si>
  <si>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</si>
  <si>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</si>
  <si>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</si>
  <si>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</si>
  <si>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</si>
  <si>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</si>
  <si>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</si>
  <si>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</si>
  <si>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</si>
  <si>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</si>
  <si>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</si>
  <si>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</si>
  <si>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</si>
  <si>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</si>
  <si>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</si>
  <si>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</si>
  <si>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</si>
  <si>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</si>
  <si>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</si>
  <si>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</si>
  <si>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</si>
  <si>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</si>
  <si>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</si>
  <si>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</si>
  <si>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</si>
  <si>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</si>
  <si>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</si>
  <si>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</si>
  <si>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</si>
  <si>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</si>
  <si>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</si>
  <si>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</si>
  <si>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</si>
  <si>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</si>
  <si>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</si>
  <si>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</si>
  <si>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</si>
  <si>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</si>
  <si>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</si>
  <si>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</si>
  <si>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</si>
  <si>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</si>
  <si>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</si>
  <si>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</si>
  <si>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</si>
  <si>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</si>
  <si>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</si>
  <si>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</si>
  <si>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</si>
  <si>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</si>
  <si>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</si>
  <si>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</si>
  <si>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</si>
  <si>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</si>
  <si>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</si>
  <si>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</si>
  <si>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</si>
  <si>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</si>
  <si>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</si>
  <si>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</si>
  <si>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</si>
  <si>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</si>
  <si>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</si>
  <si>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</si>
  <si>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</si>
  <si>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</si>
  <si>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</si>
  <si>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</si>
  <si>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</si>
  <si>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</si>
  <si>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</si>
  <si>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</si>
  <si>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</si>
  <si>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</si>
  <si>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</si>
  <si>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</si>
  <si>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</si>
  <si>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</si>
  <si>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</si>
  <si>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</si>
  <si>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</si>
  <si>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</si>
  <si>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</si>
  <si>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</si>
  <si>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</si>
  <si>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</si>
  <si>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</si>
  <si>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</si>
  <si>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</si>
  <si>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</si>
  <si>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</si>
  <si>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</si>
  <si>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</si>
  <si>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</si>
  <si>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</si>
  <si>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</si>
  <si>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</si>
  <si>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</si>
  <si>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</si>
  <si>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</si>
  <si>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</si>
  <si>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</si>
  <si>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</si>
  <si>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</si>
  <si>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</si>
  <si>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</si>
  <si>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</si>
  <si>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</si>
  <si>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</si>
  <si>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</si>
  <si>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</si>
  <si>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</si>
  <si>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</si>
  <si>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</si>
  <si>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</si>
  <si>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</si>
  <si>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</si>
  <si>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</si>
  <si>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</si>
  <si>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</si>
  <si>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</si>
  <si>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</si>
  <si>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</si>
  <si>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</si>
  <si>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</si>
  <si>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</si>
  <si>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</si>
  <si>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</si>
  <si>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</si>
  <si>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</si>
  <si>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</si>
  <si>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</si>
  <si>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</si>
  <si>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</si>
  <si>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</si>
  <si>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</si>
  <si>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</si>
  <si>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</si>
  <si>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</si>
  <si>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</si>
  <si>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</si>
  <si>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</si>
  <si>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</si>
  <si>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</si>
  <si>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</si>
  <si>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</si>
  <si>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</si>
  <si>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</si>
  <si>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</si>
  <si>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</si>
  <si>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</si>
  <si>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</si>
  <si>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</si>
  <si>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</si>
  <si>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</si>
  <si>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</si>
  <si>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</si>
  <si>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</si>
  <si>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</si>
  <si>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</si>
  <si>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</si>
  <si>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</si>
  <si>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</si>
  <si>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</si>
  <si>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</si>
  <si>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</si>
  <si>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</si>
  <si>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</si>
  <si>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</si>
  <si>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</si>
  <si>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</si>
  <si>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</si>
  <si>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</si>
  <si>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</si>
  <si>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</si>
  <si>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</si>
  <si>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</si>
  <si>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</si>
  <si>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</si>
  <si>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</si>
  <si>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</si>
  <si>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</si>
  <si>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</si>
  <si>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</si>
  <si>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</si>
  <si>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</si>
  <si>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</si>
  <si>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</si>
  <si>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</si>
  <si>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</si>
  <si>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</si>
  <si>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</si>
  <si>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</si>
  <si>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</si>
  <si>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</si>
  <si>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</si>
  <si>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</si>
  <si>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</si>
  <si>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</si>
  <si>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</si>
  <si>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</si>
  <si>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</si>
  <si>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</si>
  <si>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</si>
  <si>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</si>
  <si>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</si>
  <si>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</si>
  <si>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</si>
  <si>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</si>
  <si>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</si>
  <si>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</si>
  <si>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</si>
  <si>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</si>
  <si>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</si>
  <si>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</si>
  <si>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</si>
  <si>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</si>
  <si>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</si>
  <si>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</si>
  <si>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</si>
  <si>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</si>
  <si>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</si>
  <si>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</si>
  <si>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</si>
  <si>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</si>
  <si>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</si>
  <si>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</si>
  <si>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</si>
  <si>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</si>
  <si>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</si>
  <si>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</si>
  <si>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</si>
  <si>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</si>
  <si>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</si>
  <si>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</si>
  <si>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</si>
  <si>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</si>
  <si>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</si>
  <si>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</si>
  <si>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</si>
  <si>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</si>
  <si>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</si>
  <si>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</si>
  <si>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</si>
  <si>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</si>
  <si>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</si>
  <si>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</si>
  <si>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</si>
  <si>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</si>
  <si>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</si>
  <si>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</si>
  <si>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</si>
  <si>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</si>
  <si>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</si>
  <si>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</si>
  <si>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</si>
  <si>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</si>
  <si>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</si>
  <si>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</si>
  <si>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</si>
  <si>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</si>
  <si>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</si>
  <si>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</si>
  <si>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</si>
  <si>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</si>
  <si>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</si>
  <si>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</si>
  <si>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</si>
  <si>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</si>
  <si>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</si>
  <si>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</si>
  <si>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</si>
  <si>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</si>
  <si>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</si>
  <si>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</si>
  <si>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</si>
  <si>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</si>
  <si>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</si>
  <si>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</si>
  <si>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</si>
  <si>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</si>
  <si>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</si>
  <si>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</si>
  <si>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</si>
  <si>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</si>
  <si>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</si>
  <si>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</si>
  <si>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</si>
  <si>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</si>
  <si>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</si>
  <si>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</si>
  <si>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</si>
  <si>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</si>
  <si>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</si>
  <si>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</si>
  <si>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</si>
  <si>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</si>
  <si>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</si>
  <si>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</si>
  <si>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</si>
  <si>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</si>
  <si>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</si>
  <si>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</si>
  <si>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</si>
  <si>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</si>
  <si>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</si>
  <si>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</si>
  <si>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</si>
  <si>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</si>
  <si>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</si>
  <si>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</si>
  <si>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</si>
  <si>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</si>
  <si>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</si>
  <si>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</si>
  <si>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</si>
  <si>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</si>
  <si>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</si>
  <si>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</si>
  <si>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</si>
  <si>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</si>
  <si>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</si>
  <si>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</si>
  <si>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</si>
  <si>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</si>
  <si>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</si>
  <si>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</si>
  <si>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</si>
  <si>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</si>
  <si>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</si>
  <si>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</si>
  <si>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</si>
  <si>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</si>
  <si>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</si>
  <si>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</si>
  <si>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</si>
  <si>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</si>
  <si>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</si>
  <si>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</si>
  <si>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</si>
  <si>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</si>
  <si>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</si>
  <si>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</si>
  <si>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</si>
  <si>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</si>
  <si>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</si>
  <si>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</si>
  <si>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</si>
  <si>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</si>
  <si>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</si>
  <si>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</si>
  <si>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</si>
  <si>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</si>
  <si>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</si>
  <si>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</si>
  <si>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</si>
  <si>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</si>
  <si>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</si>
  <si>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</si>
  <si>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</si>
  <si>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</si>
  <si>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</si>
  <si>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</si>
  <si>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</si>
  <si>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</si>
  <si>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</si>
  <si>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</si>
  <si>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</si>
  <si>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</si>
  <si>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</si>
  <si>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</si>
  <si>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</si>
  <si>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</si>
  <si>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</si>
  <si>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</si>
  <si>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</si>
  <si>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</si>
  <si>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</si>
  <si>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</si>
  <si>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</si>
  <si>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</si>
  <si>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</si>
  <si>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</si>
  <si>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</si>
  <si>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</si>
  <si>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</si>
  <si>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</si>
  <si>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</si>
  <si>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</si>
  <si>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</si>
  <si>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</si>
  <si>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</si>
  <si>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</si>
  <si>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</si>
  <si>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</si>
  <si>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</si>
  <si>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</si>
  <si>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</si>
  <si>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</si>
  <si>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</si>
  <si>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</si>
  <si>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</si>
  <si>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</si>
  <si>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</si>
  <si>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</si>
  <si>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</si>
  <si>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</si>
  <si>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</si>
  <si>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</si>
  <si>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</si>
  <si>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</si>
  <si>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</si>
  <si>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</si>
  <si>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</si>
  <si>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</si>
  <si>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</si>
  <si>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</si>
  <si>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</si>
  <si>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</si>
  <si>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</si>
  <si>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</si>
  <si>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</si>
  <si>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</si>
  <si>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</si>
  <si>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</si>
  <si>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</si>
  <si>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</si>
  <si>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</si>
  <si>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</si>
  <si>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</si>
  <si>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</si>
  <si>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</si>
  <si>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</si>
  <si>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</si>
  <si>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</si>
  <si>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</si>
  <si>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</si>
  <si>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</si>
  <si>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</si>
  <si>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</si>
  <si>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</si>
  <si>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</si>
  <si>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</si>
  <si>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</si>
  <si>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</si>
  <si>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</si>
  <si>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</si>
  <si>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</si>
  <si>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</si>
  <si>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</si>
  <si>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</si>
  <si>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</si>
  <si>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</si>
  <si>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</si>
  <si>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</si>
  <si>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</si>
  <si>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</si>
  <si>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</si>
  <si>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</si>
  <si>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</si>
  <si>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</si>
  <si>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</si>
  <si>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</si>
  <si>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</si>
  <si>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</si>
  <si>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</si>
  <si>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</si>
  <si>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</si>
  <si>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</si>
  <si>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</si>
  <si>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</si>
  <si>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</si>
  <si>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</si>
  <si>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</si>
  <si>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</si>
  <si>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</si>
  <si>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</si>
  <si>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</si>
  <si>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</si>
  <si>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</si>
  <si>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</si>
  <si>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</si>
  <si>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</si>
  <si>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</si>
  <si>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</si>
  <si>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</si>
  <si>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</si>
  <si>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</si>
  <si>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</si>
  <si>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</si>
  <si>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</si>
  <si>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</si>
  <si>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</si>
  <si>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</si>
  <si>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</si>
  <si>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</si>
  <si>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</si>
  <si>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</si>
  <si>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</si>
  <si>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</si>
  <si>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</si>
  <si>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</si>
  <si>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</si>
  <si>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</si>
  <si>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</si>
  <si>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</si>
  <si>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</si>
  <si>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</si>
  <si>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</si>
  <si>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</si>
  <si>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</si>
  <si>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</si>
  <si>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</si>
  <si>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</si>
  <si>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</si>
  <si>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</si>
  <si>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</si>
  <si>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</si>
  <si>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</si>
  <si>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</si>
  <si>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</si>
  <si>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</si>
  <si>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</si>
  <si>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</si>
  <si>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</si>
  <si>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</si>
  <si>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</si>
  <si>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</si>
  <si>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</si>
  <si>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</si>
  <si>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</si>
  <si>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</si>
  <si>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</si>
  <si>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</si>
  <si>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</si>
  <si>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</si>
  <si>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</si>
  <si>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</si>
  <si>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</si>
  <si>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</si>
  <si>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</si>
  <si>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</si>
  <si>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</si>
  <si>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</si>
  <si>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</si>
  <si>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</si>
  <si>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</si>
  <si>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</si>
  <si>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</si>
  <si>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</si>
  <si>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</si>
  <si>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</si>
  <si>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</si>
  <si>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</si>
  <si>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</si>
  <si>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</si>
  <si>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</si>
  <si>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</si>
  <si>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</si>
  <si>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</si>
  <si>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</si>
  <si>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</si>
  <si>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</si>
  <si>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</si>
  <si>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</si>
  <si>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</si>
  <si>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</si>
  <si>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</si>
  <si>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</si>
  <si>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</si>
  <si>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</si>
  <si>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</si>
  <si>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</si>
  <si>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</si>
  <si>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</si>
  <si>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</si>
  <si>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</si>
  <si>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</si>
  <si>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</si>
  <si>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</si>
  <si>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</si>
  <si>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</si>
  <si>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</si>
  <si>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</si>
  <si>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</si>
  <si>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</si>
  <si>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</si>
  <si>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</si>
  <si>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</si>
  <si>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</si>
  <si>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</si>
  <si>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</si>
  <si>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</si>
  <si>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</si>
  <si>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</si>
  <si>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</si>
  <si>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</si>
  <si>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</si>
  <si>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</si>
  <si>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</si>
  <si>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</si>
  <si>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</si>
  <si>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</si>
  <si>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</si>
  <si>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</si>
  <si>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</si>
  <si>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</si>
  <si>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</si>
  <si>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</si>
  <si>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</si>
  <si>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</si>
  <si>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</si>
  <si>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</si>
  <si>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</si>
  <si>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</si>
  <si>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</si>
  <si>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</si>
  <si>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</si>
  <si>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</si>
  <si>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</si>
  <si>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</si>
  <si>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</si>
  <si>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</si>
  <si>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</si>
  <si>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</si>
  <si>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</si>
  <si>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</si>
  <si>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</si>
  <si>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</si>
  <si>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</si>
  <si>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</si>
  <si>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</si>
  <si>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</si>
  <si>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</si>
  <si>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</si>
  <si>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</si>
  <si>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</si>
  <si>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</si>
  <si>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</si>
  <si>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</si>
  <si>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</si>
  <si>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</si>
  <si>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</si>
  <si>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</si>
  <si>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</si>
  <si>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</si>
  <si>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</si>
  <si>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</si>
  <si>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</si>
  <si>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</si>
  <si>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</si>
  <si>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</si>
  <si>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</si>
  <si>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</si>
  <si>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</si>
  <si>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</si>
  <si>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</si>
  <si>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</si>
  <si>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</si>
  <si>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</si>
  <si>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</si>
  <si>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</si>
  <si>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</si>
  <si>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</si>
  <si>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</si>
  <si>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</si>
  <si>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</si>
  <si>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</si>
  <si>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</si>
  <si>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</si>
  <si>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</si>
  <si>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</si>
  <si>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</si>
  <si>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</si>
  <si>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</si>
  <si>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</si>
  <si>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</si>
  <si>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</si>
  <si>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</si>
  <si>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</si>
  <si>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</si>
  <si>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</si>
  <si>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</si>
  <si>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</si>
  <si>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</si>
  <si>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</si>
  <si>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</si>
  <si>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</si>
  <si>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</si>
  <si>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</si>
  <si>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</si>
  <si>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</si>
  <si>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</si>
  <si>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</si>
  <si>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</si>
  <si>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</si>
  <si>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</si>
  <si>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</si>
  <si>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</si>
  <si>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</si>
  <si>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</si>
  <si>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</si>
  <si>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</si>
  <si>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</si>
  <si>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</si>
  <si>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</si>
  <si>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</si>
  <si>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</si>
  <si>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</si>
  <si>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</si>
  <si>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</si>
  <si>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</si>
  <si>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</si>
  <si>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</si>
  <si>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</si>
  <si>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</si>
  <si>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</si>
  <si>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</si>
  <si>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</si>
  <si>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</si>
  <si>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</si>
  <si>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</si>
  <si>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</si>
  <si>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</si>
  <si>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</si>
  <si>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</si>
  <si>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</si>
  <si>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</si>
  <si>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</si>
  <si>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</si>
  <si>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</si>
  <si>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</si>
  <si>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</si>
  <si>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</si>
  <si>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</si>
  <si>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</si>
  <si>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</si>
  <si>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</si>
  <si>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</si>
  <si>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</si>
  <si>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</si>
  <si>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</si>
  <si>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</si>
  <si>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</si>
  <si>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</si>
  <si>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</si>
  <si>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</si>
  <si>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</si>
  <si>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</si>
  <si>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</si>
  <si>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</si>
  <si>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</si>
  <si>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</si>
  <si>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</si>
  <si>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</si>
  <si>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</si>
  <si>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</si>
  <si>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</si>
  <si>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</si>
  <si>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</si>
  <si>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</si>
  <si>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</si>
  <si>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</si>
  <si>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</si>
  <si>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</si>
  <si>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</si>
  <si>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</si>
  <si>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</si>
  <si>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</si>
  <si>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</si>
  <si>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</si>
  <si>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</si>
  <si>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</si>
  <si>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</si>
  <si>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</si>
  <si>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</si>
  <si>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</si>
  <si>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</si>
  <si>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</si>
  <si>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</si>
  <si>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</si>
  <si>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</si>
  <si>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</si>
  <si>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</si>
  <si>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</si>
  <si>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</si>
  <si>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</si>
  <si>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</si>
  <si>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</si>
  <si>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</si>
  <si>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</si>
  <si>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</si>
  <si>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</si>
  <si>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</si>
  <si>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</si>
  <si>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</si>
  <si>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</si>
  <si>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</si>
  <si>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</si>
  <si>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</si>
  <si>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</si>
  <si>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</si>
  <si>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</si>
  <si>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</si>
  <si>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</si>
  <si>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</si>
  <si>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</si>
  <si>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</si>
  <si>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</si>
  <si>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</si>
  <si>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</si>
  <si>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</si>
  <si>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</si>
  <si>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</si>
  <si>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</si>
  <si>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</si>
  <si>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</si>
  <si>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</si>
  <si>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</si>
  <si>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</si>
  <si>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</si>
  <si>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</si>
  <si>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</si>
  <si>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</si>
  <si>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</si>
  <si>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</si>
  <si>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</si>
  <si>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</si>
  <si>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</si>
  <si>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</si>
  <si>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</si>
  <si>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</si>
  <si>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</si>
  <si>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</si>
  <si>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</si>
  <si>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</si>
  <si>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</si>
  <si>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</si>
  <si>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</si>
  <si>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</si>
  <si>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</si>
  <si>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</si>
  <si>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</si>
  <si>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</si>
  <si>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</si>
  <si>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</si>
  <si>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</si>
  <si>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</si>
  <si>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</si>
  <si>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</si>
  <si>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</si>
  <si>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</si>
  <si>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</si>
  <si>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</si>
  <si>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</si>
  <si>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</si>
  <si>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</si>
  <si>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</si>
  <si>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</si>
  <si>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</si>
  <si>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</si>
  <si>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</si>
  <si>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</si>
  <si>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</si>
  <si>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</si>
  <si>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</si>
  <si>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</si>
  <si>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</si>
  <si>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</si>
  <si>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</si>
  <si>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</si>
  <si>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</si>
  <si>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</si>
  <si>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</si>
  <si>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</si>
  <si>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</si>
  <si>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</si>
  <si>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</si>
  <si>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</si>
  <si>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</si>
  <si>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</si>
  <si>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</si>
  <si>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</si>
  <si>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</si>
  <si>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</si>
  <si>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</si>
  <si>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</si>
  <si>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</si>
  <si>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</si>
  <si>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</si>
  <si>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</si>
  <si>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</si>
  <si>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</si>
  <si>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</si>
  <si>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</si>
  <si>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</si>
  <si>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</si>
  <si>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</si>
  <si>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</si>
  <si>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</si>
  <si>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</si>
  <si>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</si>
  <si>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</si>
  <si>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</si>
  <si>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</si>
  <si>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</si>
  <si>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</si>
  <si>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</si>
  <si>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</si>
  <si>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</si>
  <si>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</si>
  <si>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</si>
  <si>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</si>
  <si>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</si>
  <si>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</si>
  <si>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</si>
  <si>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</si>
  <si>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</si>
  <si>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</si>
  <si>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</si>
  <si>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</si>
  <si>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</si>
  <si>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</si>
  <si>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</si>
  <si>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</si>
  <si>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</si>
  <si>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</si>
  <si>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</si>
  <si>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</si>
  <si>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</si>
  <si>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</si>
  <si>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</si>
  <si>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</si>
  <si>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</si>
  <si>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</si>
  <si>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</si>
  <si>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</si>
  <si>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</si>
  <si>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</si>
  <si>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</si>
  <si>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</si>
  <si>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</si>
  <si>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</si>
  <si>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</si>
  <si>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</si>
  <si>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</si>
  <si>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</si>
  <si>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</si>
  <si>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</si>
  <si>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</si>
  <si>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</si>
  <si>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</si>
  <si>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</si>
  <si>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</si>
  <si>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</si>
  <si>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</si>
  <si>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</si>
  <si>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</si>
  <si>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</si>
  <si>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</si>
  <si>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</si>
  <si>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</si>
  <si>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</si>
  <si>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</si>
  <si>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</si>
  <si>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</si>
  <si>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</si>
  <si>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</si>
  <si>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</si>
  <si>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</si>
  <si>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</si>
  <si>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</si>
  <si>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</si>
  <si>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</si>
  <si>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</si>
  <si>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</si>
  <si>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</si>
  <si>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</si>
  <si>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</si>
  <si>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</si>
  <si>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</si>
  <si>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</si>
  <si>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</si>
  <si>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</si>
  <si>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</si>
  <si>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</si>
  <si>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</si>
  <si>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</si>
  <si>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</si>
  <si>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</si>
  <si>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</si>
  <si>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</si>
  <si>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</si>
  <si>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</si>
  <si>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</si>
  <si>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</si>
  <si>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</si>
  <si>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</si>
  <si>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</si>
  <si>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</si>
  <si>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</si>
  <si>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</si>
  <si>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</si>
  <si>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</si>
  <si>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</si>
  <si>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</si>
  <si>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</si>
  <si>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</si>
  <si>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</si>
  <si>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</si>
  <si>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</si>
  <si>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</si>
  <si>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</si>
  <si>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</si>
  <si>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</si>
  <si>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</si>
  <si>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</si>
  <si>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</si>
  <si>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</si>
  <si>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</si>
  <si>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</si>
  <si>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</si>
  <si>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</si>
  <si>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</si>
  <si>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</si>
  <si>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</si>
  <si>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</si>
  <si>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</si>
  <si>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</si>
  <si>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</si>
  <si>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</si>
  <si>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</si>
  <si>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</si>
  <si>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</si>
  <si>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</si>
  <si>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</si>
  <si>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</si>
  <si>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</si>
  <si>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</si>
  <si>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</si>
  <si>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</si>
  <si>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</si>
  <si>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</si>
  <si>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</si>
  <si>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</si>
  <si>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</si>
  <si>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</si>
  <si>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</si>
  <si>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</si>
  <si>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</si>
  <si>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</si>
  <si>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</si>
  <si>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</si>
  <si>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</si>
  <si>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</si>
  <si>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</si>
  <si>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</si>
  <si>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</si>
  <si>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</si>
  <si>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</si>
  <si>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</si>
  <si>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</si>
  <si>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</si>
  <si>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</si>
  <si>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</si>
  <si>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</si>
  <si>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</si>
  <si>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</si>
  <si>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</si>
  <si>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</si>
  <si>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</si>
  <si>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</si>
  <si>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</si>
  <si>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</si>
  <si>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</si>
  <si>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</si>
  <si>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</si>
  <si>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</si>
  <si>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</si>
  <si>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</si>
  <si>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</si>
  <si>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</si>
  <si>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</si>
  <si>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</si>
  <si>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</si>
  <si>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</si>
  <si>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</si>
  <si>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</si>
  <si>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</si>
  <si>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</si>
  <si>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</si>
  <si>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</si>
  <si>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</si>
  <si>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</si>
  <si>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</si>
  <si>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</si>
  <si>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</si>
  <si>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</si>
  <si>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</si>
  <si>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</si>
  <si>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</si>
  <si>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</si>
  <si>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</si>
  <si>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</si>
  <si>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</si>
  <si>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</si>
  <si>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</si>
  <si>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</si>
  <si>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</si>
  <si>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</si>
  <si>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</si>
  <si>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</si>
  <si>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</si>
  <si>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</si>
  <si>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</si>
  <si>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</si>
  <si>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</si>
  <si>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</si>
  <si>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</si>
  <si>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</si>
  <si>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</si>
  <si>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</si>
  <si>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</si>
  <si>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</si>
  <si>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</si>
  <si>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</si>
  <si>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</si>
  <si>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</si>
  <si>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</si>
  <si>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</si>
  <si>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</si>
  <si>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</si>
  <si>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</si>
  <si>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</si>
  <si>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</si>
  <si>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</si>
  <si>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</si>
  <si>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</si>
  <si>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</si>
  <si>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</si>
  <si>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</si>
  <si>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</si>
  <si>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</si>
  <si>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</si>
  <si>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</si>
  <si>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</si>
  <si>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</si>
  <si>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</si>
  <si>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</si>
  <si>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</si>
  <si>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</si>
  <si>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</si>
  <si>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</si>
  <si>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</si>
  <si>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</si>
  <si>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</si>
  <si>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</si>
  <si>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</si>
  <si>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</si>
  <si>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</si>
  <si>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</si>
  <si>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</si>
  <si>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</si>
  <si>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</si>
  <si>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</si>
  <si>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</si>
  <si>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</si>
  <si>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</si>
  <si>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</si>
  <si>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</si>
  <si>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</si>
  <si>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</si>
  <si>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</si>
  <si>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</si>
  <si>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</si>
  <si>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</si>
  <si>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</si>
  <si>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</si>
  <si>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</si>
  <si>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</si>
  <si>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</si>
  <si>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</si>
  <si>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</si>
  <si>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</si>
  <si>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</si>
  <si>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</si>
  <si>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</si>
  <si>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</si>
  <si>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</si>
  <si>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</si>
  <si>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</si>
  <si>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</si>
  <si>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</si>
  <si>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</si>
  <si>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</si>
  <si>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</si>
  <si>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</si>
  <si>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</si>
  <si>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</si>
  <si>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</si>
  <si>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</si>
  <si>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</si>
  <si>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</si>
  <si>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</si>
  <si>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</si>
  <si>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</si>
  <si>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</si>
  <si>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</si>
  <si>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</si>
  <si>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</si>
  <si>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</si>
  <si>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</si>
  <si>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</si>
  <si>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</si>
  <si>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</si>
  <si>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</si>
  <si>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</si>
  <si>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</si>
  <si>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</si>
  <si>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</si>
  <si>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</si>
  <si>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</si>
  <si>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</si>
  <si>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</si>
  <si>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</si>
  <si>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</si>
  <si>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</si>
  <si>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</si>
  <si>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</si>
  <si>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</si>
  <si>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</si>
  <si>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</si>
  <si>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</si>
  <si>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</si>
  <si>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</si>
  <si>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</si>
  <si>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</si>
  <si>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</si>
  <si>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</si>
  <si>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</si>
  <si>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</si>
  <si>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</si>
  <si>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</si>
  <si>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</si>
  <si>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</si>
  <si>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</si>
  <si>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</si>
  <si>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</si>
  <si>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</si>
  <si>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</si>
  <si>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</si>
  <si>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</si>
  <si>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</si>
  <si>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</si>
  <si>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</si>
  <si>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</si>
  <si>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</si>
  <si>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</si>
  <si>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</si>
  <si>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</si>
  <si>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</si>
  <si>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</si>
  <si>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</si>
  <si>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</si>
  <si>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</si>
  <si>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</si>
  <si>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</si>
  <si>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</si>
  <si>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</si>
  <si>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</si>
  <si>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</si>
  <si>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</si>
  <si>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</si>
  <si>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</si>
  <si>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</si>
  <si>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</si>
  <si>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</si>
  <si>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</si>
  <si>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</si>
  <si>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</si>
  <si>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</si>
  <si>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</si>
  <si>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</si>
  <si>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</si>
  <si>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</si>
  <si>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</si>
  <si>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</si>
  <si>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</si>
  <si>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</si>
  <si>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</si>
  <si>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</si>
  <si>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</si>
  <si>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</si>
  <si>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</si>
  <si>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</si>
  <si>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</si>
  <si>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</si>
  <si>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</si>
  <si>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</si>
  <si>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</si>
  <si>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</si>
  <si>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</si>
  <si>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</si>
  <si>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</si>
  <si>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</si>
  <si>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</si>
  <si>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</si>
  <si>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</si>
  <si>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</si>
  <si>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</si>
  <si>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</si>
  <si>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</si>
  <si>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</si>
  <si>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</si>
  <si>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</si>
  <si>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</si>
  <si>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</si>
  <si>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</si>
  <si>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</si>
  <si>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</si>
  <si>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</si>
  <si>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</si>
  <si>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</si>
  <si>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</si>
  <si>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</si>
  <si>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</si>
  <si>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</si>
  <si>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</si>
  <si>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</si>
  <si>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</si>
  <si>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</si>
  <si>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</si>
  <si>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</si>
  <si>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</si>
  <si>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</si>
  <si>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</si>
  <si>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</si>
  <si>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</si>
  <si>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</si>
  <si>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</si>
  <si>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</si>
  <si>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</si>
  <si>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</si>
  <si>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</si>
  <si>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</si>
  <si>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</si>
  <si>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</si>
  <si>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</si>
  <si>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</si>
  <si>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</si>
  <si>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</si>
  <si>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</si>
  <si>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</si>
  <si>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</si>
  <si>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</si>
  <si>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</si>
  <si>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</si>
  <si>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</si>
  <si>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</si>
  <si>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</si>
  <si>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</si>
  <si>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</si>
  <si>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</si>
  <si>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</si>
  <si>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</si>
  <si>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</si>
  <si>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</si>
  <si>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</si>
  <si>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</si>
  <si>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</si>
  <si>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</si>
  <si>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</si>
  <si>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</si>
  <si>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</si>
  <si>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</si>
  <si>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</si>
  <si>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</si>
  <si>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</si>
  <si>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</si>
  <si>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</si>
  <si>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</si>
  <si>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</si>
  <si>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</si>
  <si>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</si>
  <si>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</si>
  <si>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</si>
  <si>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</si>
  <si>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</si>
  <si>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</si>
  <si>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</si>
  <si>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</si>
  <si>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</si>
  <si>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</si>
  <si>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</si>
  <si>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</si>
  <si>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</si>
  <si>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</si>
  <si>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</si>
  <si>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</si>
  <si>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</si>
  <si>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</si>
  <si>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</si>
  <si>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</si>
  <si>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</si>
  <si>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</si>
  <si>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</si>
  <si>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</si>
  <si>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</si>
  <si>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</si>
  <si>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</si>
  <si>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</si>
  <si>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</si>
  <si>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</si>
  <si>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</si>
  <si>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</si>
  <si>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</si>
  <si>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</si>
  <si>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</si>
  <si>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</si>
  <si>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</si>
  <si>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</si>
  <si>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</si>
  <si>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</si>
  <si>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</si>
  <si>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</si>
  <si>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</si>
  <si>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</si>
  <si>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</si>
  <si>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</si>
  <si>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</si>
  <si>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</si>
  <si>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</si>
  <si>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</si>
  <si>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</si>
  <si>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</si>
  <si>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</si>
  <si>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</si>
  <si>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</si>
  <si>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</si>
  <si>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</si>
  <si>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</si>
  <si>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</si>
  <si>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</si>
  <si>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</si>
  <si>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</si>
  <si>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</si>
  <si>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</si>
  <si>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</si>
  <si>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</si>
  <si>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</si>
  <si>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</si>
  <si>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</si>
  <si>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</si>
  <si>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</si>
  <si>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</si>
  <si>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</si>
  <si>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</si>
  <si>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</si>
  <si>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</si>
  <si>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</si>
  <si>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</si>
  <si>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</si>
  <si>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</si>
  <si>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</si>
  <si>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</si>
  <si>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</si>
  <si>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</si>
  <si>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</si>
  <si>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</si>
  <si>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</si>
  <si>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</si>
  <si>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</si>
  <si>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</si>
  <si>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</si>
  <si>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</si>
  <si>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</si>
  <si>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</si>
  <si>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</si>
  <si>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</si>
  <si>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</si>
  <si>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</si>
  <si>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</si>
  <si>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</si>
  <si>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</si>
  <si>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</si>
  <si>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</si>
  <si>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</si>
  <si>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</si>
  <si>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</si>
  <si>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</si>
  <si>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</si>
  <si>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</si>
  <si>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</si>
  <si>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</si>
  <si>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</si>
  <si>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</si>
  <si>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</si>
  <si>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</si>
  <si>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</si>
  <si>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</si>
  <si>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</si>
  <si>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</si>
  <si>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</si>
  <si>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</si>
  <si>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</si>
  <si>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</si>
  <si>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</si>
  <si>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</si>
  <si>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</si>
  <si>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</si>
  <si>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</si>
  <si>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</si>
  <si>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</si>
  <si>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</si>
  <si>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</si>
  <si>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</si>
  <si>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</si>
  <si>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</si>
  <si>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</si>
  <si>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</si>
  <si>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</si>
  <si>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</si>
  <si>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</si>
  <si>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</si>
  <si>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</si>
  <si>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</si>
  <si>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</si>
  <si>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</si>
  <si>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</si>
  <si>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</si>
  <si>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</si>
  <si>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</si>
  <si>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</si>
  <si>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</si>
  <si>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</si>
  <si>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</si>
  <si>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</si>
  <si>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</si>
  <si>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</si>
  <si>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</si>
  <si>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</si>
  <si>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</si>
  <si>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</si>
  <si>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</si>
  <si>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</si>
  <si>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</si>
  <si>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</si>
  <si>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</si>
  <si>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</si>
  <si>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</si>
  <si>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</si>
  <si>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</si>
  <si>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</si>
  <si>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</si>
  <si>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</si>
  <si>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</si>
  <si>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</si>
  <si>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</si>
  <si>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</si>
  <si>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</si>
  <si>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</si>
  <si>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</si>
  <si>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</si>
  <si>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</si>
  <si>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</si>
  <si>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</si>
  <si>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</si>
  <si>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</si>
  <si>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</si>
  <si>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</si>
  <si>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</si>
  <si>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</si>
  <si>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</si>
  <si>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</si>
  <si>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</si>
  <si>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</si>
  <si>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</si>
  <si>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</si>
  <si>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</si>
  <si>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Emling &amp; Hoffman, PC</t>
  </si>
  <si>
    <t>Sarah Kary</t>
  </si>
  <si>
    <t xml:space="preserve">DuQuoin </t>
  </si>
  <si>
    <t>IL</t>
  </si>
  <si>
    <t>618-542-6141</t>
  </si>
  <si>
    <t xml:space="preserve">Working Cash Bonds </t>
  </si>
  <si>
    <t>O&amp;M-Operation of Plant-Supplies</t>
  </si>
  <si>
    <t>Next Era Energy Sevices</t>
  </si>
  <si>
    <t>TR-Pupil Transportation-Purchased Services</t>
  </si>
  <si>
    <t>Sherman Bus Service Inc</t>
  </si>
  <si>
    <t>Egyptian Area School Employee Ben Trust</t>
  </si>
  <si>
    <t>Tri-County Special Education Joint Agreement</t>
  </si>
  <si>
    <t>Perry</t>
  </si>
  <si>
    <t>301 West Mulberry</t>
  </si>
  <si>
    <t xml:space="preserve">Pinckneyville </t>
  </si>
  <si>
    <t>Cheryl Graff</t>
  </si>
  <si>
    <t>cgraff@roe30.org</t>
  </si>
  <si>
    <t>618-687-7290</t>
  </si>
  <si>
    <t>618-687-7296</t>
  </si>
  <si>
    <t>618-542-4747</t>
  </si>
  <si>
    <t>060-004252</t>
  </si>
  <si>
    <t>sarahkary@emlingcpa.com</t>
  </si>
  <si>
    <t>105 East Main Street</t>
  </si>
  <si>
    <t>gwagner@jrpanther.com</t>
  </si>
  <si>
    <t>618-357-9096</t>
  </si>
  <si>
    <t>Detailed property records are not presently maintained; consequently, we are unable to  express an opinion on the General Fixed Assets Account Group.</t>
  </si>
  <si>
    <t>Gregory Scott Wagner</t>
  </si>
  <si>
    <t>None</t>
  </si>
  <si>
    <t>Page 11:  Line 106:  Education Fund:    Paypal Commissions</t>
  </si>
  <si>
    <t>Page 11:  Line 107:  Education Fund:    Employee Insurance Reimbursements, Miscellaneous Revenue</t>
  </si>
  <si>
    <t>Page 11:  Line 107:  Tort Fund:  Worker's Comp Insuarance Audit Refund</t>
  </si>
  <si>
    <t>Page 13:  Line 203:  Education Fund:  Title I  - School Improvement and Accountability</t>
  </si>
  <si>
    <t>Page 16:  Line 73:  Education Fund: Title I - Social Needs expenditures</t>
  </si>
  <si>
    <t>618-357-9431</t>
  </si>
  <si>
    <t xml:space="preserve"> Pinckneyville 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</si>
</sst>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7</xdr:row>
          <xdr:rowOff>38100</xdr:rowOff>
        </xdr:from>
        <xdr:to>
          <xdr:col>1</xdr:col>
          <xdr:colOff>885825</xdr:colOff>
          <xdr:row>11</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2</xdr:row>
          <xdr:rowOff>47625</xdr:rowOff>
        </xdr:from>
        <xdr:to>
          <xdr:col>1</xdr:col>
          <xdr:colOff>2009775</xdr:colOff>
          <xdr:row>6</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7</xdr:row>
          <xdr:rowOff>95250</xdr:rowOff>
        </xdr:from>
        <xdr:to>
          <xdr:col>1</xdr:col>
          <xdr:colOff>2019300</xdr:colOff>
          <xdr:row>11</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2002</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2050</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2050</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30073050002</v>
      </c>
      <c r="B13" s="2100"/>
      <c r="C13" s="2100"/>
      <c r="D13" s="2100"/>
      <c r="E13" s="2100"/>
      <c r="F13" s="2100"/>
      <c r="G13" s="2100"/>
      <c r="H13" s="2101"/>
      <c r="I13" s="31"/>
      <c r="J13" s="30"/>
      <c r="K13" s="28"/>
      <c r="L13" s="30"/>
      <c r="M13" s="30"/>
      <c r="N13" s="30"/>
      <c r="O13" s="30"/>
      <c r="P13" s="30"/>
      <c r="Q13" s="30"/>
      <c r="R13" s="30"/>
      <c r="S13" s="30"/>
      <c r="T13" s="2105" t="s">
        <v>2051</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2063</v>
      </c>
      <c r="B15" s="2103"/>
      <c r="C15" s="2103"/>
      <c r="D15" s="2103"/>
      <c r="E15" s="2103"/>
      <c r="F15" s="2103"/>
      <c r="G15" s="2103"/>
      <c r="H15" s="2104"/>
      <c r="T15" s="2109" t="s">
        <v>2052</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2085</v>
      </c>
      <c r="B17" s="2073"/>
      <c r="C17" s="2073"/>
      <c r="D17" s="2073"/>
      <c r="E17" s="2073"/>
      <c r="F17" s="2073"/>
      <c r="G17" s="2073"/>
      <c r="H17" s="2098"/>
      <c r="T17" s="2116" t="s">
        <v>2073</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2064</v>
      </c>
      <c r="B19" s="2058"/>
      <c r="C19" s="2058"/>
      <c r="D19" s="2058"/>
      <c r="E19" s="2058"/>
      <c r="F19" s="2058"/>
      <c r="G19" s="2058"/>
      <c r="H19" s="2038"/>
      <c r="I19" s="30"/>
      <c r="J19" s="96"/>
      <c r="K19" s="40"/>
      <c r="L19" s="38"/>
      <c r="M19" s="109" t="s">
        <v>312</v>
      </c>
      <c r="P19" s="27"/>
      <c r="Q19" s="27"/>
      <c r="R19" s="27"/>
      <c r="S19" s="31"/>
      <c r="T19" s="2102" t="s">
        <v>2053</v>
      </c>
      <c r="U19" s="2037"/>
      <c r="V19" s="2037"/>
      <c r="W19" s="2038"/>
      <c r="X19" s="2114" t="s">
        <v>2054</v>
      </c>
      <c r="Y19" s="2115"/>
      <c r="Z19" s="2112">
        <v>62832</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2065</v>
      </c>
      <c r="B21" s="2037"/>
      <c r="C21" s="2037"/>
      <c r="D21" s="2037"/>
      <c r="E21" s="2037"/>
      <c r="F21" s="2037"/>
      <c r="G21" s="2037"/>
      <c r="H21" s="2038"/>
      <c r="I21" s="2092" t="s">
        <v>673</v>
      </c>
      <c r="J21" s="2087"/>
      <c r="K21" s="2087"/>
      <c r="L21" s="2087"/>
      <c r="M21" s="2087"/>
      <c r="N21" s="2087"/>
      <c r="O21" s="2087"/>
      <c r="P21" s="2087"/>
      <c r="Q21" s="2087"/>
      <c r="R21" s="2087"/>
      <c r="S21" s="2093"/>
      <c r="T21" s="2127" t="s">
        <v>2070</v>
      </c>
      <c r="U21" s="2128"/>
      <c r="V21" s="2128"/>
      <c r="W21" s="2128"/>
      <c r="X21" s="2133" t="s">
        <v>2055</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2074</v>
      </c>
      <c r="B23" s="2090"/>
      <c r="C23" s="2090"/>
      <c r="D23" s="2090"/>
      <c r="E23" s="2090"/>
      <c r="F23" s="2090"/>
      <c r="G23" s="2090"/>
      <c r="H23" s="2091"/>
      <c r="T23" s="2072" t="s">
        <v>2071</v>
      </c>
      <c r="U23" s="2126"/>
      <c r="V23" s="2126"/>
      <c r="W23" s="2126"/>
      <c r="X23" s="2130">
        <v>44198</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62274</v>
      </c>
      <c r="B25" s="2037"/>
      <c r="C25" s="2037"/>
      <c r="D25" s="2037"/>
      <c r="E25" s="2037"/>
      <c r="F25" s="2037"/>
      <c r="G25" s="2037"/>
      <c r="H25" s="2038"/>
      <c r="I25" s="110"/>
      <c r="J25" s="2061"/>
      <c r="K25" s="2061"/>
      <c r="L25" s="2061"/>
      <c r="M25" s="2061"/>
      <c r="N25" s="2061"/>
      <c r="O25" s="2061"/>
      <c r="P25" s="2061"/>
      <c r="Q25" s="2061"/>
      <c r="R25" s="2061"/>
      <c r="S25" s="2062"/>
      <c r="T25" s="2123" t="s">
        <v>2072</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2050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2077</v>
      </c>
      <c r="B38" s="2073"/>
      <c r="C38" s="2073"/>
      <c r="D38" s="2073"/>
      <c r="E38" s="2073"/>
      <c r="F38" s="2037"/>
      <c r="G38" s="2037"/>
      <c r="H38" s="2038"/>
      <c r="I38" s="2065"/>
      <c r="J38" s="2066"/>
      <c r="K38" s="2066"/>
      <c r="L38" s="2066"/>
      <c r="M38" s="2066"/>
      <c r="N38" s="2066"/>
      <c r="O38" s="2066"/>
      <c r="P38" s="2067"/>
      <c r="Q38" s="2067"/>
      <c r="R38" s="2067"/>
      <c r="S38" s="2068"/>
      <c r="T38" s="2109" t="s">
        <v>2066</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2074</v>
      </c>
      <c r="B40" s="2051"/>
      <c r="C40" s="2052"/>
      <c r="D40" s="2052"/>
      <c r="E40" s="2052"/>
      <c r="F40" s="2053"/>
      <c r="G40" s="2053"/>
      <c r="H40" s="2054"/>
      <c r="I40" s="2075"/>
      <c r="J40" s="2076"/>
      <c r="K40" s="2076"/>
      <c r="L40" s="2076"/>
      <c r="M40" s="2076"/>
      <c r="N40" s="2076"/>
      <c r="O40" s="2076"/>
      <c r="P40" s="2076"/>
      <c r="Q40" s="2076"/>
      <c r="R40" s="2076"/>
      <c r="S40" s="2077"/>
      <c r="T40" s="2075" t="s">
        <v>2067</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2075</v>
      </c>
      <c r="B42" s="2056"/>
      <c r="C42" s="2057"/>
      <c r="D42" s="2055" t="s">
        <v>2084</v>
      </c>
      <c r="E42" s="2056"/>
      <c r="F42" s="2056"/>
      <c r="G42" s="2056"/>
      <c r="H42" s="2057"/>
      <c r="I42" s="2039"/>
      <c r="J42" s="2040"/>
      <c r="K42" s="2040"/>
      <c r="L42" s="2040"/>
      <c r="M42" s="2040"/>
      <c r="N42" s="2040"/>
      <c r="O42" s="2041"/>
      <c r="P42" s="2074"/>
      <c r="Q42" s="2040"/>
      <c r="R42" s="2040"/>
      <c r="S42" s="2041"/>
      <c r="T42" s="2039" t="s">
        <v>2068</v>
      </c>
      <c r="U42" s="2040"/>
      <c r="V42" s="2040"/>
      <c r="W42" s="2041"/>
      <c r="X42" s="2074" t="s">
        <v>2069</v>
      </c>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B1" colorId="8" zoomScale="110" zoomScaleNormal="110" workbookViewId="0">
      <selection activeCell="A17" sqref="A17:H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690318</v>
      </c>
      <c r="C4" s="1722"/>
      <c r="D4" s="1723">
        <f>B4-C4</f>
        <v>690318</v>
      </c>
      <c r="E4" s="1722">
        <v>715647</v>
      </c>
      <c r="F4" s="1723">
        <f>E4-C4</f>
        <v>715647</v>
      </c>
    </row>
    <row r="5" spans="1:8" ht="13.7" customHeight="1" x14ac:dyDescent="0.2">
      <c r="A5" s="579" t="s">
        <v>865</v>
      </c>
      <c r="B5" s="1724">
        <f>'Revenues 9-14'!D5</f>
        <v>187633</v>
      </c>
      <c r="C5" s="1664"/>
      <c r="D5" s="1725">
        <f t="shared" ref="D5:D18" si="0">B5-C5</f>
        <v>187633</v>
      </c>
      <c r="E5" s="1664">
        <v>194469</v>
      </c>
      <c r="F5" s="1725">
        <f>E5-C5</f>
        <v>194469</v>
      </c>
    </row>
    <row r="6" spans="1:8" ht="13.7" customHeight="1" x14ac:dyDescent="0.2">
      <c r="A6" s="579" t="s">
        <v>408</v>
      </c>
      <c r="B6" s="1724">
        <f>'Revenues 9-14'!E5</f>
        <v>149667</v>
      </c>
      <c r="C6" s="1664"/>
      <c r="D6" s="1725">
        <f t="shared" si="0"/>
        <v>149667</v>
      </c>
      <c r="E6" s="1664">
        <v>144060</v>
      </c>
      <c r="F6" s="1725">
        <f t="shared" ref="F6:F18" si="1">E6-C6</f>
        <v>144060</v>
      </c>
    </row>
    <row r="7" spans="1:8" ht="13.7" customHeight="1" x14ac:dyDescent="0.2">
      <c r="A7" s="579" t="s">
        <v>154</v>
      </c>
      <c r="B7" s="1724">
        <f>'Revenues 9-14'!F5</f>
        <v>90057</v>
      </c>
      <c r="C7" s="1664"/>
      <c r="D7" s="1725">
        <f t="shared" si="0"/>
        <v>90057</v>
      </c>
      <c r="E7" s="1664">
        <v>93345</v>
      </c>
      <c r="F7" s="1725">
        <f t="shared" si="1"/>
        <v>93345</v>
      </c>
    </row>
    <row r="8" spans="1:8" ht="13.7" customHeight="1" x14ac:dyDescent="0.2">
      <c r="A8" s="579" t="s">
        <v>1169</v>
      </c>
      <c r="B8" s="1724">
        <f>'Revenues 9-14'!G5</f>
        <v>136452</v>
      </c>
      <c r="C8" s="1664"/>
      <c r="D8" s="1725">
        <f t="shared" si="0"/>
        <v>136452</v>
      </c>
      <c r="E8" s="1664">
        <v>100000</v>
      </c>
      <c r="F8" s="1725">
        <f t="shared" si="1"/>
        <v>100000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37587</v>
      </c>
      <c r="C10" s="1664"/>
      <c r="D10" s="1725">
        <f t="shared" si="0"/>
        <v>37587</v>
      </c>
      <c r="E10" s="1664">
        <v>38894</v>
      </c>
      <c r="F10" s="1725">
        <f t="shared" si="1"/>
        <v>38894</v>
      </c>
    </row>
    <row r="11" spans="1:8" x14ac:dyDescent="0.2">
      <c r="A11" s="579" t="s">
        <v>406</v>
      </c>
      <c r="B11" s="1724">
        <f>'Revenues 9-14'!J5</f>
        <v>150121</v>
      </c>
      <c r="C11" s="1664"/>
      <c r="D11" s="1725">
        <f t="shared" si="0"/>
        <v>150121</v>
      </c>
      <c r="E11" s="1664">
        <v>248000</v>
      </c>
      <c r="F11" s="1725">
        <f t="shared" si="1"/>
        <v>248000</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15035</v>
      </c>
      <c r="C14" s="1664"/>
      <c r="D14" s="1725">
        <f t="shared" si="0"/>
        <v>15035</v>
      </c>
      <c r="E14" s="1664">
        <v>15558</v>
      </c>
      <c r="F14" s="1725">
        <f t="shared" si="1"/>
        <v>15558</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100081</v>
      </c>
      <c r="C16" s="1664"/>
      <c r="D16" s="1725">
        <f t="shared" si="0"/>
        <v>100081</v>
      </c>
      <c r="E16" s="1664">
        <v>70000</v>
      </c>
      <c r="F16" s="1725">
        <f t="shared" si="1"/>
        <v>70000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1556951</v>
      </c>
      <c r="C19" s="1726">
        <f>SUM(C4:C18)</f>
        <v>0</v>
      </c>
      <c r="D19" s="1726">
        <f>SUM(D4:D18)</f>
        <v>1556951</v>
      </c>
      <c r="E19" s="1726">
        <f>SUM(E4:E18)</f>
        <v>1619973</v>
      </c>
      <c r="F19" s="1726">
        <f>SUM(F4:F18)</f>
        <v>1619973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activeCell="A17" sqref="A17:H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1778</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2005</v>
      </c>
      <c r="B24" s="2303"/>
      <c r="C24" s="2297"/>
      <c r="D24" s="2298"/>
      <c r="E24" s="2298"/>
      <c r="F24" s="2299"/>
    </row>
    <row r="25" spans="1:11" ht="13.5" thickBot="1" x14ac:dyDescent="0.25">
      <c r="A25" s="2304" t="s">
        <v>2006</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2056</v>
      </c>
      <c r="B31" s="595">
        <v>42427</v>
      </c>
      <c r="C31" s="1734">
        <v>900000</v>
      </c>
      <c r="D31" s="1735">
        <v>1</v>
      </c>
      <c r="E31" s="1734">
        <v>514200</v>
      </c>
      <c r="F31" s="1734"/>
      <c r="G31" s="1734"/>
      <c r="H31" s="1734">
        <v>128600</v>
      </c>
      <c r="I31" s="1736">
        <f>((E31+F31)-H31)+G31</f>
        <v>385600</v>
      </c>
      <c r="J31" s="1734">
        <v>385207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900000</v>
      </c>
      <c r="D49" s="1742"/>
      <c r="E49" s="1736">
        <f t="shared" ref="E49:J49" si="2">SUM(E31:E48)</f>
        <v>514200</v>
      </c>
      <c r="F49" s="1736">
        <f t="shared" si="2"/>
        <v>0</v>
      </c>
      <c r="G49" s="1736">
        <f t="shared" si="2"/>
        <v>0</v>
      </c>
      <c r="H49" s="1736">
        <f t="shared" si="2"/>
        <v>128600</v>
      </c>
      <c r="I49" s="1736">
        <f t="shared" si="2"/>
        <v>385600</v>
      </c>
      <c r="J49" s="1736">
        <f t="shared" si="2"/>
        <v>385207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1788</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15035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1" t="s">
        <v>1789</v>
      </c>
      <c r="B10" s="2322"/>
      <c r="C10" s="2322"/>
      <c r="D10" s="2322"/>
      <c r="E10" s="2324"/>
      <c r="F10" s="633" t="s">
        <v>857</v>
      </c>
      <c r="G10" s="1753"/>
      <c r="H10" s="1754"/>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15035</v>
      </c>
      <c r="I12" s="1755">
        <f>SUM(I5:I11)</f>
        <v>0</v>
      </c>
      <c r="J12" s="1755">
        <f>SUM(J5:J11)</f>
        <v>0</v>
      </c>
      <c r="K12" s="1755">
        <f>SUM(K5:K11)</f>
        <v>0</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15035</v>
      </c>
      <c r="I14" s="1749"/>
      <c r="J14" s="1751"/>
      <c r="K14" s="1745"/>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1785</v>
      </c>
      <c r="B19" s="2330"/>
      <c r="C19" s="2330"/>
      <c r="D19" s="2330"/>
      <c r="E19" s="2331"/>
      <c r="F19" s="635" t="s">
        <v>927</v>
      </c>
      <c r="G19" s="1753"/>
      <c r="H19" s="1753"/>
      <c r="I19" s="1753"/>
      <c r="J19" s="1745"/>
      <c r="K19" s="1763"/>
    </row>
    <row r="20" spans="1:15" x14ac:dyDescent="0.2">
      <c r="A20" s="2332" t="s">
        <v>1790</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1791</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15035</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87" zoomScaleNormal="87" workbookViewId="0">
      <selection activeCell="A17" sqref="A17:H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1874</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104174</v>
      </c>
      <c r="D5" s="1770"/>
      <c r="E5" s="1770"/>
      <c r="F5" s="1765">
        <f>(C5+D5)-E5</f>
        <v>104174</v>
      </c>
      <c r="G5" s="676"/>
      <c r="H5" s="680"/>
      <c r="I5" s="680"/>
      <c r="J5" s="680"/>
      <c r="K5" s="637"/>
      <c r="L5" s="1442">
        <f>F5-K5</f>
        <v>104174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6942829</v>
      </c>
      <c r="D8" s="1771"/>
      <c r="E8" s="1771"/>
      <c r="F8" s="1765">
        <f>(C8+D8)-E8</f>
        <v>6942829</v>
      </c>
      <c r="G8" s="681">
        <v>50</v>
      </c>
      <c r="H8" s="619">
        <v>3561151</v>
      </c>
      <c r="I8" s="619">
        <v>166464</v>
      </c>
      <c r="J8" s="619"/>
      <c r="K8" s="1442">
        <f>(H8+I8)-J8</f>
        <v>3727615</v>
      </c>
      <c r="L8" s="1442">
        <f>F8-K8</f>
        <v>3215214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310125</v>
      </c>
      <c r="D10" s="1772">
        <v>44014</v>
      </c>
      <c r="E10" s="1772"/>
      <c r="F10" s="1773">
        <f>(C10+D10)-E10</f>
        <v>354139</v>
      </c>
      <c r="G10" s="681">
        <v>20</v>
      </c>
      <c r="H10" s="683">
        <v>183538</v>
      </c>
      <c r="I10" s="683"/>
      <c r="J10" s="683"/>
      <c r="K10" s="1442">
        <f>(H10+I10)-J10</f>
        <v>183538</v>
      </c>
      <c r="L10" s="1442">
        <f>F10-K10</f>
        <v>170601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952427</v>
      </c>
      <c r="D12" s="1771">
        <v>46436</v>
      </c>
      <c r="E12" s="1771"/>
      <c r="F12" s="1765">
        <f>(C12+D12)-E12</f>
        <v>998863</v>
      </c>
      <c r="G12" s="681">
        <v>10</v>
      </c>
      <c r="H12" s="619">
        <v>890139</v>
      </c>
      <c r="I12" s="619">
        <v>15111</v>
      </c>
      <c r="J12" s="619"/>
      <c r="K12" s="1442">
        <f>(H12+I12)-J12</f>
        <v>905250</v>
      </c>
      <c r="L12" s="1442">
        <f>F12-K12</f>
        <v>93613</v>
      </c>
    </row>
    <row r="13" spans="1:14" ht="14.25" thickTop="1" thickBot="1" x14ac:dyDescent="0.25">
      <c r="A13" s="684" t="s">
        <v>1112</v>
      </c>
      <c r="B13" s="679">
        <v>252</v>
      </c>
      <c r="C13" s="1771">
        <v>259539</v>
      </c>
      <c r="D13" s="1771"/>
      <c r="E13" s="1771"/>
      <c r="F13" s="1765">
        <f>(C13+D13)-E13</f>
        <v>259539</v>
      </c>
      <c r="G13" s="681">
        <v>5</v>
      </c>
      <c r="H13" s="619">
        <v>227425</v>
      </c>
      <c r="I13" s="619">
        <v>7039</v>
      </c>
      <c r="J13" s="619"/>
      <c r="K13" s="1442">
        <f>(H13+I13)-J13</f>
        <v>234464</v>
      </c>
      <c r="L13" s="1442">
        <f>F13-K13</f>
        <v>25075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8569094</v>
      </c>
      <c r="D16" s="1765">
        <f>SUM(D3,D5:D6,D8:D10,D12:D15)</f>
        <v>90450</v>
      </c>
      <c r="E16" s="1765">
        <f>SUM(E3,E5:E6,E8:E10,E12:E15)</f>
        <v>0</v>
      </c>
      <c r="F16" s="1765">
        <f>SUM(F3,F5:F6,F8:F10,F12:F15)</f>
        <v>8659544</v>
      </c>
      <c r="G16" s="681"/>
      <c r="H16" s="1435">
        <f>SUM(H3,H6,H8:H10,H12:H14,)</f>
        <v>4862253</v>
      </c>
      <c r="I16" s="1435">
        <f>SUM(I3,I6,I8:I10,I12:I14,)</f>
        <v>188614</v>
      </c>
      <c r="J16" s="1435">
        <f>SUM(J3,J6,J8:J10,J12:J14,)</f>
        <v>0</v>
      </c>
      <c r="K16" s="1435">
        <f>(H16+I16)-J16</f>
        <v>5050867</v>
      </c>
      <c r="L16" s="1435">
        <f>F16-K16</f>
        <v>3608677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188614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33" colorId="8" zoomScale="110" zoomScaleNormal="110" workbookViewId="0">
      <selection activeCell="A17" sqref="A17:H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3801449</v>
      </c>
      <c r="G8" s="701"/>
    </row>
    <row r="9" spans="1:9" x14ac:dyDescent="0.2">
      <c r="A9" s="705" t="s">
        <v>457</v>
      </c>
      <c r="B9" s="706" t="s">
        <v>1847</v>
      </c>
      <c r="C9" s="707"/>
      <c r="D9" s="705" t="s">
        <v>498</v>
      </c>
      <c r="E9" s="704"/>
      <c r="F9" s="1775">
        <f>'Expenditures 15-22'!K151</f>
        <v>483742</v>
      </c>
      <c r="G9" s="708"/>
    </row>
    <row r="10" spans="1:9" x14ac:dyDescent="0.2">
      <c r="A10" s="705" t="s">
        <v>496</v>
      </c>
      <c r="B10" s="706" t="s">
        <v>1848</v>
      </c>
      <c r="C10" s="707"/>
      <c r="D10" s="705" t="s">
        <v>498</v>
      </c>
      <c r="E10" s="704"/>
      <c r="F10" s="1775">
        <f>'Expenditures 15-22'!K174</f>
        <v>149565</v>
      </c>
      <c r="G10" s="708"/>
    </row>
    <row r="11" spans="1:9" x14ac:dyDescent="0.2">
      <c r="A11" s="705" t="s">
        <v>458</v>
      </c>
      <c r="B11" s="706" t="s">
        <v>1849</v>
      </c>
      <c r="C11" s="707"/>
      <c r="D11" s="705" t="s">
        <v>498</v>
      </c>
      <c r="E11" s="704"/>
      <c r="F11" s="1775">
        <f>'Expenditures 15-22'!K210</f>
        <v>392317</v>
      </c>
      <c r="G11" s="708"/>
    </row>
    <row r="12" spans="1:9" x14ac:dyDescent="0.2">
      <c r="A12" s="705" t="s">
        <v>459</v>
      </c>
      <c r="B12" s="706" t="s">
        <v>1850</v>
      </c>
      <c r="C12" s="707"/>
      <c r="D12" s="705" t="s">
        <v>498</v>
      </c>
      <c r="E12" s="704"/>
      <c r="F12" s="1775">
        <f>'Expenditures 15-22'!K295</f>
        <v>154826</v>
      </c>
      <c r="G12" s="708"/>
    </row>
    <row r="13" spans="1:9" x14ac:dyDescent="0.2">
      <c r="A13" s="705" t="s">
        <v>106</v>
      </c>
      <c r="B13" s="706" t="s">
        <v>1851</v>
      </c>
      <c r="C13" s="707"/>
      <c r="D13" s="705" t="s">
        <v>498</v>
      </c>
      <c r="E13" s="704"/>
      <c r="F13" s="1775">
        <f>'Expenditures 15-22'!K342</f>
        <v>96318</v>
      </c>
      <c r="G13" s="709"/>
    </row>
    <row r="14" spans="1:9" ht="12" customHeight="1" thickBot="1" x14ac:dyDescent="0.25">
      <c r="A14" s="1443"/>
      <c r="B14" s="1444"/>
      <c r="C14" s="1445"/>
      <c r="D14" s="1446" t="s">
        <v>498</v>
      </c>
      <c r="E14" s="1447" t="s">
        <v>952</v>
      </c>
      <c r="F14" s="1776">
        <f>SUM(F8:F13)</f>
        <v>5078217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3977</v>
      </c>
      <c r="G52" s="701"/>
    </row>
    <row r="53" spans="1:7" x14ac:dyDescent="0.2">
      <c r="A53" s="705" t="s">
        <v>456</v>
      </c>
      <c r="B53" s="705" t="s">
        <v>1458</v>
      </c>
      <c r="C53" s="724">
        <f>'Expenditures 15-22'!B102</f>
        <v>4000</v>
      </c>
      <c r="D53" s="723" t="str">
        <f>'Expenditures 15-22'!A102</f>
        <v>Total Payments to Other Govt Units</v>
      </c>
      <c r="E53" s="704"/>
      <c r="F53" s="1782">
        <f>'Expenditures 15-22'!K102</f>
        <v>308314</v>
      </c>
      <c r="G53" s="701"/>
    </row>
    <row r="54" spans="1:7" x14ac:dyDescent="0.2">
      <c r="A54" s="705" t="s">
        <v>456</v>
      </c>
      <c r="B54" s="705" t="s">
        <v>1459</v>
      </c>
      <c r="C54" s="724" t="s">
        <v>975</v>
      </c>
      <c r="D54" s="720" t="s">
        <v>1086</v>
      </c>
      <c r="E54" s="704"/>
      <c r="F54" s="1782">
        <f>'Expenditures 15-22'!G114</f>
        <v>46436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128600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487327</v>
      </c>
      <c r="G77" s="701"/>
    </row>
    <row r="78" spans="1:9" s="728" customFormat="1" ht="12" customHeight="1" thickTop="1" thickBot="1" x14ac:dyDescent="0.25">
      <c r="A78" s="1450"/>
      <c r="B78" s="1448"/>
      <c r="C78" s="1445"/>
      <c r="D78" s="1449" t="s">
        <v>2011</v>
      </c>
      <c r="E78" s="1447"/>
      <c r="F78" s="1788">
        <f>(F14-F77)</f>
        <v>4590890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493.8</v>
      </c>
      <c r="G79" s="733"/>
      <c r="H79" s="705"/>
      <c r="I79" s="705"/>
    </row>
    <row r="80" spans="1:9" s="728" customFormat="1" ht="12" customHeight="1" thickBot="1" x14ac:dyDescent="0.25">
      <c r="A80" s="1452"/>
      <c r="B80" s="1448"/>
      <c r="C80" s="1445"/>
      <c r="D80" s="1449" t="s">
        <v>2012</v>
      </c>
      <c r="E80" s="1447" t="s">
        <v>952</v>
      </c>
      <c r="F80" s="1790">
        <f>IF(F79&gt;0,F78/F79," Complete Line 79")</f>
        <v>9297.0635884973672</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56363</v>
      </c>
      <c r="G95" s="745"/>
    </row>
    <row r="96" spans="1:7" x14ac:dyDescent="0.2">
      <c r="A96" s="741" t="s">
        <v>139</v>
      </c>
      <c r="B96" s="741" t="s">
        <v>174</v>
      </c>
      <c r="C96" s="743">
        <v>1700</v>
      </c>
      <c r="D96" s="751" t="str">
        <f>'Revenues 9-14'!A82</f>
        <v>Total District/School Activity Income</v>
      </c>
      <c r="E96" s="739"/>
      <c r="F96" s="1793">
        <f>SUM('Revenues 9-14'!C82,'Revenues 9-14'!D82)</f>
        <v>12003</v>
      </c>
      <c r="G96" s="745"/>
    </row>
    <row r="97" spans="1:7" x14ac:dyDescent="0.2">
      <c r="A97" s="741" t="s">
        <v>456</v>
      </c>
      <c r="B97" s="741" t="s">
        <v>175</v>
      </c>
      <c r="C97" s="743">
        <f>'Revenues 9-14'!B84</f>
        <v>1811</v>
      </c>
      <c r="D97" s="744" t="str">
        <f>'Revenues 9-14'!A84</f>
        <v>Rentals - Regular Textbooks</v>
      </c>
      <c r="E97" s="739"/>
      <c r="F97" s="1793">
        <f>'Revenues 9-14'!C84</f>
        <v>9296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45</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228</v>
      </c>
      <c r="G105" s="745"/>
    </row>
    <row r="106" spans="1:7" x14ac:dyDescent="0.2">
      <c r="A106" s="741" t="s">
        <v>500</v>
      </c>
      <c r="B106" s="741" t="s">
        <v>1909</v>
      </c>
      <c r="C106" s="746">
        <v>3100</v>
      </c>
      <c r="D106" s="752" t="str">
        <f>'Revenues 9-14'!A132</f>
        <v>Total Special Education</v>
      </c>
      <c r="E106" s="739"/>
      <c r="F106" s="1793">
        <f>SUM('Revenues 9-14'!C132:D132,'Revenues 9-14'!F132)</f>
        <v>75126</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1903</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284156</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10912</v>
      </c>
      <c r="G125" s="763"/>
    </row>
    <row r="126" spans="1:7" x14ac:dyDescent="0.2">
      <c r="A126" s="760" t="s">
        <v>659</v>
      </c>
      <c r="B126" s="760" t="s">
        <v>1929</v>
      </c>
      <c r="C126" s="765">
        <v>4200</v>
      </c>
      <c r="D126" s="762" t="str">
        <f>'Revenues 9-14'!A198</f>
        <v>Total Food Service</v>
      </c>
      <c r="E126" s="739"/>
      <c r="F126" s="1793">
        <f>SUM('Revenues 9-14'!C198,'Revenues 9-14'!G198)</f>
        <v>171994</v>
      </c>
      <c r="G126" s="763"/>
    </row>
    <row r="127" spans="1:7" x14ac:dyDescent="0.2">
      <c r="A127" s="760" t="s">
        <v>663</v>
      </c>
      <c r="B127" s="760" t="s">
        <v>1930</v>
      </c>
      <c r="C127" s="765">
        <v>4300</v>
      </c>
      <c r="D127" s="766" t="str">
        <f>'Revenues 9-14'!A204</f>
        <v>Total Title I</v>
      </c>
      <c r="E127" s="739"/>
      <c r="F127" s="1793">
        <f>SUM('Revenues 9-14'!C204,'Revenues 9-14'!D204,'Revenues 9-14'!F204,'Revenues 9-14'!G204)</f>
        <v>380100</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84727</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4666</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4079</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64589</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138136</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1348323</v>
      </c>
    </row>
    <row r="176" spans="1:7" ht="12" customHeight="1" x14ac:dyDescent="0.2">
      <c r="A176" s="1443"/>
      <c r="B176" s="1453"/>
      <c r="C176" s="1454"/>
      <c r="D176" s="1455" t="s">
        <v>2013</v>
      </c>
      <c r="E176" s="1456"/>
      <c r="F176" s="1793">
        <f>'PCTC-OEPP 27-28'!F78-F175</f>
        <v>3242567</v>
      </c>
    </row>
    <row r="177" spans="1:9" ht="12" customHeight="1" x14ac:dyDescent="0.2">
      <c r="A177" s="1443"/>
      <c r="B177" s="1453"/>
      <c r="C177" s="1454"/>
      <c r="D177" s="1455" t="s">
        <v>1793</v>
      </c>
      <c r="E177" s="1456"/>
      <c r="F177" s="1793">
        <f>'Cap Outlay Deprec 26'!I18</f>
        <v>188614</v>
      </c>
    </row>
    <row r="178" spans="1:9" ht="12" customHeight="1" x14ac:dyDescent="0.2">
      <c r="A178" s="1443"/>
      <c r="B178" s="1453"/>
      <c r="C178" s="1454"/>
      <c r="D178" s="1455" t="s">
        <v>2014</v>
      </c>
      <c r="E178" s="1456"/>
      <c r="F178" s="1793">
        <f>F176+F177</f>
        <v>3431181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493.8</v>
      </c>
      <c r="G179" s="763"/>
      <c r="I179" s="701"/>
    </row>
    <row r="180" spans="1:9" ht="12" customHeight="1" thickBot="1" x14ac:dyDescent="0.25">
      <c r="A180" s="1443"/>
      <c r="B180" s="1457"/>
      <c r="C180" s="1454"/>
      <c r="D180" s="1455" t="s">
        <v>2016</v>
      </c>
      <c r="E180" s="1456" t="s">
        <v>1528</v>
      </c>
      <c r="F180" s="1798">
        <f>F178/F179</f>
        <v>6948.5236938031594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zoomScaleNormal="100" workbookViewId="0">
      <selection activeCell="B19" sqref="B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1806</v>
      </c>
      <c r="B1" s="1860"/>
      <c r="C1" s="1861"/>
      <c r="D1" s="1861"/>
      <c r="E1" s="1861"/>
      <c r="F1" s="1861"/>
    </row>
    <row r="2" spans="1:6" x14ac:dyDescent="0.25">
      <c r="A2" s="1863"/>
      <c r="B2" s="1864"/>
      <c r="C2" s="1912" t="s">
        <v>2002</v>
      </c>
      <c r="D2" s="1863"/>
      <c r="E2" s="1863"/>
      <c r="F2" s="1863"/>
    </row>
    <row r="3" spans="1:6" ht="5.25" customHeight="1" x14ac:dyDescent="0.25">
      <c r="A3" s="1865"/>
      <c r="B3" s="1866"/>
      <c r="C3" s="1865"/>
      <c r="D3" s="1865"/>
      <c r="E3" s="1865"/>
      <c r="F3" s="1865"/>
    </row>
    <row r="4" spans="1:6" ht="18.75" customHeight="1" x14ac:dyDescent="0.25">
      <c r="A4" s="2376" t="s">
        <v>1794</v>
      </c>
      <c r="B4" s="2377"/>
      <c r="C4" s="2377"/>
      <c r="D4" s="2377"/>
      <c r="E4" s="2377"/>
      <c r="F4" s="2378"/>
    </row>
    <row r="5" spans="1:6" x14ac:dyDescent="0.25">
      <c r="A5" s="2379"/>
      <c r="B5" s="2380"/>
      <c r="C5" s="2380"/>
      <c r="D5" s="2380"/>
      <c r="E5" s="2380"/>
      <c r="F5" s="2381"/>
    </row>
    <row r="6" spans="1:6" ht="18.75" x14ac:dyDescent="0.25">
      <c r="A6" s="1867" t="s">
        <v>1795</v>
      </c>
      <c r="B6" s="1868"/>
      <c r="C6" s="1869"/>
      <c r="D6" s="1869"/>
      <c r="E6" s="1869"/>
      <c r="F6" s="1870"/>
    </row>
    <row r="7" spans="1:6" ht="47.25" customHeight="1" x14ac:dyDescent="0.25">
      <c r="A7" s="2382" t="s">
        <v>1984</v>
      </c>
      <c r="B7" s="2383"/>
      <c r="C7" s="2383"/>
      <c r="D7" s="2383"/>
      <c r="E7" s="2383"/>
      <c r="F7" s="2384"/>
    </row>
    <row r="8" spans="1:6" ht="20.25" customHeight="1" x14ac:dyDescent="0.25">
      <c r="A8" s="1901" t="s">
        <v>1986</v>
      </c>
      <c r="B8" s="1902"/>
      <c r="C8" s="1902"/>
      <c r="D8" s="1902"/>
      <c r="E8" s="1871"/>
      <c r="F8" s="1872"/>
    </row>
    <row r="9" spans="1:6" ht="18" customHeight="1" x14ac:dyDescent="0.25">
      <c r="A9" s="1873" t="s">
        <v>1983</v>
      </c>
      <c r="B9" s="1875"/>
      <c r="C9" s="1875"/>
      <c r="D9" s="1875"/>
      <c r="E9" s="1871"/>
      <c r="F9" s="1872"/>
    </row>
    <row r="10" spans="1:6" ht="15.75" customHeight="1" x14ac:dyDescent="0.25">
      <c r="A10" s="2385" t="s">
        <v>1980</v>
      </c>
      <c r="B10" s="2386"/>
      <c r="C10" s="2386"/>
      <c r="D10" s="2386"/>
      <c r="E10" s="2386"/>
      <c r="F10" s="2387"/>
    </row>
    <row r="11" spans="1:6" ht="33" customHeight="1" x14ac:dyDescent="0.25">
      <c r="A11" s="2382" t="s">
        <v>1985</v>
      </c>
      <c r="B11" s="2383"/>
      <c r="C11" s="2383"/>
      <c r="D11" s="2383"/>
      <c r="E11" s="2383"/>
      <c r="F11" s="2384"/>
    </row>
    <row r="12" spans="1:6" ht="15" customHeight="1" x14ac:dyDescent="0.25">
      <c r="A12" s="1873" t="s">
        <v>1981</v>
      </c>
      <c r="B12" s="1874"/>
      <c r="C12" s="1875"/>
      <c r="D12" s="1875"/>
      <c r="E12" s="1875"/>
      <c r="F12" s="1876"/>
    </row>
    <row r="13" spans="1:6" ht="17.25" customHeight="1" x14ac:dyDescent="0.25">
      <c r="A13" s="2382" t="s">
        <v>1982</v>
      </c>
      <c r="B13" s="2383"/>
      <c r="C13" s="2383"/>
      <c r="D13" s="2383"/>
      <c r="E13" s="2383"/>
      <c r="F13" s="2384"/>
    </row>
    <row r="14" spans="1:6" ht="15" customHeight="1" x14ac:dyDescent="0.25">
      <c r="A14" s="1873" t="s">
        <v>1799</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6" t="s">
        <v>1798</v>
      </c>
      <c r="C17" s="1881" t="s">
        <v>1796</v>
      </c>
      <c r="D17" s="1882">
        <v>500000</v>
      </c>
      <c r="E17" s="1882" t="str">
        <f>IF(D17&lt;25000,D17,"25,000")</f>
        <v>25,000</v>
      </c>
      <c r="F17" s="1883">
        <f>IF(D17&gt;=25000,(D17-E17),"0")</f>
        <v>475000</v>
      </c>
    </row>
    <row r="18" spans="1:7" x14ac:dyDescent="0.25">
      <c r="A18" s="2034" t="s">
        <v>2057</v>
      </c>
      <c r="B18" s="1907">
        <v>202540400</v>
      </c>
      <c r="C18" s="2035" t="s">
        <v>2058</v>
      </c>
      <c r="D18" s="1885">
        <v>63983</v>
      </c>
      <c r="E18" s="1905" t="str">
        <f t="shared" ref="E18:E21" si="0">IF(D18&lt;25000,D18,"25,000")</f>
        <v>25,000</v>
      </c>
      <c r="F18" s="1905">
        <f t="shared" ref="F18:F21" si="1">IF(D18&gt;=25000,(D18-E18),"0")</f>
        <v>38983</v>
      </c>
      <c r="G18" s="1886"/>
    </row>
    <row r="19" spans="1:7" x14ac:dyDescent="0.25">
      <c r="A19" s="2034" t="s">
        <v>2059</v>
      </c>
      <c r="B19" s="1907">
        <v>402550300</v>
      </c>
      <c r="C19" s="2035" t="s">
        <v>2060</v>
      </c>
      <c r="D19" s="1885">
        <v>385427</v>
      </c>
      <c r="E19" s="1905" t="str">
        <f t="shared" si="0"/>
        <v>25,000</v>
      </c>
      <c r="F19" s="1905">
        <f t="shared" si="1"/>
        <v>360427</v>
      </c>
    </row>
    <row r="20" spans="1:7" x14ac:dyDescent="0.25">
      <c r="A20" s="2034"/>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8"/>
      <c r="C22" s="1888"/>
      <c r="D22" s="1885"/>
      <c r="E22" s="1905">
        <f t="shared" ref="E22:E36" si="2">IF(D22&lt;25000,D22,"25,000")</f>
        <v>0</v>
      </c>
      <c r="F22" s="1905" t="str">
        <f t="shared" ref="F22:F36" si="3">IF(D22&gt;=25000,(D22-E22),"0")</f>
        <v>0</v>
      </c>
    </row>
    <row r="23" spans="1:7" x14ac:dyDescent="0.25">
      <c r="A23" s="1887"/>
      <c r="B23" s="1908"/>
      <c r="C23" s="1888"/>
      <c r="D23" s="1885"/>
      <c r="E23" s="1905">
        <f t="shared" si="2"/>
        <v>0</v>
      </c>
      <c r="F23" s="1905" t="str">
        <f t="shared" si="3"/>
        <v>0</v>
      </c>
    </row>
    <row r="24" spans="1:7" x14ac:dyDescent="0.25">
      <c r="A24" s="1887"/>
      <c r="B24" s="1908"/>
      <c r="C24" s="1888"/>
      <c r="D24" s="1885"/>
      <c r="E24" s="1905">
        <f t="shared" si="2"/>
        <v>0</v>
      </c>
      <c r="F24" s="1905" t="str">
        <f t="shared" si="3"/>
        <v>0</v>
      </c>
    </row>
    <row r="25" spans="1:7" x14ac:dyDescent="0.25">
      <c r="A25" s="1887"/>
      <c r="B25" s="1908"/>
      <c r="C25" s="1888"/>
      <c r="D25" s="1885"/>
      <c r="E25" s="1905"/>
      <c r="F25" s="1905"/>
    </row>
    <row r="26" spans="1:7" x14ac:dyDescent="0.25">
      <c r="A26" s="1887"/>
      <c r="B26" s="1908"/>
      <c r="C26" s="1888"/>
      <c r="D26" s="1885"/>
      <c r="E26" s="1905"/>
      <c r="F26" s="1905"/>
    </row>
    <row r="27" spans="1:7" x14ac:dyDescent="0.25">
      <c r="A27" s="1887"/>
      <c r="B27" s="1908"/>
      <c r="C27" s="1888"/>
      <c r="D27" s="1885"/>
      <c r="E27" s="1905"/>
      <c r="F27" s="1905"/>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8"/>
      <c r="C35" s="1888"/>
      <c r="D35" s="1885"/>
      <c r="E35" s="1905">
        <f t="shared" si="2"/>
        <v>0</v>
      </c>
      <c r="F35" s="1905" t="str">
        <f t="shared" si="3"/>
        <v>0</v>
      </c>
    </row>
    <row r="36" spans="1:6" x14ac:dyDescent="0.25">
      <c r="A36" s="1887"/>
      <c r="B36" s="1909"/>
      <c r="C36" s="1888"/>
      <c r="D36" s="1885"/>
      <c r="E36" s="1905">
        <f t="shared" si="2"/>
        <v>0</v>
      </c>
      <c r="F36" s="1905" t="str">
        <f t="shared" si="3"/>
        <v>0</v>
      </c>
    </row>
    <row r="37" spans="1:6" x14ac:dyDescent="0.25">
      <c r="A37" s="1889" t="s">
        <v>155</v>
      </c>
      <c r="B37" s="1910"/>
      <c r="C37" s="1890"/>
      <c r="D37" s="1891">
        <f>SUM(D18:D36)</f>
        <v>449410</v>
      </c>
      <c r="E37" s="1892">
        <f>SUM(E18:E36)</f>
        <v>0</v>
      </c>
      <c r="F37" s="1893">
        <f>SUM(F18:F36)</f>
        <v>399410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
&amp;RPage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A17" sqref="A17:H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76620</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f>20002+7848</f>
        <v>27850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2599727</v>
      </c>
      <c r="F19" s="1802"/>
      <c r="G19" s="1804">
        <f>'Expenditures 15-22'!K33-SUM('Expenditures 15-22'!G33,'Expenditures 15-22'!I33)+'Expenditures 15-22'!D229</f>
        <v>2599727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219222</v>
      </c>
      <c r="F21" s="1805"/>
      <c r="G21" s="1808">
        <f>'Expenditures 15-22'!K42-SUM('Expenditures 15-22'!G42,'Expenditures 15-22'!I42)+'Expenditures 15-22'!K120-SUM('Expenditures 15-22'!G120,'Expenditures 15-22'!I120)+'Expenditures 15-22'!K180-SUM('Expenditures 15-22'!G180,'Expenditures 15-22'!I180)+'Expenditures 15-22'!D238</f>
        <v>219222</v>
      </c>
      <c r="H21" s="817"/>
      <c r="I21" s="157"/>
    </row>
    <row r="22" spans="1:9" s="542" customFormat="1" ht="12" customHeight="1" x14ac:dyDescent="0.2">
      <c r="A22" s="824" t="s">
        <v>560</v>
      </c>
      <c r="B22" s="825"/>
      <c r="C22" s="823">
        <v>2200</v>
      </c>
      <c r="D22" s="1805"/>
      <c r="E22" s="1807">
        <f>'Expenditures 15-22'!K47-SUM('Expenditures 15-22'!G47,'Expenditures 15-22'!I47)+'Expenditures 15-22'!D243</f>
        <v>55349</v>
      </c>
      <c r="F22" s="1805"/>
      <c r="G22" s="1808">
        <f>'Expenditures 15-22'!K47-SUM('Expenditures 15-22'!G47,'Expenditures 15-22'!I47)+'Expenditures 15-22'!D243</f>
        <v>55349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299347</v>
      </c>
      <c r="F23" s="1805"/>
      <c r="G23" s="1807">
        <f>'Expenditures 15-22'!K53-SUM('Expenditures 15-22'!G53,'Expenditures 15-22'!I53)+'Expenditures 15-22'!D257+'Expenditures 15-22'!K330-SUM('Expenditures 15-22'!G330,'Expenditures 15-22'!I330)</f>
        <v>299347</v>
      </c>
      <c r="H23" s="817"/>
      <c r="I23" s="157"/>
    </row>
    <row r="24" spans="1:9" s="542" customFormat="1" ht="12" customHeight="1" x14ac:dyDescent="0.2">
      <c r="A24" s="824" t="s">
        <v>562</v>
      </c>
      <c r="B24" s="825"/>
      <c r="C24" s="823">
        <v>2400</v>
      </c>
      <c r="D24" s="1805"/>
      <c r="E24" s="1807">
        <f>'Expenditures 15-22'!K57-SUM('Expenditures 15-22'!G57,'Expenditures 15-22'!I57)+'Expenditures 15-22'!D261</f>
        <v>205093</v>
      </c>
      <c r="F24" s="1805"/>
      <c r="G24" s="1808">
        <f>'Expenditures 15-22'!K57-SUM('Expenditures 15-22'!G57,'Expenditures 15-22'!I57)+'Expenditures 15-22'!D261</f>
        <v>205093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13000</v>
      </c>
      <c r="E27" s="1807">
        <f>E8</f>
        <v>0</v>
      </c>
      <c r="F27" s="1807">
        <f>'Expenditures 15-22'!K60-SUM('Expenditures 15-22'!G60,'Expenditures 15-22'!I60)+'Expenditures 15-22'!D264-E8</f>
        <v>13000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541625</v>
      </c>
      <c r="F28" s="1809">
        <f>'Expenditures 15-22'!K61-SUM('Expenditures 15-22'!G61,'Expenditures 15-22'!I61)+'Expenditures 15-22'!K124-SUM('Expenditures 15-22'!G124,'Expenditures 15-22'!I124)+'Expenditures 15-22'!D266-E9</f>
        <v>541625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392317</v>
      </c>
      <c r="F29" s="1805"/>
      <c r="G29" s="1808">
        <f>'Expenditures 15-22'!K62-SUM('Expenditures 15-22'!G62,'Expenditures 15-22'!I62)+'Expenditures 15-22'!K125-SUM('Expenditures 15-22'!G125,'Expenditures 15-22'!I125)+'Expenditures 15-22'!K182-SUM('Expenditures 15-22'!G182,'Expenditures 15-22'!I182)+'Expenditures 15-22'!D267</f>
        <v>392317</v>
      </c>
      <c r="H29" s="815"/>
    </row>
    <row r="30" spans="1:9" ht="12" customHeight="1" x14ac:dyDescent="0.2">
      <c r="A30" s="824" t="s">
        <v>100</v>
      </c>
      <c r="B30" s="827"/>
      <c r="C30" s="823">
        <v>2560</v>
      </c>
      <c r="D30" s="1805"/>
      <c r="E30" s="1807">
        <f>'Expenditures 15-22'!K63-SUM('Expenditures 15-22'!G63,'Expenditures 15-22'!I63)+'Expenditures 15-22'!D268-E10</f>
        <v>117250</v>
      </c>
      <c r="F30" s="1805"/>
      <c r="G30" s="1807">
        <f>'Expenditures 15-22'!K63-SUM('Expenditures 15-22'!G63,'Expenditures 15-22'!I63)+'Expenditures 15-22'!D268-E10</f>
        <v>117250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49980</v>
      </c>
      <c r="F34" s="1805"/>
      <c r="G34" s="1807">
        <f>'Expenditures 15-22'!K68-SUM('Expenditures 15-22'!G68,'Expenditures 15-22'!I68)+'Expenditures 15-22'!D273</f>
        <v>49980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395</v>
      </c>
      <c r="F38" s="1805"/>
      <c r="G38" s="1807">
        <f>'Expenditures 15-22'!K73-SUM('Expenditures 15-22'!G73,'Expenditures 15-22'!I73)+'Expenditures 15-22'!K128-SUM('Expenditures 15-22'!G128,'Expenditures 15-22'!I128)+'Expenditures 15-22'!K183-SUM('Expenditures 15-22'!G183,'Expenditures 15-22'!I183)+'Expenditures 15-22'!D278</f>
        <v>395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3977</v>
      </c>
      <c r="F39" s="1805"/>
      <c r="G39" s="1807">
        <f>'Expenditures 15-22'!K75-SUM('Expenditures 15-22'!G75,'Expenditures 15-22'!I75)+'Expenditures 15-22'!K130-SUM('Expenditures 15-22'!G130,'Expenditures 15-22'!I130)+'Expenditures 15-22'!K185-SUM('Expenditures 15-22'!G185,'Expenditures 15-22'!I185)+'Expenditures 15-22'!D280</f>
        <v>3977</v>
      </c>
    </row>
    <row r="40" spans="1:7" ht="12" customHeight="1" x14ac:dyDescent="0.2">
      <c r="A40" s="820" t="s">
        <v>1797</v>
      </c>
      <c r="B40" s="821"/>
      <c r="C40" s="823"/>
      <c r="D40" s="1805"/>
      <c r="E40" s="1809">
        <f>-'Contracts Paid in CY 29'!F37</f>
        <v>-399410</v>
      </c>
      <c r="F40" s="1805"/>
      <c r="G40" s="1809">
        <f>-'Contracts Paid in CY 29'!F37</f>
        <v>-399410</v>
      </c>
    </row>
    <row r="41" spans="1:7" ht="12" customHeight="1" x14ac:dyDescent="0.2">
      <c r="A41" s="828" t="s">
        <v>155</v>
      </c>
      <c r="B41" s="829"/>
      <c r="C41" s="830"/>
      <c r="D41" s="1809">
        <f>SUM(D19:D39)</f>
        <v>13000</v>
      </c>
      <c r="E41" s="1809">
        <f>SUM(E19:E40)</f>
        <v>4084872</v>
      </c>
      <c r="F41" s="1809">
        <f>SUM(F19:F39)</f>
        <v>554625</v>
      </c>
      <c r="G41" s="1809">
        <f>SUM(G19:G40)</f>
        <v>3543247</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13000</v>
      </c>
      <c r="F43" s="1458" t="s">
        <v>470</v>
      </c>
      <c r="G43" s="1810">
        <f>F41</f>
        <v>554625</v>
      </c>
    </row>
    <row r="44" spans="1:7" ht="12" customHeight="1" x14ac:dyDescent="0.2">
      <c r="A44" s="817"/>
      <c r="B44" s="157"/>
      <c r="C44" s="831"/>
      <c r="D44" s="1458" t="s">
        <v>471</v>
      </c>
      <c r="E44" s="1810">
        <f>E41</f>
        <v>4084872</v>
      </c>
      <c r="F44" s="1458" t="s">
        <v>471</v>
      </c>
      <c r="G44" s="1810">
        <f>G41</f>
        <v>3543247</v>
      </c>
    </row>
    <row r="45" spans="1:7" ht="12" customHeight="1" x14ac:dyDescent="0.2">
      <c r="A45" s="817"/>
      <c r="B45" s="157"/>
      <c r="C45" s="157"/>
      <c r="D45" s="1459" t="s">
        <v>999</v>
      </c>
      <c r="E45" s="1811">
        <f>(E43/E44)</f>
        <v>3.182474261127399E-3</v>
      </c>
      <c r="F45" s="1459" t="s">
        <v>999</v>
      </c>
      <c r="G45" s="1811">
        <f>(G43/G44)</f>
        <v>0.1565301544035739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7" sqref="A17:H1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Pinckneyville SD 50</v>
      </c>
      <c r="D6" s="2414"/>
      <c r="E6" s="2414"/>
      <c r="F6" s="1482"/>
      <c r="G6" s="1507"/>
      <c r="L6" s="1507"/>
      <c r="M6" s="1855"/>
      <c r="N6" s="1855"/>
      <c r="O6" s="1855"/>
    </row>
    <row r="7" spans="1:15" ht="11.25" customHeight="1" thickBot="1" x14ac:dyDescent="0.3">
      <c r="A7" s="1480"/>
      <c r="B7" s="1481"/>
      <c r="C7" s="2415">
        <f>COVER!A13</f>
        <v>30073050002</v>
      </c>
      <c r="D7" s="2415"/>
      <c r="E7" s="241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2050</v>
      </c>
      <c r="D14" s="1495" t="s">
        <v>2050</v>
      </c>
      <c r="E14" s="1498"/>
      <c r="F14" s="1497" t="s">
        <v>2061</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2062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8" zoomScaleNormal="100" workbookViewId="0">
      <selection activeCell="A17" sqref="A17:H17"/>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6" t="str">
        <f>COVER!A17</f>
        <v xml:space="preserve"> Pinckneyville SD 50</v>
      </c>
      <c r="K6" s="2436"/>
      <c r="L6" s="2450"/>
      <c r="M6" s="838"/>
      <c r="N6" s="1997"/>
    </row>
    <row r="7" spans="1:14" x14ac:dyDescent="0.2">
      <c r="A7" s="2451" t="s">
        <v>864</v>
      </c>
      <c r="B7" s="2452"/>
      <c r="C7" s="2452"/>
      <c r="D7" s="2452"/>
      <c r="E7" s="2453"/>
      <c r="F7" s="839"/>
      <c r="G7" s="838"/>
      <c r="H7" s="838"/>
      <c r="I7" s="1923" t="s">
        <v>369</v>
      </c>
      <c r="J7" s="2438">
        <f>COVER!A13</f>
        <v>30073050002</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7"/>
      <c r="G9" s="1857"/>
      <c r="H9" s="1857"/>
      <c r="I9" s="1928" t="s">
        <v>2018</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813</v>
      </c>
      <c r="C12" s="842"/>
      <c r="D12" s="1940">
        <v>2320</v>
      </c>
      <c r="E12" s="1943">
        <f>'Expenditures 15-22'!K50</f>
        <v>174319</v>
      </c>
      <c r="F12" s="1941"/>
      <c r="G12" s="1967">
        <f>G68</f>
        <v>35181</v>
      </c>
      <c r="H12" s="1943">
        <f t="shared" ref="H12:H18" si="0">SUM(E12:G12)</f>
        <v>209500</v>
      </c>
      <c r="I12" s="1942">
        <v>139828</v>
      </c>
      <c r="J12" s="1941"/>
      <c r="K12" s="1942">
        <v>72485</v>
      </c>
      <c r="L12" s="1943">
        <f t="shared" ref="L12:L18" si="1">SUM(I12:K12)</f>
        <v>212313</v>
      </c>
      <c r="M12" s="838"/>
      <c r="N12" s="1997"/>
    </row>
    <row r="13" spans="1:14" x14ac:dyDescent="0.2">
      <c r="A13" s="2002">
        <v>2</v>
      </c>
      <c r="B13" s="1939" t="s">
        <v>42</v>
      </c>
      <c r="C13" s="842"/>
      <c r="D13" s="1940">
        <v>2330</v>
      </c>
      <c r="E13" s="1943">
        <f>'Expenditures 15-22'!K51</f>
        <v>1795</v>
      </c>
      <c r="F13" s="1941"/>
      <c r="G13" s="1967">
        <f>H68</f>
        <v>2205</v>
      </c>
      <c r="H13" s="1943">
        <f t="shared" si="0"/>
        <v>4000</v>
      </c>
      <c r="I13" s="1942">
        <v>4000</v>
      </c>
      <c r="J13" s="1941"/>
      <c r="K13" s="1942">
        <v>0</v>
      </c>
      <c r="L13" s="1943">
        <f t="shared" si="1"/>
        <v>4000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v>0</v>
      </c>
      <c r="J15" s="1942">
        <v>0</v>
      </c>
      <c r="K15" s="1942">
        <v>0</v>
      </c>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57" t="s">
        <v>7</v>
      </c>
      <c r="C18" s="2458"/>
      <c r="D18" s="2459"/>
      <c r="E18" s="1945"/>
      <c r="F18" s="1945"/>
      <c r="G18" s="1942"/>
      <c r="H18" s="1946">
        <f t="shared" si="0"/>
        <v>0</v>
      </c>
      <c r="I18" s="1942">
        <v>0</v>
      </c>
      <c r="J18" s="1942"/>
      <c r="K18" s="1942">
        <v>0</v>
      </c>
      <c r="L18" s="1943">
        <f t="shared" si="1"/>
        <v>0</v>
      </c>
      <c r="M18" s="838"/>
      <c r="N18" s="1997"/>
    </row>
    <row r="19" spans="1:14" ht="13.5" thickBot="1" x14ac:dyDescent="0.25">
      <c r="A19" s="2002">
        <v>8</v>
      </c>
      <c r="B19" s="1947" t="s">
        <v>1151</v>
      </c>
      <c r="C19" s="838"/>
      <c r="D19" s="1948"/>
      <c r="E19" s="1949">
        <f t="shared" ref="E19:L19" si="2">SUM(E12:E17)-E18</f>
        <v>176114</v>
      </c>
      <c r="F19" s="1949">
        <f t="shared" si="2"/>
        <v>0</v>
      </c>
      <c r="G19" s="1949">
        <f t="shared" ref="G19" si="3">SUM(G12:G17)-G18</f>
        <v>37386</v>
      </c>
      <c r="H19" s="1949">
        <f t="shared" si="2"/>
        <v>213500</v>
      </c>
      <c r="I19" s="1949">
        <f t="shared" si="2"/>
        <v>143828</v>
      </c>
      <c r="J19" s="1949">
        <f t="shared" si="2"/>
        <v>0</v>
      </c>
      <c r="K19" s="1949">
        <f t="shared" si="2"/>
        <v>72485</v>
      </c>
      <c r="L19" s="1949">
        <f t="shared" si="2"/>
        <v>216313</v>
      </c>
      <c r="M19" s="838"/>
      <c r="N19" s="1997"/>
    </row>
    <row r="20" spans="1:14" ht="13.5" thickTop="1" x14ac:dyDescent="0.2">
      <c r="A20" s="2002">
        <v>9</v>
      </c>
      <c r="B20" s="2460" t="s">
        <v>2020</v>
      </c>
      <c r="C20" s="2460"/>
      <c r="D20" s="2461"/>
      <c r="E20" s="1950"/>
      <c r="F20" s="1950"/>
      <c r="G20" s="1950"/>
      <c r="H20" s="1950"/>
      <c r="I20" s="1950"/>
      <c r="J20" s="1950"/>
      <c r="K20" s="1950"/>
      <c r="L20" s="1951">
        <f>IF(AND(H19&gt;0,L19&gt;0),(((L19-H19)/H19)),"Enter Budget Data")</f>
        <v>1.3175644028103044E-2</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1492</v>
      </c>
      <c r="G28" s="2464"/>
      <c r="H28" s="2464"/>
      <c r="I28" s="838"/>
      <c r="J28" s="838"/>
      <c r="K28" s="838"/>
      <c r="L28" s="838"/>
      <c r="M28" s="838"/>
      <c r="N28" s="1997"/>
    </row>
    <row r="29" spans="1:14" x14ac:dyDescent="0.2">
      <c r="A29" s="1996"/>
      <c r="B29" s="2006"/>
      <c r="C29" s="2465" t="s">
        <v>2077</v>
      </c>
      <c r="D29" s="2465"/>
      <c r="E29" s="845"/>
      <c r="F29" s="2465" t="s">
        <v>2075</v>
      </c>
      <c r="G29" s="2465"/>
      <c r="H29" s="2465"/>
      <c r="I29" s="838"/>
      <c r="J29" s="838"/>
      <c r="K29" s="838"/>
      <c r="L29" s="838"/>
      <c r="M29" s="838"/>
      <c r="N29" s="1997"/>
    </row>
    <row r="30" spans="1:14" x14ac:dyDescent="0.2">
      <c r="A30" s="1996"/>
      <c r="B30" s="2006"/>
      <c r="C30" s="1959" t="s">
        <v>1544</v>
      </c>
      <c r="D30" s="838"/>
      <c r="E30" s="1958"/>
      <c r="F30" s="2449" t="s">
        <v>1493</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2023</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2024</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2025</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2026</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33" t="s">
        <v>2028</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 xml:space="preserve"> Pinckneyville SD 50</v>
      </c>
      <c r="M52" s="2436"/>
      <c r="N52" s="2437"/>
    </row>
    <row r="53" spans="1:14" x14ac:dyDescent="0.2">
      <c r="A53" s="1981"/>
      <c r="B53" s="1982"/>
      <c r="C53" s="1982"/>
      <c r="D53" s="1982"/>
      <c r="E53" s="1982"/>
      <c r="F53" s="1982"/>
      <c r="G53" s="1982"/>
      <c r="H53" s="1982"/>
      <c r="I53" s="1982"/>
      <c r="J53" s="1982"/>
      <c r="K53" s="1923" t="s">
        <v>369</v>
      </c>
      <c r="L53" s="2438">
        <f>J7</f>
        <v>30073050002</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2029</v>
      </c>
      <c r="H55" s="2442"/>
      <c r="I55" s="2442"/>
      <c r="J55" s="2442"/>
      <c r="K55" s="2442"/>
      <c r="L55" s="2442"/>
      <c r="M55" s="2442"/>
      <c r="N55" s="2443"/>
    </row>
    <row r="56" spans="1:14" ht="63.75" x14ac:dyDescent="0.2">
      <c r="A56" s="2444" t="s">
        <v>2030</v>
      </c>
      <c r="B56" s="2445"/>
      <c r="C56" s="2446"/>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2040</v>
      </c>
      <c r="B58" s="2425"/>
      <c r="C58" s="2425"/>
      <c r="D58" s="1966">
        <v>2362</v>
      </c>
      <c r="E58" s="1976">
        <f>'Expenditures 15-22'!K320</f>
        <v>13045</v>
      </c>
      <c r="F58" s="1971"/>
      <c r="G58" s="2030">
        <v>764</v>
      </c>
      <c r="H58" s="2031"/>
      <c r="I58" s="2031"/>
      <c r="J58" s="2031"/>
      <c r="K58" s="2031"/>
      <c r="L58" s="2031"/>
      <c r="M58" s="2031">
        <v>12281</v>
      </c>
      <c r="N58" s="1974">
        <f>IF((SUM(G58:M58))=E58,SUM(G58:M58),"Column N does not agree with Column E")</f>
        <v>13045</v>
      </c>
    </row>
    <row r="59" spans="1:14" ht="24.75" customHeight="1" x14ac:dyDescent="0.2">
      <c r="A59" s="2418" t="s">
        <v>297</v>
      </c>
      <c r="B59" s="2419"/>
      <c r="C59" s="2419"/>
      <c r="D59" s="1966">
        <v>2363</v>
      </c>
      <c r="E59" s="1976">
        <f>'Expenditures 15-22'!K321</f>
        <v>4735</v>
      </c>
      <c r="F59" s="1971"/>
      <c r="G59" s="2030"/>
      <c r="H59" s="2031"/>
      <c r="I59" s="2031"/>
      <c r="J59" s="2031"/>
      <c r="K59" s="2031"/>
      <c r="L59" s="2031"/>
      <c r="M59" s="2031">
        <v>4735</v>
      </c>
      <c r="N59" s="1974">
        <f>IF((SUM(G59:M59))=E59,SUM(G59:M59),"Column N does not agree with Column E")</f>
        <v>4735</v>
      </c>
    </row>
    <row r="60" spans="1:14" ht="24" customHeight="1" x14ac:dyDescent="0.2">
      <c r="A60" s="2418" t="s">
        <v>236</v>
      </c>
      <c r="B60" s="2419"/>
      <c r="C60" s="2419"/>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36622</v>
      </c>
      <c r="F63" s="1971"/>
      <c r="G63" s="2030">
        <v>34417</v>
      </c>
      <c r="H63" s="2031">
        <v>2205</v>
      </c>
      <c r="I63" s="2031"/>
      <c r="J63" s="2031"/>
      <c r="K63" s="2031"/>
      <c r="L63" s="2031"/>
      <c r="M63" s="2031"/>
      <c r="N63" s="1974">
        <f t="shared" si="4"/>
        <v>36622</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6483</v>
      </c>
      <c r="F65" s="1971"/>
      <c r="G65" s="2030"/>
      <c r="H65" s="2031"/>
      <c r="I65" s="2031"/>
      <c r="J65" s="2031"/>
      <c r="K65" s="2031"/>
      <c r="L65" s="2031"/>
      <c r="M65" s="2031">
        <v>6483</v>
      </c>
      <c r="N65" s="1974">
        <f t="shared" si="4"/>
        <v>6483</v>
      </c>
    </row>
    <row r="66" spans="1:14" ht="24" customHeight="1" x14ac:dyDescent="0.2">
      <c r="A66" s="2418" t="s">
        <v>469</v>
      </c>
      <c r="B66" s="2419"/>
      <c r="C66" s="2419"/>
      <c r="D66" s="1966">
        <v>2371</v>
      </c>
      <c r="E66" s="1976">
        <f>'Expenditures 15-22'!K328</f>
        <v>35433</v>
      </c>
      <c r="F66" s="1971"/>
      <c r="G66" s="2030"/>
      <c r="H66" s="2031"/>
      <c r="I66" s="2031"/>
      <c r="J66" s="2031"/>
      <c r="K66" s="2031"/>
      <c r="L66" s="2031"/>
      <c r="M66" s="2031">
        <v>35433</v>
      </c>
      <c r="N66" s="1974">
        <f t="shared" si="4"/>
        <v>35433</v>
      </c>
    </row>
    <row r="67" spans="1:14" ht="24.75" customHeight="1" x14ac:dyDescent="0.2">
      <c r="A67" s="2420" t="s">
        <v>2041</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1151</v>
      </c>
      <c r="B68" s="2423"/>
      <c r="C68" s="2423"/>
      <c r="D68" s="1969"/>
      <c r="E68" s="1973">
        <f>SUM(E57:E67)</f>
        <v>96318</v>
      </c>
      <c r="F68" s="1972"/>
      <c r="G68" s="1973">
        <f t="shared" ref="G68:N68" si="5">SUM(G57:G67)</f>
        <v>35181</v>
      </c>
      <c r="H68" s="1973">
        <f t="shared" si="5"/>
        <v>2205</v>
      </c>
      <c r="I68" s="1973">
        <f t="shared" si="5"/>
        <v>0</v>
      </c>
      <c r="J68" s="1973">
        <f t="shared" si="5"/>
        <v>0</v>
      </c>
      <c r="K68" s="1973">
        <f t="shared" si="5"/>
        <v>0</v>
      </c>
      <c r="L68" s="1973">
        <f t="shared" si="5"/>
        <v>0</v>
      </c>
      <c r="M68" s="1973">
        <f t="shared" si="5"/>
        <v>58932</v>
      </c>
      <c r="N68" s="1987">
        <f t="shared" si="5"/>
        <v>96318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B1" zoomScale="110" zoomScaleNormal="110" workbookViewId="0">
      <selection activeCell="A17" sqref="A17:H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2082</v>
      </c>
    </row>
    <row r="9" spans="1:2" x14ac:dyDescent="0.2">
      <c r="A9" s="848"/>
      <c r="B9" s="307" t="s">
        <v>2083</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Pinckneyville SD 50</v>
      </c>
    </row>
    <row r="65" spans="2:2" x14ac:dyDescent="0.2">
      <c r="B65" s="849">
        <f>COVER!A13</f>
        <v>30073050002</v>
      </c>
    </row>
  </sheetData>
  <phoneticPr fontId="15" type="noConversion"/>
  <pageMargins left="0.2" right="0.2" top="1.17" bottom="0.75" header="0.19" footer="0.16"/>
  <pageSetup scale="80" firstPageNumber="34" orientation="portrait" useFirstPageNumber="1"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42" sqref="X42:AA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7" sqref="A17:H1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95250</xdr:colOff>
                <xdr:row>7</xdr:row>
                <xdr:rowOff>38100</xdr:rowOff>
              </from>
              <to>
                <xdr:col>1</xdr:col>
                <xdr:colOff>885825</xdr:colOff>
                <xdr:row>11</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1095375</xdr:colOff>
                <xdr:row>2</xdr:row>
                <xdr:rowOff>47625</xdr:rowOff>
              </from>
              <to>
                <xdr:col>1</xdr:col>
                <xdr:colOff>2009775</xdr:colOff>
                <xdr:row>6</xdr:row>
                <xdr:rowOff>85725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1104900</xdr:colOff>
                <xdr:row>7</xdr:row>
                <xdr:rowOff>95250</xdr:rowOff>
              </from>
              <to>
                <xdr:col>1</xdr:col>
                <xdr:colOff>2019300</xdr:colOff>
                <xdr:row>11</xdr:row>
                <xdr:rowOff>133350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1971</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3845274</v>
      </c>
      <c r="C8" s="1813">
        <f>'Acct Summary 7-8'!D8</f>
        <v>589583</v>
      </c>
      <c r="D8" s="1813">
        <f>'Acct Summary 7-8'!F8</f>
        <v>405271</v>
      </c>
      <c r="E8" s="1813">
        <f>'Acct Summary 7-8'!I8</f>
        <v>42990</v>
      </c>
      <c r="F8" s="1813">
        <f>SUM(B8:E8)</f>
        <v>4883118</v>
      </c>
    </row>
    <row r="9" spans="1:8" s="858" customFormat="1" ht="14.25" customHeight="1" thickBot="1" x14ac:dyDescent="0.25">
      <c r="A9" s="857" t="s">
        <v>1353</v>
      </c>
      <c r="B9" s="1814">
        <f>'Acct Summary 7-8'!C17</f>
        <v>3801449</v>
      </c>
      <c r="C9" s="1814">
        <f>'Acct Summary 7-8'!D17</f>
        <v>483742</v>
      </c>
      <c r="D9" s="1814">
        <f>'Acct Summary 7-8'!F17</f>
        <v>392317</v>
      </c>
      <c r="E9" s="1813"/>
      <c r="F9" s="1813">
        <f>SUM(B9:E9)</f>
        <v>4677508</v>
      </c>
    </row>
    <row r="10" spans="1:8" s="858" customFormat="1" ht="14.25" thickTop="1" thickBot="1" x14ac:dyDescent="0.25">
      <c r="A10" s="859" t="s">
        <v>1354</v>
      </c>
      <c r="B10" s="1815">
        <f>(B8-B9)</f>
        <v>43825</v>
      </c>
      <c r="C10" s="1815">
        <f>(C8-C9)</f>
        <v>105841</v>
      </c>
      <c r="D10" s="1815">
        <f>(D8-D9)</f>
        <v>12954</v>
      </c>
      <c r="E10" s="1814">
        <f>(E8-E9)</f>
        <v>42990</v>
      </c>
      <c r="F10" s="1816">
        <f>SUM(F8-F9)</f>
        <v>205610</v>
      </c>
    </row>
    <row r="11" spans="1:8" s="858" customFormat="1" ht="14.25" thickTop="1" thickBot="1" x14ac:dyDescent="0.25">
      <c r="A11" s="860" t="s">
        <v>1902</v>
      </c>
      <c r="B11" s="1817">
        <f>'Acct Summary 7-8'!C81</f>
        <v>492004</v>
      </c>
      <c r="C11" s="1817">
        <f>'Acct Summary 7-8'!D81</f>
        <v>267165</v>
      </c>
      <c r="D11" s="1817">
        <f>'Acct Summary 7-8'!F81</f>
        <v>205928</v>
      </c>
      <c r="E11" s="1817">
        <f>'Acct Summary 7-8'!I81</f>
        <v>1089336</v>
      </c>
      <c r="F11" s="1818">
        <f>SUM(B11:E11)</f>
        <v>2054433</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59" colorId="8" zoomScale="110" zoomScaleNormal="110" workbookViewId="0">
      <selection activeCell="AD63" activeCellId="1" sqref="AB42 AD63:AE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29'!$D$37&gt;0,"OK","PLEASE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9" t="s">
        <v>1977</v>
      </c>
    </row>
    <row r="2" spans="1:7" ht="15.75" x14ac:dyDescent="0.25">
      <c r="A2" t="s">
        <v>260</v>
      </c>
      <c r="B2" s="135">
        <f>COVER!A13</f>
        <v>30073050002</v>
      </c>
      <c r="E2" s="1542">
        <v>2020</v>
      </c>
      <c r="F2" s="1542">
        <v>1</v>
      </c>
      <c r="G2" s="1898">
        <v>101000300</v>
      </c>
    </row>
    <row r="3" spans="1:7" ht="15" x14ac:dyDescent="0.25">
      <c r="A3" t="s">
        <v>950</v>
      </c>
      <c r="B3" s="135" t="str">
        <f>COVER!A15</f>
        <v>Perry</v>
      </c>
      <c r="E3" s="1830" t="s">
        <v>1970</v>
      </c>
      <c r="F3" s="1830" t="s">
        <v>1969</v>
      </c>
      <c r="G3" s="1898">
        <v>101000400</v>
      </c>
    </row>
    <row r="4" spans="1:7" ht="15" x14ac:dyDescent="0.25">
      <c r="A4" t="s">
        <v>1000</v>
      </c>
      <c r="B4" s="135" t="str">
        <f>COVER!A17</f>
        <v xml:space="preserve"> Pinckneyville SD 50</v>
      </c>
      <c r="E4" s="1828">
        <v>44119</v>
      </c>
      <c r="F4" s="1829">
        <v>44151</v>
      </c>
      <c r="G4" s="1898">
        <v>101000600</v>
      </c>
    </row>
    <row r="5" spans="1:7" ht="15" x14ac:dyDescent="0.25">
      <c r="A5" t="s">
        <v>699</v>
      </c>
      <c r="B5" s="135" t="str">
        <f>COVER!A38</f>
        <v>Gregory Scott Wagner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Cheryl Graff</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060-004252</v>
      </c>
      <c r="G15" s="1898">
        <v>402100400</v>
      </c>
    </row>
    <row r="16" spans="1:7" ht="15" x14ac:dyDescent="0.25">
      <c r="A16" t="s">
        <v>419</v>
      </c>
      <c r="B16" s="135" t="str">
        <f>COVER!T13</f>
        <v>Emling &amp; Hoffman, PC</v>
      </c>
      <c r="G16" s="1898">
        <v>402100600</v>
      </c>
    </row>
    <row r="17" spans="1:7" ht="15" x14ac:dyDescent="0.25">
      <c r="A17" t="s">
        <v>878</v>
      </c>
      <c r="B17" s="135" t="str">
        <f>COVER!T15</f>
        <v>Sarah Kary</v>
      </c>
      <c r="G17" s="1898">
        <v>402100800</v>
      </c>
    </row>
    <row r="18" spans="1:7" ht="15" x14ac:dyDescent="0.25">
      <c r="A18" t="s">
        <v>1140</v>
      </c>
      <c r="B18" s="135" t="str">
        <f>COVER!T17</f>
        <v>105 East Main Street</v>
      </c>
      <c r="G18" s="1898">
        <v>102200300</v>
      </c>
    </row>
    <row r="19" spans="1:7" ht="15" x14ac:dyDescent="0.25">
      <c r="A19" t="s">
        <v>880</v>
      </c>
      <c r="B19" s="135" t="str">
        <f>COVER!T25</f>
        <v>sarahkary@emlingcpa.com</v>
      </c>
      <c r="G19" s="1898">
        <v>102200400</v>
      </c>
    </row>
    <row r="20" spans="1:7" ht="15" x14ac:dyDescent="0.25">
      <c r="A20" t="s">
        <v>881</v>
      </c>
      <c r="B20" s="135" t="str">
        <f>COVER!T19</f>
        <v xml:space="preserve">DuQuoin </v>
      </c>
      <c r="G20" s="1898">
        <v>102200600</v>
      </c>
    </row>
    <row r="21" spans="1:7" ht="15" x14ac:dyDescent="0.25">
      <c r="A21" t="s">
        <v>476</v>
      </c>
      <c r="B21" s="135" t="str">
        <f>COVER!X19</f>
        <v>IL</v>
      </c>
      <c r="G21" s="1898">
        <v>102200800</v>
      </c>
    </row>
    <row r="22" spans="1:7" ht="15" x14ac:dyDescent="0.25">
      <c r="A22" t="s">
        <v>882</v>
      </c>
      <c r="B22" s="135">
        <f>COVER!Z19</f>
        <v>62832</v>
      </c>
      <c r="G22" s="1898">
        <v>102300300</v>
      </c>
    </row>
    <row r="23" spans="1:7" ht="15" x14ac:dyDescent="0.25">
      <c r="A23" t="s">
        <v>1142</v>
      </c>
      <c r="B23" s="135" t="str">
        <f>COVER!T21</f>
        <v>618-542-4747</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Yes</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492004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492004</v>
      </c>
      <c r="D92" s="2" t="str">
        <f t="shared" si="0"/>
        <v>Error?</v>
      </c>
      <c r="G92" s="1898">
        <v>102640600</v>
      </c>
    </row>
    <row r="93" spans="1:7" ht="15" x14ac:dyDescent="0.25">
      <c r="A93" s="5">
        <v>32</v>
      </c>
      <c r="B93" s="1832">
        <f>'Assets-Liab 5-6'!C41</f>
        <v>492004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267165</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267165</v>
      </c>
      <c r="D123" s="2" t="str">
        <f t="shared" si="0"/>
        <v>Error?</v>
      </c>
      <c r="G123" s="1898">
        <v>203000400</v>
      </c>
    </row>
    <row r="124" spans="1:7" ht="15" x14ac:dyDescent="0.25">
      <c r="A124" s="5">
        <v>63</v>
      </c>
      <c r="B124" s="1832">
        <f>'Assets-Liab 5-6'!D41</f>
        <v>267165</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393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393</v>
      </c>
      <c r="D140" s="2" t="str">
        <f t="shared" si="1"/>
        <v>Error?</v>
      </c>
    </row>
    <row r="141" spans="1:7" x14ac:dyDescent="0.2">
      <c r="A141" s="5">
        <v>80</v>
      </c>
      <c r="B141" s="1832">
        <f>'Assets-Liab 5-6'!E41</f>
        <v>393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205928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205928</v>
      </c>
      <c r="D170" s="2" t="str">
        <f t="shared" si="1"/>
        <v>Error?</v>
      </c>
    </row>
    <row r="171" spans="1:4" x14ac:dyDescent="0.2">
      <c r="A171" s="5">
        <v>110</v>
      </c>
      <c r="B171" s="1832">
        <f>'Assets-Liab 5-6'!F41</f>
        <v>205928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382336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382336</v>
      </c>
      <c r="D189" s="2" t="str">
        <f t="shared" si="1"/>
        <v>Error?</v>
      </c>
    </row>
    <row r="190" spans="1:4" x14ac:dyDescent="0.2">
      <c r="A190" s="5">
        <v>129</v>
      </c>
      <c r="B190" s="1832">
        <f>'Assets-Liab 5-6'!G41</f>
        <v>382336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998457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998457</v>
      </c>
      <c r="D212" s="2" t="str">
        <f t="shared" si="2"/>
        <v>Error?</v>
      </c>
    </row>
    <row r="213" spans="1:4" x14ac:dyDescent="0.2">
      <c r="A213" s="12">
        <v>152</v>
      </c>
      <c r="B213" s="1832">
        <f>'Assets-Liab 5-6'!H41</f>
        <v>998457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104174</v>
      </c>
      <c r="D273" s="2" t="str">
        <f t="shared" si="3"/>
        <v>Error?</v>
      </c>
    </row>
    <row r="274" spans="1:4" x14ac:dyDescent="0.2">
      <c r="A274" s="5">
        <v>213</v>
      </c>
      <c r="B274" s="1832">
        <f>'Assets-Liab 5-6'!M17</f>
        <v>7296968</v>
      </c>
      <c r="D274" s="2" t="str">
        <f t="shared" si="3"/>
        <v>Error?</v>
      </c>
    </row>
    <row r="275" spans="1:4" x14ac:dyDescent="0.2">
      <c r="A275" s="5">
        <v>214</v>
      </c>
      <c r="B275" s="1832">
        <f>'Assets-Liab 5-6'!M18</f>
        <v>0</v>
      </c>
      <c r="D275" s="2" t="str">
        <f t="shared" si="3"/>
        <v>Error?</v>
      </c>
    </row>
    <row r="276" spans="1:4" x14ac:dyDescent="0.2">
      <c r="A276" s="5">
        <v>215</v>
      </c>
      <c r="B276" s="1832">
        <f>'Assets-Liab 5-6'!M19</f>
        <v>1258402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8659544</v>
      </c>
      <c r="C279" s="2" t="s">
        <v>569</v>
      </c>
      <c r="D279" s="2" t="str">
        <f t="shared" si="3"/>
        <v>Error?</v>
      </c>
    </row>
    <row r="280" spans="1:4" x14ac:dyDescent="0.2">
      <c r="A280" s="5">
        <v>219</v>
      </c>
      <c r="B280" s="1832">
        <f>'Assets-Liab 5-6'!M40</f>
        <v>8659544</v>
      </c>
      <c r="D280" s="2" t="str">
        <f t="shared" si="3"/>
        <v>Error?</v>
      </c>
    </row>
    <row r="281" spans="1:4" x14ac:dyDescent="0.2">
      <c r="A281" s="5">
        <v>220</v>
      </c>
      <c r="B281" s="1832">
        <f>'Assets-Liab 5-6'!M41</f>
        <v>8659544</v>
      </c>
      <c r="C281" s="2" t="s">
        <v>569</v>
      </c>
      <c r="D281" s="2" t="str">
        <f t="shared" si="3"/>
        <v>Error?</v>
      </c>
    </row>
    <row r="282" spans="1:4" x14ac:dyDescent="0.2">
      <c r="A282" s="5">
        <v>221</v>
      </c>
      <c r="B282" s="1832">
        <f>'Assets-Liab 5-6'!N21</f>
        <v>393</v>
      </c>
      <c r="D282" s="2" t="str">
        <f t="shared" si="3"/>
        <v>Error?</v>
      </c>
    </row>
    <row r="283" spans="1:4" x14ac:dyDescent="0.2">
      <c r="A283" s="5">
        <v>222</v>
      </c>
      <c r="B283" s="1832">
        <f>'Assets-Liab 5-6'!N22</f>
        <v>385207</v>
      </c>
      <c r="D283" s="2" t="str">
        <f t="shared" si="3"/>
        <v>Error?</v>
      </c>
    </row>
    <row r="284" spans="1:4" x14ac:dyDescent="0.2">
      <c r="A284" s="5">
        <v>223</v>
      </c>
      <c r="B284" s="1832">
        <f>'Assets-Liab 5-6'!N23</f>
        <v>385600</v>
      </c>
      <c r="C284" s="2" t="s">
        <v>569</v>
      </c>
      <c r="D284" s="2" t="str">
        <f t="shared" si="3"/>
        <v>Error?</v>
      </c>
    </row>
    <row r="285" spans="1:4" x14ac:dyDescent="0.2">
      <c r="A285" s="5">
        <v>224</v>
      </c>
      <c r="B285" s="1832">
        <f>'Assets-Liab 5-6'!N36</f>
        <v>385600</v>
      </c>
      <c r="D285" s="2" t="str">
        <f t="shared" si="3"/>
        <v>Error?</v>
      </c>
    </row>
    <row r="286" spans="1:4" x14ac:dyDescent="0.2">
      <c r="A286" s="10">
        <v>225</v>
      </c>
      <c r="B286" s="1832"/>
      <c r="D286" s="2" t="str">
        <f t="shared" si="3"/>
        <v>OK</v>
      </c>
    </row>
    <row r="287" spans="1:4" x14ac:dyDescent="0.2">
      <c r="A287" s="5">
        <v>226</v>
      </c>
      <c r="B287" s="1832">
        <f>'Assets-Liab 5-6'!N37</f>
        <v>385600</v>
      </c>
      <c r="C287" s="2" t="s">
        <v>569</v>
      </c>
      <c r="D287" s="2" t="str">
        <f t="shared" si="3"/>
        <v>Error?</v>
      </c>
    </row>
    <row r="288" spans="1:4" x14ac:dyDescent="0.2">
      <c r="A288" s="5">
        <v>227</v>
      </c>
      <c r="B288" s="1832">
        <f>'Assets-Liab 5-6'!N41</f>
        <v>385600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1556925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20221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1853405</v>
      </c>
      <c r="C720" s="2" t="s">
        <v>569</v>
      </c>
      <c r="D720" s="2" t="str">
        <f t="shared" si="10"/>
        <v>Error?</v>
      </c>
    </row>
    <row r="721" spans="1:4" x14ac:dyDescent="0.2">
      <c r="A721" s="5">
        <v>660</v>
      </c>
      <c r="B721" s="1832">
        <f>'Expenditures 15-22'!C36</f>
        <v>41638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52496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61434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155568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400</v>
      </c>
      <c r="D732" s="2" t="str">
        <f t="shared" si="10"/>
        <v>Error?</v>
      </c>
    </row>
    <row r="733" spans="1:4" x14ac:dyDescent="0.2">
      <c r="A733" s="5">
        <v>672</v>
      </c>
      <c r="B733" s="1832">
        <f>'Expenditures 15-22'!C50</f>
        <v>118716</v>
      </c>
      <c r="D733" s="2" t="str">
        <f t="shared" si="10"/>
        <v>Error?</v>
      </c>
    </row>
    <row r="734" spans="1:4" x14ac:dyDescent="0.2">
      <c r="A734" s="5">
        <v>673</v>
      </c>
      <c r="B734" s="1832">
        <f>'Expenditures 15-22'!C53</f>
        <v>119116</v>
      </c>
      <c r="C734" s="2" t="s">
        <v>569</v>
      </c>
      <c r="D734" s="2" t="str">
        <f t="shared" si="10"/>
        <v>Error?</v>
      </c>
    </row>
    <row r="735" spans="1:4" x14ac:dyDescent="0.2">
      <c r="A735" s="5">
        <v>674</v>
      </c>
      <c r="B735" s="1832">
        <f>'Expenditures 15-22'!C55</f>
        <v>139770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139770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13000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85569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98569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513023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2366428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438508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3317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506162</v>
      </c>
      <c r="C778" s="2" t="s">
        <v>569</v>
      </c>
      <c r="D778" s="2" t="str">
        <f t="shared" si="11"/>
        <v>Error?</v>
      </c>
    </row>
    <row r="779" spans="1:4" x14ac:dyDescent="0.2">
      <c r="A779" s="5">
        <v>718</v>
      </c>
      <c r="B779" s="1832">
        <f>'Expenditures 15-22'!D36</f>
        <v>15701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13300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18248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47249</v>
      </c>
      <c r="C785" s="2" t="s">
        <v>569</v>
      </c>
      <c r="D785" s="2" t="str">
        <f t="shared" si="11"/>
        <v>Error?</v>
      </c>
    </row>
    <row r="786" spans="1:4" x14ac:dyDescent="0.2">
      <c r="A786" s="5">
        <v>725</v>
      </c>
      <c r="B786" s="1832">
        <f>'Expenditures 15-22'!D44</f>
        <v>9159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9159</v>
      </c>
      <c r="C789" s="2" t="s">
        <v>569</v>
      </c>
      <c r="D789" s="2" t="str">
        <f t="shared" si="11"/>
        <v>Error?</v>
      </c>
    </row>
    <row r="790" spans="1:4" x14ac:dyDescent="0.2">
      <c r="A790" s="5">
        <v>729</v>
      </c>
      <c r="B790" s="1832">
        <f>'Expenditures 15-22'!D49</f>
        <v>139</v>
      </c>
      <c r="D790" s="2" t="str">
        <f t="shared" si="11"/>
        <v>Error?</v>
      </c>
    </row>
    <row r="791" spans="1:4" x14ac:dyDescent="0.2">
      <c r="A791" s="5">
        <v>730</v>
      </c>
      <c r="B791" s="1832">
        <f>'Expenditures 15-22'!D50</f>
        <v>44068</v>
      </c>
      <c r="D791" s="2" t="str">
        <f t="shared" si="11"/>
        <v>Error?</v>
      </c>
    </row>
    <row r="792" spans="1:4" x14ac:dyDescent="0.2">
      <c r="A792" s="5">
        <v>731</v>
      </c>
      <c r="B792" s="1832">
        <f>'Expenditures 15-22'!D53</f>
        <v>44207</v>
      </c>
      <c r="C792" s="2" t="s">
        <v>569</v>
      </c>
      <c r="D792" s="2" t="str">
        <f t="shared" si="11"/>
        <v>Error?</v>
      </c>
    </row>
    <row r="793" spans="1:4" x14ac:dyDescent="0.2">
      <c r="A793" s="5">
        <v>732</v>
      </c>
      <c r="B793" s="1832">
        <f>'Expenditures 15-22'!D55</f>
        <v>47777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47777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11227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11227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159619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665781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37730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10505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49893</v>
      </c>
      <c r="C836" s="2" t="s">
        <v>569</v>
      </c>
      <c r="D836" s="2" t="str">
        <f t="shared" si="12"/>
        <v>Error?</v>
      </c>
    </row>
    <row r="837" spans="1:4" x14ac:dyDescent="0.2">
      <c r="A837" s="5">
        <v>776</v>
      </c>
      <c r="B837" s="1832">
        <f>'Expenditures 15-22'!E36</f>
        <v>93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325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523</v>
      </c>
      <c r="C843" s="2" t="s">
        <v>569</v>
      </c>
      <c r="D843" s="2" t="str">
        <f t="shared" si="12"/>
        <v>Error?</v>
      </c>
    </row>
    <row r="844" spans="1:4" x14ac:dyDescent="0.2">
      <c r="A844" s="5">
        <v>783</v>
      </c>
      <c r="B844" s="1832">
        <f>'Expenditures 15-22'!E44</f>
        <v>38994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7196</v>
      </c>
      <c r="D846" s="2" t="str">
        <f t="shared" si="12"/>
        <v>Error?</v>
      </c>
    </row>
    <row r="847" spans="1:4" x14ac:dyDescent="0.2">
      <c r="A847" s="5">
        <v>786</v>
      </c>
      <c r="B847" s="1832">
        <f>'Expenditures 15-22'!E47</f>
        <v>46190</v>
      </c>
      <c r="C847" s="2" t="s">
        <v>569</v>
      </c>
      <c r="D847" s="2" t="str">
        <f t="shared" si="12"/>
        <v>Error?</v>
      </c>
    </row>
    <row r="848" spans="1:4" x14ac:dyDescent="0.2">
      <c r="A848" s="5">
        <v>787</v>
      </c>
      <c r="B848" s="1832">
        <f>'Expenditures 15-22'!E49</f>
        <v>8051</v>
      </c>
      <c r="D848" s="2" t="str">
        <f t="shared" si="12"/>
        <v>Error?</v>
      </c>
    </row>
    <row r="849" spans="1:4" x14ac:dyDescent="0.2">
      <c r="A849" s="5">
        <v>788</v>
      </c>
      <c r="B849" s="1832">
        <f>'Expenditures 15-22'!E50</f>
        <v>7798</v>
      </c>
      <c r="D849" s="2" t="str">
        <f t="shared" si="12"/>
        <v>Error?</v>
      </c>
    </row>
    <row r="850" spans="1:4" x14ac:dyDescent="0.2">
      <c r="A850" s="5">
        <v>789</v>
      </c>
      <c r="B850" s="1832">
        <f>'Expenditures 15-22'!E53</f>
        <v>17644</v>
      </c>
      <c r="C850" s="2" t="s">
        <v>569</v>
      </c>
      <c r="D850" s="2" t="str">
        <f t="shared" si="12"/>
        <v>Error?</v>
      </c>
    </row>
    <row r="851" spans="1:4" x14ac:dyDescent="0.2">
      <c r="A851" s="5">
        <v>790</v>
      </c>
      <c r="B851" s="1832">
        <f>'Expenditures 15-22'!E55</f>
        <v>175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6650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1133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7783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49980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49980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122295</v>
      </c>
      <c r="C871" s="2" t="s">
        <v>569</v>
      </c>
      <c r="D871" s="2" t="str">
        <f t="shared" si="12"/>
        <v>Error?</v>
      </c>
    </row>
    <row r="872" spans="1:4" x14ac:dyDescent="0.2">
      <c r="A872" s="5">
        <v>811</v>
      </c>
      <c r="B872" s="1832">
        <f>'Expenditures 15-22'!E75</f>
        <v>3977</v>
      </c>
      <c r="D872" s="2" t="str">
        <f t="shared" si="12"/>
        <v>Error?</v>
      </c>
    </row>
    <row r="873" spans="1:4" x14ac:dyDescent="0.2">
      <c r="A873" s="5">
        <v>812</v>
      </c>
      <c r="B873" s="1832">
        <f>'Expenditures 15-22'!E114</f>
        <v>332912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28671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8136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144061</v>
      </c>
      <c r="C894" s="2" t="s">
        <v>569</v>
      </c>
      <c r="D894" s="2" t="str">
        <f t="shared" si="12"/>
        <v>Error?</v>
      </c>
    </row>
    <row r="895" spans="1:4" x14ac:dyDescent="0.2">
      <c r="A895" s="5">
        <v>834</v>
      </c>
      <c r="B895" s="1832">
        <f>'Expenditures 15-22'!F36</f>
        <v>143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1603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221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1967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2954</v>
      </c>
      <c r="D906" s="2" t="str">
        <f t="shared" si="13"/>
        <v>Error?</v>
      </c>
    </row>
    <row r="907" spans="1:4" x14ac:dyDescent="0.2">
      <c r="A907" s="5">
        <v>846</v>
      </c>
      <c r="B907" s="1832">
        <f>'Expenditures 15-22'!F50</f>
        <v>2703</v>
      </c>
      <c r="D907" s="2" t="str">
        <f t="shared" si="13"/>
        <v>Error?</v>
      </c>
    </row>
    <row r="908" spans="1:4" x14ac:dyDescent="0.2">
      <c r="A908" s="5">
        <v>847</v>
      </c>
      <c r="B908" s="1832">
        <f>'Expenditures 15-22'!F53</f>
        <v>5657</v>
      </c>
      <c r="C908" s="2" t="s">
        <v>569</v>
      </c>
      <c r="D908" s="2" t="str">
        <f t="shared" si="13"/>
        <v>Error?</v>
      </c>
    </row>
    <row r="909" spans="1:4" x14ac:dyDescent="0.2">
      <c r="A909" s="5">
        <v>848</v>
      </c>
      <c r="B909" s="1832">
        <f>'Expenditures 15-22'!F55</f>
        <v>1804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1804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4163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75487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79650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395</v>
      </c>
      <c r="D928" s="2" t="str">
        <f t="shared" si="13"/>
        <v>Error?</v>
      </c>
    </row>
    <row r="929" spans="1:4" x14ac:dyDescent="0.2">
      <c r="A929" s="5">
        <v>868</v>
      </c>
      <c r="B929" s="1832">
        <f>'Expenditures 15-22'!F74</f>
        <v>89473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233534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4198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18001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2686</v>
      </c>
      <c r="D960" s="2" t="str">
        <f t="shared" si="14"/>
        <v>Error?</v>
      </c>
    </row>
    <row r="961" spans="1:4" x14ac:dyDescent="0.2">
      <c r="A961" s="5">
        <v>900</v>
      </c>
      <c r="B961" s="1832">
        <f>'Expenditures 15-22'!G45</f>
        <v>24750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27436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999</v>
      </c>
      <c r="D965" s="2" t="str">
        <f t="shared" si="14"/>
        <v>Error?</v>
      </c>
    </row>
    <row r="966" spans="1:4" x14ac:dyDescent="0.2">
      <c r="A966" s="5">
        <v>905</v>
      </c>
      <c r="B966" s="1832">
        <f>'Expenditures 15-22'!G53</f>
        <v>999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28435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46436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1396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2992</v>
      </c>
      <c r="D1022" s="2" t="str">
        <f t="shared" si="14"/>
        <v>Error?</v>
      </c>
    </row>
    <row r="1023" spans="1:4" x14ac:dyDescent="0.2">
      <c r="A1023" s="5">
        <v>962</v>
      </c>
      <c r="B1023" s="1832">
        <f>'Expenditures 15-22'!H50</f>
        <v>35</v>
      </c>
      <c r="D1023" s="2" t="str">
        <f t="shared" ref="D1023:D1086" si="15">IF(ISBLANK(B1023),"OK",IF(A1023-B1023=0,"OK","Error?"))</f>
        <v>Error?</v>
      </c>
    </row>
    <row r="1024" spans="1:4" x14ac:dyDescent="0.2">
      <c r="A1024" s="5">
        <v>963</v>
      </c>
      <c r="B1024" s="1832">
        <f>'Expenditures 15-22'!H53</f>
        <v>3027</v>
      </c>
      <c r="C1024" s="2" t="s">
        <v>569</v>
      </c>
      <c r="D1024" s="2" t="str">
        <f t="shared" si="15"/>
        <v>Error?</v>
      </c>
    </row>
    <row r="1025" spans="1:4" x14ac:dyDescent="0.2">
      <c r="A1025" s="5">
        <v>964</v>
      </c>
      <c r="B1025" s="1832">
        <f>'Expenditures 15-22'!H55</f>
        <v>347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347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3395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151567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156358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2066032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43575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2572918</v>
      </c>
      <c r="C1108" s="2" t="s">
        <v>569</v>
      </c>
      <c r="D1108" s="2" t="str">
        <f t="shared" si="16"/>
        <v>Error?</v>
      </c>
    </row>
    <row r="1109" spans="1:4" x14ac:dyDescent="0.2">
      <c r="A1109" s="5">
        <v>1048</v>
      </c>
      <c r="B1109" s="1832">
        <f>'Expenditures 15-22'!K36</f>
        <v>57575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67504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80228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205307</v>
      </c>
      <c r="C1115" s="2" t="s">
        <v>569</v>
      </c>
      <c r="D1115" s="2" t="str">
        <f t="shared" si="16"/>
        <v>Error?</v>
      </c>
    </row>
    <row r="1116" spans="1:4" x14ac:dyDescent="0.2">
      <c r="A1116" s="5">
        <v>1055</v>
      </c>
      <c r="B1116" s="1832">
        <f>'Expenditures 15-22'!K44</f>
        <v>50839</v>
      </c>
      <c r="C1116" s="2" t="s">
        <v>569</v>
      </c>
      <c r="D1116" s="2" t="str">
        <f t="shared" si="16"/>
        <v>Error?</v>
      </c>
    </row>
    <row r="1117" spans="1:4" x14ac:dyDescent="0.2">
      <c r="A1117" s="5">
        <v>1056</v>
      </c>
      <c r="B1117" s="1832">
        <f>'Expenditures 15-22'!K45</f>
        <v>24750</v>
      </c>
      <c r="C1117" s="2" t="s">
        <v>569</v>
      </c>
      <c r="D1117" s="2" t="str">
        <f t="shared" si="16"/>
        <v>Error?</v>
      </c>
    </row>
    <row r="1118" spans="1:4" x14ac:dyDescent="0.2">
      <c r="A1118" s="5">
        <v>1057</v>
      </c>
      <c r="B1118" s="1832">
        <f>'Expenditures 15-22'!K46</f>
        <v>7196</v>
      </c>
      <c r="C1118" s="2" t="s">
        <v>569</v>
      </c>
      <c r="D1118" s="2" t="str">
        <f t="shared" si="16"/>
        <v>Error?</v>
      </c>
    </row>
    <row r="1119" spans="1:4" x14ac:dyDescent="0.2">
      <c r="A1119" s="5">
        <v>1058</v>
      </c>
      <c r="B1119" s="1832">
        <f>'Expenditures 15-22'!K47</f>
        <v>82785</v>
      </c>
      <c r="C1119" s="2" t="s">
        <v>569</v>
      </c>
      <c r="D1119" s="2" t="str">
        <f t="shared" si="16"/>
        <v>Error?</v>
      </c>
    </row>
    <row r="1120" spans="1:4" x14ac:dyDescent="0.2">
      <c r="A1120" s="5">
        <v>1059</v>
      </c>
      <c r="B1120" s="1832">
        <f>'Expenditures 15-22'!K49</f>
        <v>14536</v>
      </c>
      <c r="C1120" s="2" t="s">
        <v>569</v>
      </c>
      <c r="D1120" s="2" t="str">
        <f t="shared" si="16"/>
        <v>Error?</v>
      </c>
    </row>
    <row r="1121" spans="1:4" x14ac:dyDescent="0.2">
      <c r="A1121" s="5">
        <v>1060</v>
      </c>
      <c r="B1121" s="1832">
        <f>'Expenditures 15-22'!K50</f>
        <v>174319</v>
      </c>
      <c r="C1121" s="2" t="s">
        <v>569</v>
      </c>
      <c r="D1121" s="2" t="str">
        <f t="shared" si="16"/>
        <v>Error?</v>
      </c>
    </row>
    <row r="1122" spans="1:4" x14ac:dyDescent="0.2">
      <c r="A1122" s="5">
        <v>1061</v>
      </c>
      <c r="B1122" s="1832">
        <f>'Expenditures 15-22'!K53</f>
        <v>190650</v>
      </c>
      <c r="C1122" s="2" t="s">
        <v>569</v>
      </c>
      <c r="D1122" s="2" t="str">
        <f t="shared" si="16"/>
        <v>Error?</v>
      </c>
    </row>
    <row r="1123" spans="1:4" x14ac:dyDescent="0.2">
      <c r="A1123" s="5">
        <v>1062</v>
      </c>
      <c r="B1123" s="1832">
        <f>'Expenditures 15-22'!K55</f>
        <v>189873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189873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13000</v>
      </c>
      <c r="C1127" s="2" t="s">
        <v>569</v>
      </c>
      <c r="D1127" s="2" t="str">
        <f t="shared" si="16"/>
        <v>Error?</v>
      </c>
    </row>
    <row r="1128" spans="1:4" x14ac:dyDescent="0.2">
      <c r="A1128" s="5">
        <v>1067</v>
      </c>
      <c r="B1128" s="1832">
        <f>'Expenditures 15-22'!K61</f>
        <v>10813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173437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197250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49980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49980</v>
      </c>
      <c r="C1141" s="2" t="s">
        <v>569</v>
      </c>
      <c r="D1141" s="2" t="str">
        <f t="shared" si="16"/>
        <v>Error?</v>
      </c>
    </row>
    <row r="1142" spans="1:4" x14ac:dyDescent="0.2">
      <c r="A1142" s="5">
        <v>1081</v>
      </c>
      <c r="B1142" s="1832">
        <f>'Expenditures 15-22'!K73</f>
        <v>395</v>
      </c>
      <c r="C1142" s="2" t="s">
        <v>569</v>
      </c>
      <c r="D1142" s="2" t="str">
        <f t="shared" si="16"/>
        <v>Error?</v>
      </c>
    </row>
    <row r="1143" spans="1:4" x14ac:dyDescent="0.2">
      <c r="A1143" s="5">
        <v>1082</v>
      </c>
      <c r="B1143" s="1832">
        <f>'Expenditures 15-22'!K74</f>
        <v>916240</v>
      </c>
      <c r="C1143" s="2" t="s">
        <v>569</v>
      </c>
      <c r="D1143" s="2" t="str">
        <f t="shared" si="16"/>
        <v>Error?</v>
      </c>
    </row>
    <row r="1144" spans="1:4" x14ac:dyDescent="0.2">
      <c r="A1144" s="5">
        <v>1083</v>
      </c>
      <c r="B1144" s="1832">
        <f>'Expenditures 15-22'!K75</f>
        <v>3977</v>
      </c>
      <c r="C1144" s="2" t="s">
        <v>569</v>
      </c>
      <c r="D1144" s="2" t="str">
        <f t="shared" si="16"/>
        <v>Error?</v>
      </c>
    </row>
    <row r="1145" spans="1:4" x14ac:dyDescent="0.2">
      <c r="A1145" s="5">
        <v>1084</v>
      </c>
      <c r="B1145" s="1832">
        <f>'Expenditures 15-22'!K102</f>
        <v>308314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3801449</v>
      </c>
      <c r="C1152" s="2" t="s">
        <v>569</v>
      </c>
      <c r="D1152" s="2" t="str">
        <f t="shared" si="17"/>
        <v>Error?</v>
      </c>
    </row>
    <row r="1153" spans="1:4" x14ac:dyDescent="0.2">
      <c r="A1153" s="5">
        <v>1092</v>
      </c>
      <c r="B1153" s="1832">
        <f>'Expenditures 15-22'!K115</f>
        <v>43825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194312</v>
      </c>
      <c r="D1221" s="2" t="str">
        <f t="shared" si="18"/>
        <v>Error?</v>
      </c>
    </row>
    <row r="1222" spans="1:4" x14ac:dyDescent="0.2">
      <c r="A1222" s="10">
        <v>1161</v>
      </c>
      <c r="B1222" s="1832"/>
      <c r="D1222" s="2" t="str">
        <f t="shared" si="18"/>
        <v>OK</v>
      </c>
    </row>
    <row r="1223" spans="1:4" x14ac:dyDescent="0.2">
      <c r="A1223" s="5">
        <v>1162</v>
      </c>
      <c r="B1223" s="1832">
        <f>'Expenditures 15-22'!C127</f>
        <v>194312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194312</v>
      </c>
      <c r="C1225" s="2" t="s">
        <v>569</v>
      </c>
      <c r="D1225" s="2" t="str">
        <f t="shared" si="18"/>
        <v>Error?</v>
      </c>
    </row>
    <row r="1226" spans="1:4" x14ac:dyDescent="0.2">
      <c r="A1226" s="5">
        <v>1165</v>
      </c>
      <c r="B1226" s="1832">
        <f>'Expenditures 15-22'!C151</f>
        <v>194312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51979</v>
      </c>
      <c r="D1229" s="2" t="str">
        <f t="shared" si="18"/>
        <v>Error?</v>
      </c>
    </row>
    <row r="1230" spans="1:4" x14ac:dyDescent="0.2">
      <c r="A1230" s="10">
        <v>1169</v>
      </c>
      <c r="B1230" s="1832"/>
      <c r="D1230" s="2" t="str">
        <f t="shared" si="18"/>
        <v>OK</v>
      </c>
    </row>
    <row r="1231" spans="1:4" x14ac:dyDescent="0.2">
      <c r="A1231" s="5">
        <v>1170</v>
      </c>
      <c r="B1231" s="1832">
        <f>'Expenditures 15-22'!D127</f>
        <v>51979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51979</v>
      </c>
      <c r="C1233" s="2" t="s">
        <v>569</v>
      </c>
      <c r="D1233" s="2" t="str">
        <f t="shared" si="18"/>
        <v>Error?</v>
      </c>
    </row>
    <row r="1234" spans="1:4" x14ac:dyDescent="0.2">
      <c r="A1234" s="5">
        <v>1173</v>
      </c>
      <c r="B1234" s="1832">
        <f>'Expenditures 15-22'!D151</f>
        <v>51979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54878</v>
      </c>
      <c r="D1237" s="2" t="str">
        <f t="shared" si="18"/>
        <v>Error?</v>
      </c>
    </row>
    <row r="1238" spans="1:4" x14ac:dyDescent="0.2">
      <c r="A1238" s="10">
        <v>1177</v>
      </c>
      <c r="B1238" s="1832"/>
      <c r="D1238" s="2" t="str">
        <f t="shared" si="18"/>
        <v>OK</v>
      </c>
    </row>
    <row r="1239" spans="1:4" x14ac:dyDescent="0.2">
      <c r="A1239" s="5">
        <v>1178</v>
      </c>
      <c r="B1239" s="1832">
        <f>'Expenditures 15-22'!E127</f>
        <v>54878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54878</v>
      </c>
      <c r="C1241" s="2" t="s">
        <v>569</v>
      </c>
      <c r="D1241" s="2" t="str">
        <f t="shared" si="18"/>
        <v>Error?</v>
      </c>
    </row>
    <row r="1242" spans="1:4" x14ac:dyDescent="0.2">
      <c r="A1242" s="5">
        <v>1181</v>
      </c>
      <c r="B1242" s="1832">
        <f>'Expenditures 15-22'!E151</f>
        <v>54878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182573</v>
      </c>
      <c r="D1245" s="2" t="str">
        <f t="shared" si="18"/>
        <v>Error?</v>
      </c>
    </row>
    <row r="1246" spans="1:4" x14ac:dyDescent="0.2">
      <c r="A1246" s="10">
        <v>1185</v>
      </c>
      <c r="B1246" s="1832"/>
      <c r="D1246" s="2" t="str">
        <f t="shared" si="18"/>
        <v>OK</v>
      </c>
    </row>
    <row r="1247" spans="1:4" x14ac:dyDescent="0.2">
      <c r="A1247" s="5">
        <v>1186</v>
      </c>
      <c r="B1247" s="1832">
        <f>'Expenditures 15-22'!F127</f>
        <v>182573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182573</v>
      </c>
      <c r="C1249" s="2" t="s">
        <v>569</v>
      </c>
      <c r="D1249" s="2" t="str">
        <f t="shared" si="18"/>
        <v>Error?</v>
      </c>
    </row>
    <row r="1250" spans="1:4" x14ac:dyDescent="0.2">
      <c r="A1250" s="5">
        <v>1189</v>
      </c>
      <c r="B1250" s="1832">
        <f>'Expenditures 15-22'!F151</f>
        <v>182573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483742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483742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483742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483742</v>
      </c>
      <c r="C1288" s="2" t="s">
        <v>569</v>
      </c>
      <c r="D1288" s="2" t="str">
        <f t="shared" si="19"/>
        <v>Error?</v>
      </c>
    </row>
    <row r="1289" spans="1:4" x14ac:dyDescent="0.2">
      <c r="A1289" s="5">
        <v>1228</v>
      </c>
      <c r="B1289" s="1832">
        <f>'Expenditures 15-22'!K152</f>
        <v>105841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20965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128600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149565</v>
      </c>
      <c r="C1317" s="2" t="s">
        <v>569</v>
      </c>
      <c r="D1317" s="2" t="str">
        <f t="shared" si="19"/>
        <v>Error?</v>
      </c>
    </row>
    <row r="1318" spans="1:4" x14ac:dyDescent="0.2">
      <c r="A1318" s="5">
        <v>1257</v>
      </c>
      <c r="B1318" s="1832">
        <f>'Expenditures 15-22'!H174</f>
        <v>149565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20965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128600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149565</v>
      </c>
      <c r="C1331" s="2" t="s">
        <v>569</v>
      </c>
      <c r="D1331" s="2" t="str">
        <f t="shared" si="19"/>
        <v>Error?</v>
      </c>
    </row>
    <row r="1332" spans="1:4" x14ac:dyDescent="0.2">
      <c r="A1332" s="5">
        <v>1271</v>
      </c>
      <c r="B1332" s="1832">
        <f>'Expenditures 15-22'!K174</f>
        <v>149565</v>
      </c>
      <c r="C1332" s="2" t="s">
        <v>569</v>
      </c>
      <c r="D1332" s="2" t="str">
        <f t="shared" si="19"/>
        <v>Error?</v>
      </c>
    </row>
    <row r="1333" spans="1:4" x14ac:dyDescent="0.2">
      <c r="A1333" s="5">
        <v>1272</v>
      </c>
      <c r="B1333" s="1832">
        <f>'Expenditures 15-22'!K175</f>
        <v>331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6103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6103</v>
      </c>
      <c r="C1339" s="2" t="s">
        <v>569</v>
      </c>
      <c r="D1339" s="2" t="str">
        <f t="shared" si="19"/>
        <v>Error?</v>
      </c>
    </row>
    <row r="1340" spans="1:4" x14ac:dyDescent="0.2">
      <c r="A1340" s="5">
        <v>1279</v>
      </c>
      <c r="B1340" s="1832">
        <f>'Expenditures 15-22'!C210</f>
        <v>6103</v>
      </c>
      <c r="C1340" s="2" t="s">
        <v>569</v>
      </c>
      <c r="D1340" s="2" t="str">
        <f t="shared" si="19"/>
        <v>Error?</v>
      </c>
    </row>
    <row r="1341" spans="1:4" x14ac:dyDescent="0.2">
      <c r="A1341" s="5">
        <v>1280</v>
      </c>
      <c r="B1341" s="1832">
        <f>'Expenditures 15-22'!D182</f>
        <v>787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787</v>
      </c>
      <c r="C1345" s="2" t="s">
        <v>569</v>
      </c>
      <c r="D1345" s="2" t="str">
        <f t="shared" si="20"/>
        <v>Error?</v>
      </c>
    </row>
    <row r="1346" spans="1:4" x14ac:dyDescent="0.2">
      <c r="A1346" s="5">
        <v>1285</v>
      </c>
      <c r="B1346" s="1832">
        <f>'Expenditures 15-22'!D210</f>
        <v>787</v>
      </c>
      <c r="C1346" s="2" t="s">
        <v>569</v>
      </c>
      <c r="D1346" s="2" t="str">
        <f t="shared" si="20"/>
        <v>Error?</v>
      </c>
    </row>
    <row r="1347" spans="1:4" x14ac:dyDescent="0.2">
      <c r="A1347" s="5">
        <v>1286</v>
      </c>
      <c r="B1347" s="1832">
        <f>'Expenditures 15-22'!E182</f>
        <v>385427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385427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385427</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392317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392317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392317</v>
      </c>
      <c r="C1388" s="2" t="s">
        <v>569</v>
      </c>
      <c r="D1388" s="2" t="str">
        <f t="shared" si="20"/>
        <v>Error?</v>
      </c>
    </row>
    <row r="1389" spans="1:4" x14ac:dyDescent="0.2">
      <c r="A1389" s="5">
        <v>1328</v>
      </c>
      <c r="B1389" s="1832">
        <f>'Expenditures 15-22'!K211</f>
        <v>12954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862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44810</v>
      </c>
      <c r="C1410" s="2" t="s">
        <v>569</v>
      </c>
      <c r="D1410" s="2" t="str">
        <f t="shared" si="21"/>
        <v>Error?</v>
      </c>
    </row>
    <row r="1411" spans="1:4" x14ac:dyDescent="0.2">
      <c r="A1411" s="5">
        <v>1350</v>
      </c>
      <c r="B1411" s="1832">
        <f>'Expenditures 15-22'!D232</f>
        <v>600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12433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882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13915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30</v>
      </c>
      <c r="D1422" s="2" t="str">
        <f t="shared" si="21"/>
        <v>Error?</v>
      </c>
    </row>
    <row r="1423" spans="1:4" x14ac:dyDescent="0.2">
      <c r="A1423" s="5">
        <v>1362</v>
      </c>
      <c r="B1423" s="1832">
        <f>'Expenditures 15-22'!D246</f>
        <v>13348</v>
      </c>
      <c r="D1423" s="2" t="str">
        <f t="shared" si="21"/>
        <v>Error?</v>
      </c>
    </row>
    <row r="1424" spans="1:4" x14ac:dyDescent="0.2">
      <c r="A1424" s="5">
        <v>1363</v>
      </c>
      <c r="B1424" s="1832">
        <f>'Expenditures 15-22'!D257</f>
        <v>13378</v>
      </c>
      <c r="C1424" s="2" t="s">
        <v>569</v>
      </c>
      <c r="D1424" s="2" t="str">
        <f t="shared" si="21"/>
        <v>Error?</v>
      </c>
    </row>
    <row r="1425" spans="1:4" x14ac:dyDescent="0.2">
      <c r="A1425" s="5">
        <v>1364</v>
      </c>
      <c r="B1425" s="1832">
        <f>'Expenditures 15-22'!D259</f>
        <v>15220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15220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47070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20433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67503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110016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154826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862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44810</v>
      </c>
      <c r="C1474" s="2" t="s">
        <v>569</v>
      </c>
      <c r="D1474" s="2" t="str">
        <f t="shared" si="22"/>
        <v>Error?</v>
      </c>
    </row>
    <row r="1475" spans="1:4" x14ac:dyDescent="0.2">
      <c r="A1475" s="5">
        <v>1414</v>
      </c>
      <c r="B1475" s="1832">
        <f>'Expenditures 15-22'!K232</f>
        <v>600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12433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882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13915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30</v>
      </c>
      <c r="C1486" s="2" t="s">
        <v>569</v>
      </c>
      <c r="D1486" s="2" t="str">
        <f t="shared" si="22"/>
        <v>Error?</v>
      </c>
    </row>
    <row r="1487" spans="1:4" x14ac:dyDescent="0.2">
      <c r="A1487" s="5">
        <v>1426</v>
      </c>
      <c r="B1487" s="1832">
        <f>'Expenditures 15-22'!K246</f>
        <v>13348</v>
      </c>
      <c r="C1487" s="2" t="s">
        <v>569</v>
      </c>
      <c r="D1487" s="2" t="str">
        <f t="shared" si="22"/>
        <v>Error?</v>
      </c>
    </row>
    <row r="1488" spans="1:4" x14ac:dyDescent="0.2">
      <c r="A1488" s="5">
        <v>1427</v>
      </c>
      <c r="B1488" s="1832">
        <f>'Expenditures 15-22'!K257</f>
        <v>13378</v>
      </c>
      <c r="C1488" s="2" t="s">
        <v>569</v>
      </c>
      <c r="D1488" s="2" t="str">
        <f t="shared" si="22"/>
        <v>Error?</v>
      </c>
    </row>
    <row r="1489" spans="1:4" x14ac:dyDescent="0.2">
      <c r="A1489" s="5">
        <v>1428</v>
      </c>
      <c r="B1489" s="1832">
        <f>'Expenditures 15-22'!K259</f>
        <v>15220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15220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47070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20433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67503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110016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154826</v>
      </c>
      <c r="C1517" s="2" t="s">
        <v>569</v>
      </c>
      <c r="D1517" s="2" t="str">
        <f t="shared" si="22"/>
        <v>Error?</v>
      </c>
    </row>
    <row r="1518" spans="1:4" x14ac:dyDescent="0.2">
      <c r="A1518" s="5">
        <v>1457</v>
      </c>
      <c r="B1518" s="1832">
        <f>'Expenditures 15-22'!K296</f>
        <v>93683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17931</v>
      </c>
      <c r="D1534" s="2" t="str">
        <f t="shared" si="22"/>
        <v>Error?</v>
      </c>
    </row>
    <row r="1535" spans="1:4" x14ac:dyDescent="0.2">
      <c r="A1535" s="5">
        <v>1474</v>
      </c>
      <c r="B1535" s="1832">
        <f>'Expenditures 15-22'!E303</f>
        <v>17931</v>
      </c>
      <c r="C1535" s="2" t="s">
        <v>569</v>
      </c>
      <c r="D1535" s="2" t="str">
        <f t="shared" ref="D1535:D1598" si="23">IF(ISBLANK(B1535),"OK",IF(A1535-B1535=0,"OK","Error?"))</f>
        <v>Error?</v>
      </c>
    </row>
    <row r="1536" spans="1:4" x14ac:dyDescent="0.2">
      <c r="A1536" s="5">
        <v>1475</v>
      </c>
      <c r="B1536" s="1832">
        <f>'Expenditures 15-22'!E312</f>
        <v>17931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32559</v>
      </c>
      <c r="D1540" s="2" t="str">
        <f t="shared" si="23"/>
        <v>Error?</v>
      </c>
    </row>
    <row r="1541" spans="1:4" x14ac:dyDescent="0.2">
      <c r="A1541" s="5">
        <v>1480</v>
      </c>
      <c r="B1541" s="1832">
        <f>'Expenditures 15-22'!F303</f>
        <v>32559</v>
      </c>
      <c r="C1541" s="2" t="s">
        <v>569</v>
      </c>
      <c r="D1541" s="2" t="str">
        <f t="shared" si="23"/>
        <v>Error?</v>
      </c>
    </row>
    <row r="1542" spans="1:4" x14ac:dyDescent="0.2">
      <c r="A1542" s="5">
        <v>1481</v>
      </c>
      <c r="B1542" s="1832">
        <f>'Expenditures 15-22'!F312</f>
        <v>32559</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44014</v>
      </c>
      <c r="D1546" s="2" t="str">
        <f t="shared" si="23"/>
        <v>Error?</v>
      </c>
    </row>
    <row r="1547" spans="1:4" x14ac:dyDescent="0.2">
      <c r="A1547" s="5">
        <v>1486</v>
      </c>
      <c r="B1547" s="1832">
        <f>'Expenditures 15-22'!G303</f>
        <v>44014</v>
      </c>
      <c r="C1547" s="2" t="s">
        <v>569</v>
      </c>
      <c r="D1547" s="2" t="str">
        <f t="shared" si="23"/>
        <v>Error?</v>
      </c>
    </row>
    <row r="1548" spans="1:4" x14ac:dyDescent="0.2">
      <c r="A1548" s="5">
        <v>1487</v>
      </c>
      <c r="B1548" s="1832">
        <f>'Expenditures 15-22'!G312</f>
        <v>44014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94504</v>
      </c>
      <c r="C1558" s="2" t="s">
        <v>569</v>
      </c>
      <c r="D1558" s="2" t="str">
        <f t="shared" si="23"/>
        <v>Error?</v>
      </c>
    </row>
    <row r="1559" spans="1:4" x14ac:dyDescent="0.2">
      <c r="A1559" s="5">
        <v>1498</v>
      </c>
      <c r="B1559" s="1832">
        <f>'Expenditures 15-22'!K303</f>
        <v>94504</v>
      </c>
      <c r="C1559" s="2" t="s">
        <v>569</v>
      </c>
      <c r="D1559" s="2" t="str">
        <f t="shared" si="23"/>
        <v>Error?</v>
      </c>
    </row>
    <row r="1560" spans="1:4" x14ac:dyDescent="0.2">
      <c r="A1560" s="5">
        <v>1499</v>
      </c>
      <c r="B1560" s="1832">
        <f>'Expenditures 15-22'!K312</f>
        <v>94504</v>
      </c>
      <c r="C1560" s="2" t="s">
        <v>569</v>
      </c>
      <c r="D1560" s="2" t="str">
        <f t="shared" si="23"/>
        <v>Error?</v>
      </c>
    </row>
    <row r="1561" spans="1:4" x14ac:dyDescent="0.2">
      <c r="A1561" s="5">
        <v>1500</v>
      </c>
      <c r="B1561" s="1832">
        <f>'Expenditures 15-22'!K313</f>
        <v>139136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443667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492004</v>
      </c>
      <c r="C1630" s="2" t="s">
        <v>569</v>
      </c>
      <c r="D1630" s="2" t="str">
        <f t="shared" si="24"/>
        <v>Error?</v>
      </c>
    </row>
    <row r="1631" spans="1:4" x14ac:dyDescent="0.2">
      <c r="A1631" s="5">
        <v>1570</v>
      </c>
      <c r="B1631" s="1832">
        <f>'Acct Summary 7-8'!D79</f>
        <v>161324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267165</v>
      </c>
      <c r="C1644" s="2" t="s">
        <v>569</v>
      </c>
      <c r="D1644" s="2" t="str">
        <f t="shared" si="24"/>
        <v>Error?</v>
      </c>
    </row>
    <row r="1645" spans="1:4" x14ac:dyDescent="0.2">
      <c r="A1645" s="5">
        <v>1584</v>
      </c>
      <c r="B1645" s="1832">
        <f>'Acct Summary 7-8'!E79</f>
        <v>62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393</v>
      </c>
      <c r="C1658" s="2" t="s">
        <v>569</v>
      </c>
      <c r="D1658" s="2" t="str">
        <f t="shared" si="24"/>
        <v>Error?</v>
      </c>
    </row>
    <row r="1659" spans="1:4" x14ac:dyDescent="0.2">
      <c r="A1659" s="5">
        <v>1598</v>
      </c>
      <c r="B1659" s="1832">
        <f>'Acct Summary 7-8'!F79</f>
        <v>192974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205928</v>
      </c>
      <c r="C1672" s="2" t="s">
        <v>569</v>
      </c>
      <c r="D1672" s="2" t="str">
        <f t="shared" si="25"/>
        <v>Error?</v>
      </c>
    </row>
    <row r="1673" spans="1:4" x14ac:dyDescent="0.2">
      <c r="A1673" s="5">
        <v>1612</v>
      </c>
      <c r="B1673" s="1832">
        <f>'Acct Summary 7-8'!G79</f>
        <v>293165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382336</v>
      </c>
      <c r="C1686" s="2" t="s">
        <v>569</v>
      </c>
      <c r="D1686" s="2" t="str">
        <f t="shared" si="25"/>
        <v>Error?</v>
      </c>
    </row>
    <row r="1687" spans="1:4" x14ac:dyDescent="0.2">
      <c r="A1687" s="5">
        <v>1626</v>
      </c>
      <c r="B1687" s="1832">
        <f>'Acct Summary 7-8'!H79</f>
        <v>859321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998457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690318</v>
      </c>
      <c r="C1744" s="2" t="s">
        <v>569</v>
      </c>
      <c r="D1744" s="2" t="str">
        <f t="shared" si="26"/>
        <v>Error?</v>
      </c>
    </row>
    <row r="1745" spans="1:5" x14ac:dyDescent="0.2">
      <c r="A1745" s="5">
        <v>1684</v>
      </c>
      <c r="B1745" s="1832">
        <f>'Tax Sched 23'!B5</f>
        <v>187633</v>
      </c>
      <c r="C1745" s="2" t="s">
        <v>569</v>
      </c>
      <c r="D1745" s="2" t="str">
        <f t="shared" si="26"/>
        <v>Error?</v>
      </c>
    </row>
    <row r="1746" spans="1:5" x14ac:dyDescent="0.2">
      <c r="A1746" s="5">
        <v>1685</v>
      </c>
      <c r="B1746" s="1832">
        <f>'Tax Sched 23'!B6</f>
        <v>149667</v>
      </c>
      <c r="C1746" s="2" t="s">
        <v>569</v>
      </c>
      <c r="D1746" s="2" t="str">
        <f t="shared" si="26"/>
        <v>Error?</v>
      </c>
    </row>
    <row r="1747" spans="1:5" x14ac:dyDescent="0.2">
      <c r="A1747" s="5">
        <v>1686</v>
      </c>
      <c r="B1747" s="1832">
        <f>'Tax Sched 23'!B7</f>
        <v>90057</v>
      </c>
      <c r="C1747" s="2" t="s">
        <v>569</v>
      </c>
      <c r="D1747" s="2" t="str">
        <f t="shared" si="26"/>
        <v>Error?</v>
      </c>
    </row>
    <row r="1748" spans="1:5" x14ac:dyDescent="0.2">
      <c r="A1748" s="5">
        <v>1687</v>
      </c>
      <c r="B1748" s="1832">
        <f>'Tax Sched 23'!B8</f>
        <v>136452</v>
      </c>
      <c r="C1748" s="2" t="s">
        <v>569</v>
      </c>
      <c r="D1748" s="2" t="str">
        <f t="shared" si="26"/>
        <v>Error?</v>
      </c>
    </row>
    <row r="1749" spans="1:5" x14ac:dyDescent="0.2">
      <c r="A1749" s="5">
        <v>1688</v>
      </c>
      <c r="B1749" s="1832">
        <f>'Tax Sched 23'!B10</f>
        <v>37587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150121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15035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1556951</v>
      </c>
      <c r="C1759" s="2" t="s">
        <v>569</v>
      </c>
      <c r="D1759" s="2" t="str">
        <f t="shared" si="26"/>
        <v>Error?</v>
      </c>
    </row>
    <row r="1760" spans="1:5" x14ac:dyDescent="0.2">
      <c r="A1760" s="5">
        <v>1699</v>
      </c>
      <c r="B1760" s="1832">
        <f>'Tax Sched 23'!D4</f>
        <v>690318</v>
      </c>
      <c r="C1760" s="2" t="s">
        <v>569</v>
      </c>
      <c r="D1760" s="2" t="str">
        <f t="shared" si="26"/>
        <v>Error?</v>
      </c>
    </row>
    <row r="1761" spans="1:7" x14ac:dyDescent="0.2">
      <c r="A1761" s="5">
        <v>1700</v>
      </c>
      <c r="B1761" s="1832">
        <f>'Tax Sched 23'!D5</f>
        <v>187633</v>
      </c>
      <c r="C1761" s="2" t="s">
        <v>569</v>
      </c>
      <c r="D1761" s="2" t="str">
        <f t="shared" si="26"/>
        <v>Error?</v>
      </c>
    </row>
    <row r="1762" spans="1:7" s="8" customFormat="1" x14ac:dyDescent="0.2">
      <c r="A1762" s="5">
        <v>1701</v>
      </c>
      <c r="B1762" s="1832">
        <f>'Tax Sched 23'!D6</f>
        <v>149667</v>
      </c>
      <c r="C1762" s="2" t="s">
        <v>569</v>
      </c>
      <c r="D1762" s="2" t="str">
        <f t="shared" si="26"/>
        <v>Error?</v>
      </c>
      <c r="E1762" s="9"/>
      <c r="G1762"/>
    </row>
    <row r="1763" spans="1:7" x14ac:dyDescent="0.2">
      <c r="A1763" s="5">
        <v>1702</v>
      </c>
      <c r="B1763" s="1832">
        <f>'Tax Sched 23'!D7</f>
        <v>90057</v>
      </c>
      <c r="C1763" s="2" t="s">
        <v>569</v>
      </c>
      <c r="D1763" s="2" t="str">
        <f t="shared" si="26"/>
        <v>Error?</v>
      </c>
    </row>
    <row r="1764" spans="1:7" x14ac:dyDescent="0.2">
      <c r="A1764" s="5">
        <v>1703</v>
      </c>
      <c r="B1764" s="1832">
        <f>'Tax Sched 23'!D8</f>
        <v>136452</v>
      </c>
      <c r="C1764" s="2" t="s">
        <v>569</v>
      </c>
      <c r="D1764" s="2" t="str">
        <f t="shared" si="26"/>
        <v>Error?</v>
      </c>
    </row>
    <row r="1765" spans="1:7" x14ac:dyDescent="0.2">
      <c r="A1765" s="5">
        <v>1704</v>
      </c>
      <c r="B1765" s="1832">
        <f>'Tax Sched 23'!D10</f>
        <v>37587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150121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15035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1556951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715647</v>
      </c>
      <c r="C1792" s="2" t="s">
        <v>569</v>
      </c>
      <c r="D1792" s="2" t="str">
        <f t="shared" si="27"/>
        <v>Error?</v>
      </c>
    </row>
    <row r="1793" spans="1:4" x14ac:dyDescent="0.2">
      <c r="A1793" s="5">
        <v>1732</v>
      </c>
      <c r="B1793" s="1832">
        <f>'Tax Sched 23'!F5</f>
        <v>194469</v>
      </c>
      <c r="C1793" s="2" t="s">
        <v>569</v>
      </c>
      <c r="D1793" s="2" t="str">
        <f t="shared" si="27"/>
        <v>Error?</v>
      </c>
    </row>
    <row r="1794" spans="1:4" x14ac:dyDescent="0.2">
      <c r="A1794" s="5">
        <v>1733</v>
      </c>
      <c r="B1794" s="1832">
        <f>'Tax Sched 23'!F6</f>
        <v>144060</v>
      </c>
      <c r="C1794" s="2" t="s">
        <v>569</v>
      </c>
      <c r="D1794" s="2" t="str">
        <f t="shared" si="27"/>
        <v>Error?</v>
      </c>
    </row>
    <row r="1795" spans="1:4" x14ac:dyDescent="0.2">
      <c r="A1795" s="5">
        <v>1734</v>
      </c>
      <c r="B1795" s="1832">
        <f>'Tax Sched 23'!F7</f>
        <v>93345</v>
      </c>
      <c r="C1795" s="2" t="s">
        <v>569</v>
      </c>
      <c r="D1795" s="2" t="str">
        <f t="shared" si="27"/>
        <v>Error?</v>
      </c>
    </row>
    <row r="1796" spans="1:4" x14ac:dyDescent="0.2">
      <c r="A1796" s="5">
        <v>1735</v>
      </c>
      <c r="B1796" s="1832">
        <f>'Tax Sched 23'!F8</f>
        <v>100000</v>
      </c>
      <c r="C1796" s="2" t="s">
        <v>569</v>
      </c>
      <c r="D1796" s="2" t="str">
        <f t="shared" si="27"/>
        <v>Error?</v>
      </c>
    </row>
    <row r="1797" spans="1:4" x14ac:dyDescent="0.2">
      <c r="A1797" s="5">
        <v>1736</v>
      </c>
      <c r="B1797" s="1832">
        <f>'Tax Sched 23'!F10</f>
        <v>38894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248000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15558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1619973</v>
      </c>
      <c r="C1807" s="2" t="s">
        <v>569</v>
      </c>
      <c r="D1807" s="2" t="str">
        <f t="shared" si="27"/>
        <v>Error?</v>
      </c>
    </row>
    <row r="1808" spans="1:4" x14ac:dyDescent="0.2">
      <c r="A1808" s="5">
        <v>1747</v>
      </c>
      <c r="B1808" s="1832">
        <f>'Tax Sched 23'!E4</f>
        <v>715647</v>
      </c>
      <c r="D1808" s="2" t="str">
        <f t="shared" si="27"/>
        <v>Error?</v>
      </c>
    </row>
    <row r="1809" spans="1:4" x14ac:dyDescent="0.2">
      <c r="A1809" s="5">
        <v>1748</v>
      </c>
      <c r="B1809" s="1832">
        <f>'Tax Sched 23'!E5</f>
        <v>194469</v>
      </c>
      <c r="D1809" s="2" t="str">
        <f t="shared" si="27"/>
        <v>Error?</v>
      </c>
    </row>
    <row r="1810" spans="1:4" x14ac:dyDescent="0.2">
      <c r="A1810" s="5">
        <v>1749</v>
      </c>
      <c r="B1810" s="1832">
        <f>'Tax Sched 23'!E6</f>
        <v>144060</v>
      </c>
      <c r="D1810" s="2" t="str">
        <f t="shared" si="27"/>
        <v>Error?</v>
      </c>
    </row>
    <row r="1811" spans="1:4" x14ac:dyDescent="0.2">
      <c r="A1811" s="5">
        <v>1750</v>
      </c>
      <c r="B1811" s="1832">
        <f>'Tax Sched 23'!E7</f>
        <v>93345</v>
      </c>
      <c r="D1811" s="2" t="str">
        <f t="shared" si="27"/>
        <v>Error?</v>
      </c>
    </row>
    <row r="1812" spans="1:4" x14ac:dyDescent="0.2">
      <c r="A1812" s="5">
        <v>1751</v>
      </c>
      <c r="B1812" s="1832">
        <f>'Tax Sched 23'!E8</f>
        <v>100000</v>
      </c>
      <c r="D1812" s="2" t="str">
        <f t="shared" si="27"/>
        <v>Error?</v>
      </c>
    </row>
    <row r="1813" spans="1:4" x14ac:dyDescent="0.2">
      <c r="A1813" s="5">
        <v>1752</v>
      </c>
      <c r="B1813" s="1832">
        <f>'Tax Sched 23'!E10</f>
        <v>38894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248000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15558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1619973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514200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15035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15035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15035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104174</v>
      </c>
      <c r="D2008" s="2" t="str">
        <f t="shared" si="30"/>
        <v>Error?</v>
      </c>
    </row>
    <row r="2009" spans="1:4" x14ac:dyDescent="0.2">
      <c r="A2009" s="5">
        <v>1948</v>
      </c>
      <c r="B2009" s="1832">
        <f>'Cap Outlay Deprec 26'!C8</f>
        <v>6942829</v>
      </c>
      <c r="D2009" s="2" t="str">
        <f t="shared" si="30"/>
        <v>Error?</v>
      </c>
    </row>
    <row r="2010" spans="1:4" x14ac:dyDescent="0.2">
      <c r="A2010" s="5">
        <v>1949</v>
      </c>
      <c r="B2010" s="1832">
        <f>'Cap Outlay Deprec 26'!C10</f>
        <v>310125</v>
      </c>
      <c r="D2010" s="2" t="str">
        <f t="shared" si="30"/>
        <v>Error?</v>
      </c>
    </row>
    <row r="2011" spans="1:4" x14ac:dyDescent="0.2">
      <c r="A2011" s="5">
        <v>1950</v>
      </c>
      <c r="B2011" s="1832">
        <f>'Cap Outlay Deprec 26'!C12</f>
        <v>952427</v>
      </c>
      <c r="D2011" s="2" t="str">
        <f t="shared" si="30"/>
        <v>Error?</v>
      </c>
    </row>
    <row r="2012" spans="1:4" x14ac:dyDescent="0.2">
      <c r="A2012" s="5">
        <v>1951</v>
      </c>
      <c r="B2012" s="1832">
        <f>'Cap Outlay Deprec 26'!C13</f>
        <v>259539</v>
      </c>
      <c r="D2012" s="2" t="str">
        <f t="shared" si="30"/>
        <v>Error?</v>
      </c>
    </row>
    <row r="2013" spans="1:4" x14ac:dyDescent="0.2">
      <c r="A2013" s="5">
        <v>1952</v>
      </c>
      <c r="B2013" s="1832">
        <f>'Cap Outlay Deprec 26'!C16</f>
        <v>8569094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44014</v>
      </c>
      <c r="D2016" s="2" t="str">
        <f t="shared" si="30"/>
        <v>Error?</v>
      </c>
    </row>
    <row r="2017" spans="1:4" x14ac:dyDescent="0.2">
      <c r="A2017" s="5">
        <v>1956</v>
      </c>
      <c r="B2017" s="1832">
        <f>'Cap Outlay Deprec 26'!D12</f>
        <v>46436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90450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104174</v>
      </c>
      <c r="C2026" s="2" t="s">
        <v>569</v>
      </c>
      <c r="D2026" s="2" t="str">
        <f t="shared" si="30"/>
        <v>Error?</v>
      </c>
    </row>
    <row r="2027" spans="1:4" x14ac:dyDescent="0.2">
      <c r="A2027" s="5">
        <v>1966</v>
      </c>
      <c r="B2027" s="1832">
        <f>'Cap Outlay Deprec 26'!F8</f>
        <v>6942829</v>
      </c>
      <c r="C2027" s="2" t="s">
        <v>569</v>
      </c>
      <c r="D2027" s="2" t="str">
        <f t="shared" si="30"/>
        <v>Error?</v>
      </c>
    </row>
    <row r="2028" spans="1:4" x14ac:dyDescent="0.2">
      <c r="A2028" s="5">
        <v>1967</v>
      </c>
      <c r="B2028" s="1832">
        <f>'Cap Outlay Deprec 26'!F10</f>
        <v>354139</v>
      </c>
      <c r="C2028" s="2" t="s">
        <v>569</v>
      </c>
      <c r="D2028" s="2" t="str">
        <f t="shared" si="30"/>
        <v>Error?</v>
      </c>
    </row>
    <row r="2029" spans="1:4" x14ac:dyDescent="0.2">
      <c r="A2029" s="5">
        <v>1968</v>
      </c>
      <c r="B2029" s="1832">
        <f>'Cap Outlay Deprec 26'!F12</f>
        <v>998863</v>
      </c>
      <c r="C2029" s="2" t="s">
        <v>569</v>
      </c>
      <c r="D2029" s="2" t="str">
        <f t="shared" si="30"/>
        <v>Error?</v>
      </c>
    </row>
    <row r="2030" spans="1:4" x14ac:dyDescent="0.2">
      <c r="A2030" s="5">
        <v>1969</v>
      </c>
      <c r="B2030" s="1832">
        <f>'Cap Outlay Deprec 26'!F13</f>
        <v>259539</v>
      </c>
      <c r="C2030" s="2" t="s">
        <v>569</v>
      </c>
      <c r="D2030" s="2" t="str">
        <f t="shared" si="30"/>
        <v>Error?</v>
      </c>
    </row>
    <row r="2031" spans="1:4" x14ac:dyDescent="0.2">
      <c r="A2031" s="5">
        <v>1970</v>
      </c>
      <c r="B2031" s="1832">
        <f>'Cap Outlay Deprec 26'!F16</f>
        <v>8659544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3561151</v>
      </c>
      <c r="D2033" s="2" t="str">
        <f t="shared" si="30"/>
        <v>Error?</v>
      </c>
    </row>
    <row r="2034" spans="1:4" x14ac:dyDescent="0.2">
      <c r="A2034" s="5">
        <v>1973</v>
      </c>
      <c r="B2034" s="1832">
        <f>'Cap Outlay Deprec 26'!H10</f>
        <v>183538</v>
      </c>
      <c r="D2034" s="2" t="str">
        <f t="shared" si="30"/>
        <v>Error?</v>
      </c>
    </row>
    <row r="2035" spans="1:4" x14ac:dyDescent="0.2">
      <c r="A2035" s="5">
        <v>1974</v>
      </c>
      <c r="B2035" s="1832">
        <f>'Cap Outlay Deprec 26'!H12</f>
        <v>890139</v>
      </c>
      <c r="D2035" s="2" t="str">
        <f t="shared" si="30"/>
        <v>Error?</v>
      </c>
    </row>
    <row r="2036" spans="1:4" x14ac:dyDescent="0.2">
      <c r="A2036" s="5">
        <v>1975</v>
      </c>
      <c r="B2036" s="1832">
        <f>'Cap Outlay Deprec 26'!H13</f>
        <v>227425</v>
      </c>
      <c r="D2036" s="2" t="str">
        <f t="shared" si="30"/>
        <v>Error?</v>
      </c>
    </row>
    <row r="2037" spans="1:4" x14ac:dyDescent="0.2">
      <c r="A2037" s="5">
        <v>1976</v>
      </c>
      <c r="B2037" s="1832">
        <f>'Cap Outlay Deprec 26'!H16</f>
        <v>4862253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166464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15111</v>
      </c>
      <c r="D2041" s="2" t="str">
        <f t="shared" si="30"/>
        <v>Error?</v>
      </c>
    </row>
    <row r="2042" spans="1:4" x14ac:dyDescent="0.2">
      <c r="A2042" s="5">
        <v>1981</v>
      </c>
      <c r="B2042" s="1832">
        <f>'Cap Outlay Deprec 26'!I13</f>
        <v>7039</v>
      </c>
      <c r="D2042" s="2" t="str">
        <f t="shared" si="30"/>
        <v>Error?</v>
      </c>
    </row>
    <row r="2043" spans="1:4" x14ac:dyDescent="0.2">
      <c r="A2043" s="5">
        <v>1982</v>
      </c>
      <c r="B2043" s="1832">
        <f>'Cap Outlay Deprec 26'!I16</f>
        <v>188614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3727615</v>
      </c>
      <c r="C2051" s="2" t="s">
        <v>569</v>
      </c>
      <c r="D2051" s="2" t="str">
        <f t="shared" si="31"/>
        <v>Error?</v>
      </c>
    </row>
    <row r="2052" spans="1:4" x14ac:dyDescent="0.2">
      <c r="A2052" s="5">
        <v>1991</v>
      </c>
      <c r="B2052" s="1832">
        <f>'Cap Outlay Deprec 26'!K10</f>
        <v>183538</v>
      </c>
      <c r="C2052" s="2" t="s">
        <v>569</v>
      </c>
      <c r="D2052" s="2" t="str">
        <f t="shared" si="31"/>
        <v>Error?</v>
      </c>
    </row>
    <row r="2053" spans="1:4" x14ac:dyDescent="0.2">
      <c r="A2053" s="5">
        <v>1992</v>
      </c>
      <c r="B2053" s="1832">
        <f>'Cap Outlay Deprec 26'!K12</f>
        <v>905250</v>
      </c>
      <c r="C2053" s="2" t="s">
        <v>569</v>
      </c>
      <c r="D2053" s="2" t="str">
        <f t="shared" si="31"/>
        <v>Error?</v>
      </c>
    </row>
    <row r="2054" spans="1:4" x14ac:dyDescent="0.2">
      <c r="A2054" s="5">
        <v>1993</v>
      </c>
      <c r="B2054" s="1832">
        <f>'Cap Outlay Deprec 26'!K13</f>
        <v>234464</v>
      </c>
      <c r="C2054" s="2" t="s">
        <v>569</v>
      </c>
      <c r="D2054" s="2" t="str">
        <f t="shared" si="31"/>
        <v>Error?</v>
      </c>
    </row>
    <row r="2055" spans="1:4" x14ac:dyDescent="0.2">
      <c r="A2055" s="5">
        <v>1994</v>
      </c>
      <c r="B2055" s="1832">
        <f>'Cap Outlay Deprec 26'!K16</f>
        <v>5050867</v>
      </c>
      <c r="C2055" s="2" t="s">
        <v>569</v>
      </c>
      <c r="D2055" s="2" t="str">
        <f t="shared" si="31"/>
        <v>Error?</v>
      </c>
    </row>
    <row r="2056" spans="1:4" x14ac:dyDescent="0.2">
      <c r="A2056" s="5">
        <v>1995</v>
      </c>
      <c r="B2056" s="1832">
        <f>'Cap Outlay Deprec 26'!L5</f>
        <v>104174</v>
      </c>
      <c r="C2056" s="2" t="s">
        <v>569</v>
      </c>
      <c r="D2056" s="2" t="str">
        <f t="shared" si="31"/>
        <v>Error?</v>
      </c>
    </row>
    <row r="2057" spans="1:4" x14ac:dyDescent="0.2">
      <c r="A2057" s="5">
        <v>1996</v>
      </c>
      <c r="B2057" s="1832">
        <f>'Cap Outlay Deprec 26'!L8</f>
        <v>3215214</v>
      </c>
      <c r="C2057" s="2" t="s">
        <v>569</v>
      </c>
      <c r="D2057" s="2" t="str">
        <f t="shared" si="31"/>
        <v>Error?</v>
      </c>
    </row>
    <row r="2058" spans="1:4" x14ac:dyDescent="0.2">
      <c r="A2058" s="5">
        <v>1997</v>
      </c>
      <c r="B2058" s="1832">
        <f>'Cap Outlay Deprec 26'!L10</f>
        <v>170601</v>
      </c>
      <c r="C2058" s="2" t="s">
        <v>569</v>
      </c>
      <c r="D2058" s="2" t="str">
        <f t="shared" si="31"/>
        <v>Error?</v>
      </c>
    </row>
    <row r="2059" spans="1:4" x14ac:dyDescent="0.2">
      <c r="A2059" s="5">
        <v>1998</v>
      </c>
      <c r="B2059" s="1832">
        <f>'Cap Outlay Deprec 26'!L12</f>
        <v>93613</v>
      </c>
      <c r="C2059" s="2" t="s">
        <v>569</v>
      </c>
      <c r="D2059" s="2" t="str">
        <f t="shared" si="31"/>
        <v>Error?</v>
      </c>
    </row>
    <row r="2060" spans="1:4" x14ac:dyDescent="0.2">
      <c r="A2060" s="5">
        <v>1999</v>
      </c>
      <c r="B2060" s="1832">
        <f>'Cap Outlay Deprec 26'!L13</f>
        <v>25075</v>
      </c>
      <c r="C2060" s="2" t="s">
        <v>569</v>
      </c>
      <c r="D2060" s="2" t="str">
        <f t="shared" si="31"/>
        <v>Error?</v>
      </c>
    </row>
    <row r="2061" spans="1:4" x14ac:dyDescent="0.2">
      <c r="A2061" s="5">
        <v>2000</v>
      </c>
      <c r="B2061" s="1832">
        <f>'Cap Outlay Deprec 26'!L16</f>
        <v>3608677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151567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308314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962976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2159803</v>
      </c>
      <c r="C2553" s="2" t="s">
        <v>569</v>
      </c>
      <c r="D2553" s="2" t="str">
        <f t="shared" si="38"/>
        <v>Error?</v>
      </c>
    </row>
    <row r="2554" spans="1:4" x14ac:dyDescent="0.2">
      <c r="A2554" s="5">
        <v>2493</v>
      </c>
      <c r="B2554" s="1832">
        <f>'Acct Summary 7-8'!C7</f>
        <v>722495</v>
      </c>
      <c r="C2554" s="2" t="s">
        <v>569</v>
      </c>
      <c r="D2554" s="2" t="str">
        <f t="shared" si="38"/>
        <v>Error?</v>
      </c>
    </row>
    <row r="2555" spans="1:4" x14ac:dyDescent="0.2">
      <c r="A2555" s="5">
        <v>2494</v>
      </c>
      <c r="B2555" s="1832">
        <f>'Acct Summary 7-8'!C8</f>
        <v>3845274</v>
      </c>
      <c r="C2555" s="2" t="s">
        <v>569</v>
      </c>
      <c r="D2555" s="2" t="str">
        <f t="shared" si="38"/>
        <v>Error?</v>
      </c>
    </row>
    <row r="2556" spans="1:4" x14ac:dyDescent="0.2">
      <c r="A2556" s="5">
        <v>2495</v>
      </c>
      <c r="B2556" s="1832">
        <f>'Acct Summary 7-8'!C12</f>
        <v>2572918</v>
      </c>
      <c r="C2556" s="2" t="s">
        <v>569</v>
      </c>
      <c r="D2556" s="2" t="str">
        <f t="shared" si="38"/>
        <v>Error?</v>
      </c>
    </row>
    <row r="2557" spans="1:4" x14ac:dyDescent="0.2">
      <c r="A2557" s="5">
        <v>2496</v>
      </c>
      <c r="B2557" s="1832">
        <f>'Acct Summary 7-8'!C13</f>
        <v>916240</v>
      </c>
      <c r="C2557" s="2" t="s">
        <v>569</v>
      </c>
      <c r="D2557" s="2" t="str">
        <f t="shared" si="38"/>
        <v>Error?</v>
      </c>
    </row>
    <row r="2558" spans="1:4" x14ac:dyDescent="0.2">
      <c r="A2558" s="5">
        <v>2497</v>
      </c>
      <c r="B2558" s="1832">
        <f>'Acct Summary 7-8'!C14</f>
        <v>3977</v>
      </c>
      <c r="C2558" s="2" t="s">
        <v>569</v>
      </c>
      <c r="D2558" s="2" t="str">
        <f t="shared" si="38"/>
        <v>Error?</v>
      </c>
    </row>
    <row r="2559" spans="1:4" x14ac:dyDescent="0.2">
      <c r="A2559" s="5">
        <v>2498</v>
      </c>
      <c r="B2559" s="1832">
        <f>'Acct Summary 7-8'!C15</f>
        <v>308314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3801449</v>
      </c>
      <c r="C2561" s="2" t="s">
        <v>569</v>
      </c>
      <c r="D2561" s="2" t="str">
        <f t="shared" si="39"/>
        <v>Error?</v>
      </c>
    </row>
    <row r="2562" spans="1:4" x14ac:dyDescent="0.2">
      <c r="A2562" s="5">
        <v>2501</v>
      </c>
      <c r="B2562" s="1832">
        <f>'Acct Summary 7-8'!C20</f>
        <v>43825</v>
      </c>
      <c r="C2562" s="2" t="s">
        <v>569</v>
      </c>
      <c r="D2562" s="2" t="str">
        <f t="shared" si="39"/>
        <v>Error?</v>
      </c>
    </row>
    <row r="2563" spans="1:4" x14ac:dyDescent="0.2">
      <c r="A2563" s="5">
        <v>2502</v>
      </c>
      <c r="B2563" s="1832">
        <f>'Acct Summary 7-8'!C80</f>
        <v>4512</v>
      </c>
      <c r="D2563" s="2" t="str">
        <f t="shared" si="39"/>
        <v>Error?</v>
      </c>
    </row>
    <row r="2564" spans="1:4" x14ac:dyDescent="0.2">
      <c r="A2564" s="5">
        <v>2503</v>
      </c>
      <c r="B2564" s="1832">
        <f>'Acct Summary 7-8'!D4</f>
        <v>249583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340000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589583</v>
      </c>
      <c r="C2568" s="2" t="s">
        <v>569</v>
      </c>
      <c r="D2568" s="2" t="str">
        <f t="shared" si="39"/>
        <v>Error?</v>
      </c>
    </row>
    <row r="2569" spans="1:4" x14ac:dyDescent="0.2">
      <c r="A2569" s="5">
        <v>2508</v>
      </c>
      <c r="B2569" s="1832">
        <f>'Acct Summary 7-8'!D13</f>
        <v>483742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483742</v>
      </c>
      <c r="C2573" s="2" t="s">
        <v>569</v>
      </c>
      <c r="D2573" s="2" t="str">
        <f t="shared" si="39"/>
        <v>Error?</v>
      </c>
    </row>
    <row r="2574" spans="1:4" x14ac:dyDescent="0.2">
      <c r="A2574" s="5">
        <v>2513</v>
      </c>
      <c r="B2574" s="1832">
        <f>'Acct Summary 7-8'!D20</f>
        <v>105841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91115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314156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405271</v>
      </c>
      <c r="C2595" s="2" t="s">
        <v>569</v>
      </c>
      <c r="D2595" s="2" t="str">
        <f t="shared" si="39"/>
        <v>Error?</v>
      </c>
    </row>
    <row r="2596" spans="1:4" x14ac:dyDescent="0.2">
      <c r="A2596" s="5">
        <v>2535</v>
      </c>
      <c r="B2596" s="1832">
        <f>'Acct Summary 7-8'!F13</f>
        <v>392317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392317</v>
      </c>
      <c r="C2600" s="2" t="s">
        <v>569</v>
      </c>
      <c r="D2600" s="2" t="str">
        <f t="shared" si="39"/>
        <v>Error?</v>
      </c>
    </row>
    <row r="2601" spans="1:4" x14ac:dyDescent="0.2">
      <c r="A2601" s="5">
        <v>2540</v>
      </c>
      <c r="B2601" s="1832">
        <f>'Acct Summary 7-8'!F20</f>
        <v>12954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248509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248509</v>
      </c>
      <c r="C2606" s="2" t="s">
        <v>569</v>
      </c>
      <c r="D2606" s="2" t="str">
        <f t="shared" si="39"/>
        <v>Error?</v>
      </c>
    </row>
    <row r="2607" spans="1:4" x14ac:dyDescent="0.2">
      <c r="A2607" s="5">
        <v>2546</v>
      </c>
      <c r="B2607" s="1832">
        <f>'Acct Summary 7-8'!G12</f>
        <v>44810</v>
      </c>
      <c r="C2607" s="2" t="s">
        <v>569</v>
      </c>
      <c r="D2607" s="2" t="str">
        <f t="shared" si="39"/>
        <v>Error?</v>
      </c>
    </row>
    <row r="2608" spans="1:4" x14ac:dyDescent="0.2">
      <c r="A2608" s="5">
        <v>2547</v>
      </c>
      <c r="B2608" s="1832">
        <f>'Acct Summary 7-8'!G13</f>
        <v>110016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154826</v>
      </c>
      <c r="C2612" s="2" t="s">
        <v>569</v>
      </c>
      <c r="D2612" s="2" t="str">
        <f t="shared" si="39"/>
        <v>Error?</v>
      </c>
    </row>
    <row r="2613" spans="1:4" x14ac:dyDescent="0.2">
      <c r="A2613" s="5">
        <v>2552</v>
      </c>
      <c r="B2613" s="1832">
        <f>'Acct Summary 7-8'!G20</f>
        <v>93683</v>
      </c>
      <c r="C2613" s="2" t="s">
        <v>569</v>
      </c>
      <c r="D2613" s="2" t="str">
        <f t="shared" si="39"/>
        <v>Error?</v>
      </c>
    </row>
    <row r="2614" spans="1:4" x14ac:dyDescent="0.2">
      <c r="A2614" s="5">
        <v>2553</v>
      </c>
      <c r="B2614" s="1832">
        <f>'Acct Summary 7-8'!G80</f>
        <v>-4512</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149792</v>
      </c>
      <c r="C2630" s="2" t="s">
        <v>569</v>
      </c>
      <c r="D2630" s="2" t="str">
        <f t="shared" si="40"/>
        <v>Error?</v>
      </c>
    </row>
    <row r="2631" spans="1:4" x14ac:dyDescent="0.2">
      <c r="A2631" s="5">
        <v>2570</v>
      </c>
      <c r="B2631" s="1832">
        <f>'Acct Summary 7-8'!E6</f>
        <v>104</v>
      </c>
      <c r="C2631" s="2" t="s">
        <v>569</v>
      </c>
      <c r="D2631" s="2" t="str">
        <f t="shared" si="40"/>
        <v>Error?</v>
      </c>
    </row>
    <row r="2632" spans="1:4" x14ac:dyDescent="0.2">
      <c r="A2632" s="5">
        <v>2571</v>
      </c>
      <c r="B2632" s="1832">
        <f>'Acct Summary 7-8'!E8</f>
        <v>149896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149565</v>
      </c>
      <c r="C2634" s="2" t="s">
        <v>569</v>
      </c>
      <c r="D2634" s="2" t="str">
        <f t="shared" si="40"/>
        <v>Error?</v>
      </c>
    </row>
    <row r="2635" spans="1:4" x14ac:dyDescent="0.2">
      <c r="A2635" s="5">
        <v>2574</v>
      </c>
      <c r="B2635" s="1832">
        <f>'Acct Summary 7-8'!E17</f>
        <v>149565</v>
      </c>
      <c r="C2635" s="2" t="s">
        <v>569</v>
      </c>
      <c r="D2635" s="2" t="str">
        <f t="shared" si="40"/>
        <v>Error?</v>
      </c>
    </row>
    <row r="2636" spans="1:4" x14ac:dyDescent="0.2">
      <c r="A2636" s="5">
        <v>2575</v>
      </c>
      <c r="B2636" s="1832">
        <f>'Acct Summary 7-8'!E20</f>
        <v>331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233640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233640</v>
      </c>
      <c r="C2658" s="2" t="s">
        <v>569</v>
      </c>
      <c r="D2658" s="2" t="str">
        <f t="shared" si="40"/>
        <v>Error?</v>
      </c>
    </row>
    <row r="2659" spans="1:4" x14ac:dyDescent="0.2">
      <c r="A2659" s="5">
        <v>2598</v>
      </c>
      <c r="B2659" s="1832">
        <f>'Acct Summary 7-8'!H13</f>
        <v>94504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94504</v>
      </c>
      <c r="C2661" s="2" t="s">
        <v>569</v>
      </c>
      <c r="D2661" s="2" t="str">
        <f t="shared" si="40"/>
        <v>Error?</v>
      </c>
    </row>
    <row r="2662" spans="1:4" x14ac:dyDescent="0.2">
      <c r="A2662" s="5">
        <v>2601</v>
      </c>
      <c r="B2662" s="1832">
        <f>'Acct Summary 7-8'!H20</f>
        <v>139136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1795</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1795</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156747</v>
      </c>
      <c r="C2789" s="2" t="s">
        <v>569</v>
      </c>
      <c r="D2789" s="2" t="str">
        <f t="shared" si="42"/>
        <v>Error?</v>
      </c>
    </row>
    <row r="2790" spans="1:4" x14ac:dyDescent="0.2">
      <c r="A2790" s="5">
        <v>2729</v>
      </c>
      <c r="B2790" s="1832">
        <f>'Expenditures 15-22'!E102</f>
        <v>156747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1089336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25497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1089336</v>
      </c>
      <c r="D2912" s="2" t="str">
        <f t="shared" si="44"/>
        <v>Error?</v>
      </c>
    </row>
    <row r="2913" spans="1:4" x14ac:dyDescent="0.2">
      <c r="A2913" s="5">
        <v>2852</v>
      </c>
      <c r="B2913" s="1832">
        <f>'Assets-Liab 5-6'!I41</f>
        <v>1089336</v>
      </c>
      <c r="C2913" s="2" t="s">
        <v>569</v>
      </c>
      <c r="D2913" s="2" t="str">
        <f t="shared" si="44"/>
        <v>Error?</v>
      </c>
    </row>
    <row r="2914" spans="1:4" x14ac:dyDescent="0.2">
      <c r="A2914" s="5">
        <v>2853</v>
      </c>
      <c r="B2914" s="1832">
        <f>'Assets-Liab 5-6'!L33</f>
        <v>25497</v>
      </c>
      <c r="D2914" s="2" t="str">
        <f t="shared" si="44"/>
        <v>Error?</v>
      </c>
    </row>
    <row r="2915" spans="1:4" x14ac:dyDescent="0.2">
      <c r="A2915" s="10">
        <v>2854</v>
      </c>
      <c r="B2915" s="1832"/>
      <c r="D2915" s="2" t="str">
        <f t="shared" si="44"/>
        <v>OK</v>
      </c>
    </row>
    <row r="2916" spans="1:4" x14ac:dyDescent="0.2">
      <c r="A2916" s="5">
        <v>2855</v>
      </c>
      <c r="B2916" s="1832">
        <f>'Assets-Liab 5-6'!L34</f>
        <v>25497</v>
      </c>
      <c r="C2916" s="2" t="s">
        <v>569</v>
      </c>
      <c r="D2916" s="2" t="str">
        <f t="shared" si="44"/>
        <v>Error?</v>
      </c>
    </row>
    <row r="2917" spans="1:4" x14ac:dyDescent="0.2">
      <c r="A2917" s="5">
        <v>2856</v>
      </c>
      <c r="B2917" s="1832">
        <f>'Assets-Liab 5-6'!L41</f>
        <v>25497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156747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151567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308314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62207</v>
      </c>
      <c r="D3055" s="2" t="str">
        <f t="shared" si="46"/>
        <v>Error?</v>
      </c>
    </row>
    <row r="3056" spans="1:4" x14ac:dyDescent="0.2">
      <c r="A3056" s="5">
        <v>2995</v>
      </c>
      <c r="B3056" s="1832">
        <f>'Expenditures 15-22'!D10</f>
        <v>4070</v>
      </c>
      <c r="D3056" s="2" t="str">
        <f t="shared" si="46"/>
        <v>Error?</v>
      </c>
    </row>
    <row r="3057" spans="1:4" x14ac:dyDescent="0.2">
      <c r="A3057" s="5">
        <v>2996</v>
      </c>
      <c r="B3057" s="1832">
        <f>'Expenditures 15-22'!E10</f>
        <v>1658</v>
      </c>
      <c r="D3057" s="2" t="str">
        <f t="shared" si="46"/>
        <v>Error?</v>
      </c>
    </row>
    <row r="3058" spans="1:4" x14ac:dyDescent="0.2">
      <c r="A3058" s="5">
        <v>2997</v>
      </c>
      <c r="B3058" s="1832">
        <f>'Expenditures 15-22'!F10</f>
        <v>105048</v>
      </c>
      <c r="D3058" s="2" t="str">
        <f t="shared" si="46"/>
        <v>Error?</v>
      </c>
    </row>
    <row r="3059" spans="1:4" x14ac:dyDescent="0.2">
      <c r="A3059" s="5">
        <v>2998</v>
      </c>
      <c r="B3059" s="1832">
        <f>'Expenditures 15-22'!G10</f>
        <v>13803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186786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16260</v>
      </c>
      <c r="D3064" s="2" t="str">
        <f t="shared" si="46"/>
        <v>Error?</v>
      </c>
    </row>
    <row r="3065" spans="1:4" x14ac:dyDescent="0.2">
      <c r="A3065" s="5">
        <v>3004</v>
      </c>
      <c r="B3065" s="1832">
        <f>'Expenditures 15-22'!K219</f>
        <v>16260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42990</v>
      </c>
      <c r="C3225" s="2" t="s">
        <v>569</v>
      </c>
      <c r="D3225" s="2" t="str">
        <f t="shared" si="49"/>
        <v>Error?</v>
      </c>
    </row>
    <row r="3226" spans="1:4" x14ac:dyDescent="0.2">
      <c r="A3226" s="5">
        <v>3165</v>
      </c>
      <c r="B3226" s="1832">
        <f>'Acct Summary 7-8'!I8</f>
        <v>42990</v>
      </c>
      <c r="C3226" s="2" t="s">
        <v>569</v>
      </c>
      <c r="D3226" s="2" t="str">
        <f t="shared" si="49"/>
        <v>Error?</v>
      </c>
    </row>
    <row r="3227" spans="1:4" x14ac:dyDescent="0.2">
      <c r="A3227" s="5">
        <v>3166</v>
      </c>
      <c r="B3227" s="1832">
        <f>'Acct Summary 7-8'!I20</f>
        <v>42990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43825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105841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12954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93683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331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139136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42990</v>
      </c>
      <c r="C3320" s="2" t="s">
        <v>569</v>
      </c>
      <c r="D3320" s="2" t="str">
        <f t="shared" si="50"/>
        <v>Error?</v>
      </c>
    </row>
    <row r="3321" spans="1:4" x14ac:dyDescent="0.2">
      <c r="A3321" s="5">
        <v>3260</v>
      </c>
      <c r="B3321" s="1832">
        <f>'Acct Summary 7-8'!I79</f>
        <v>1046346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1089336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214052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60267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2206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276525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22048</v>
      </c>
      <c r="D3387" s="2" t="str">
        <f t="shared" si="51"/>
        <v>Error?</v>
      </c>
    </row>
    <row r="3388" spans="1:4" x14ac:dyDescent="0.2">
      <c r="A3388" s="5">
        <v>3327</v>
      </c>
      <c r="B3388" s="1832">
        <f>'Expenditures 15-22'!D217</f>
        <v>5640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22048</v>
      </c>
      <c r="C3390" s="2" t="s">
        <v>569</v>
      </c>
      <c r="D3390" s="2" t="str">
        <f t="shared" si="51"/>
        <v>Error?</v>
      </c>
    </row>
    <row r="3391" spans="1:4" x14ac:dyDescent="0.2">
      <c r="A3391" s="5">
        <v>3330</v>
      </c>
      <c r="B3391" s="1832">
        <f>'Expenditures 15-22'!K217</f>
        <v>5640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492004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267165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393</v>
      </c>
      <c r="D3417" s="2" t="str">
        <f t="shared" si="52"/>
        <v>Error?</v>
      </c>
    </row>
    <row r="3418" spans="1:4" x14ac:dyDescent="0.2">
      <c r="A3418" s="10">
        <v>3357</v>
      </c>
      <c r="B3418" s="1832"/>
      <c r="D3418" s="2" t="str">
        <f t="shared" si="52"/>
        <v>OK</v>
      </c>
    </row>
    <row r="3419" spans="1:4" x14ac:dyDescent="0.2">
      <c r="A3419" s="5">
        <v>3358</v>
      </c>
      <c r="B3419" s="1832">
        <f>'Assets-Liab 5-6'!F4</f>
        <v>205928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382336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998457</v>
      </c>
      <c r="D3425" s="2" t="str">
        <f t="shared" si="52"/>
        <v>Error?</v>
      </c>
    </row>
    <row r="3426" spans="1:4" x14ac:dyDescent="0.2">
      <c r="A3426" s="10">
        <v>3365</v>
      </c>
      <c r="B3426" s="1832"/>
      <c r="D3426" s="2" t="str">
        <f t="shared" si="52"/>
        <v>OK</v>
      </c>
    </row>
    <row r="3427" spans="1:4" x14ac:dyDescent="0.2">
      <c r="A3427" s="5">
        <v>3366</v>
      </c>
      <c r="B3427" s="1832">
        <f>'Assets-Liab 5-6'!I4</f>
        <v>1089336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25497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100081</v>
      </c>
      <c r="C3446" s="2" t="s">
        <v>569</v>
      </c>
      <c r="D3446" s="2" t="str">
        <f t="shared" si="52"/>
        <v>Error?</v>
      </c>
    </row>
    <row r="3447" spans="1:4" x14ac:dyDescent="0.2">
      <c r="A3447" s="5">
        <v>3386</v>
      </c>
      <c r="B3447" s="1832">
        <f>'Tax Sched 23'!D16</f>
        <v>100081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70000</v>
      </c>
      <c r="C3449" s="2" t="s">
        <v>569</v>
      </c>
      <c r="D3449" s="2" t="str">
        <f t="shared" si="52"/>
        <v>Error?</v>
      </c>
    </row>
    <row r="3450" spans="1:4" x14ac:dyDescent="0.2">
      <c r="A3450" s="5">
        <v>3389</v>
      </c>
      <c r="B3450" s="1832">
        <f>'Tax Sched 23'!E16</f>
        <v>70000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125733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125733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125733</v>
      </c>
      <c r="D3567" s="2" t="str">
        <f t="shared" si="54"/>
        <v>Error?</v>
      </c>
    </row>
    <row r="3568" spans="1:4" x14ac:dyDescent="0.2">
      <c r="A3568" s="5">
        <v>3507</v>
      </c>
      <c r="B3568" s="1832">
        <f>'Assets-Liab 5-6'!K41</f>
        <v>125733</v>
      </c>
      <c r="C3568" s="2" t="s">
        <v>569</v>
      </c>
      <c r="D3568" s="2" t="str">
        <f t="shared" si="54"/>
        <v>Error?</v>
      </c>
    </row>
    <row r="3569" spans="1:4" x14ac:dyDescent="0.2">
      <c r="A3569" s="5">
        <v>3508</v>
      </c>
      <c r="B3569" s="1832">
        <f>'Acct Summary 7-8'!K4</f>
        <v>621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621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621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621</v>
      </c>
      <c r="C3588" s="2" t="s">
        <v>569</v>
      </c>
      <c r="D3588" s="2" t="str">
        <f t="shared" si="55"/>
        <v>Error?</v>
      </c>
    </row>
    <row r="3589" spans="1:4" x14ac:dyDescent="0.2">
      <c r="A3589" s="5">
        <v>3528</v>
      </c>
      <c r="B3589" s="1832">
        <f>'Acct Summary 7-8'!K79</f>
        <v>125112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125733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621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76620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1837451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5682725</v>
      </c>
      <c r="C4122" s="2" t="s">
        <v>569</v>
      </c>
      <c r="D4122" s="2" t="str">
        <f t="shared" si="63"/>
        <v>Error?</v>
      </c>
    </row>
    <row r="4123" spans="1:4" x14ac:dyDescent="0.2">
      <c r="A4123" s="5">
        <v>4062</v>
      </c>
      <c r="B4123" s="1832">
        <f>'Acct Summary 7-8'!D10</f>
        <v>589583</v>
      </c>
      <c r="C4123" s="2" t="s">
        <v>569</v>
      </c>
      <c r="D4123" s="2" t="str">
        <f t="shared" si="63"/>
        <v>Error?</v>
      </c>
    </row>
    <row r="4124" spans="1:4" x14ac:dyDescent="0.2">
      <c r="A4124" s="5">
        <v>4063</v>
      </c>
      <c r="B4124" s="1832">
        <f>'Acct Summary 7-8'!E10</f>
        <v>149896</v>
      </c>
      <c r="C4124" s="2" t="s">
        <v>569</v>
      </c>
      <c r="D4124" s="2" t="str">
        <f t="shared" si="63"/>
        <v>Error?</v>
      </c>
    </row>
    <row r="4125" spans="1:4" x14ac:dyDescent="0.2">
      <c r="A4125" s="5">
        <v>4064</v>
      </c>
      <c r="B4125" s="1832">
        <f>'Acct Summary 7-8'!F10</f>
        <v>405271</v>
      </c>
      <c r="C4125" s="2" t="s">
        <v>569</v>
      </c>
      <c r="D4125" s="2" t="str">
        <f t="shared" si="63"/>
        <v>Error?</v>
      </c>
    </row>
    <row r="4126" spans="1:4" x14ac:dyDescent="0.2">
      <c r="A4126" s="5">
        <v>4065</v>
      </c>
      <c r="B4126" s="1832">
        <f>'Acct Summary 7-8'!G10</f>
        <v>248509</v>
      </c>
      <c r="C4126" s="2" t="s">
        <v>569</v>
      </c>
      <c r="D4126" s="2" t="str">
        <f t="shared" si="63"/>
        <v>Error?</v>
      </c>
    </row>
    <row r="4127" spans="1:4" x14ac:dyDescent="0.2">
      <c r="A4127" s="5">
        <v>4066</v>
      </c>
      <c r="B4127" s="1832">
        <f>'Acct Summary 7-8'!H10</f>
        <v>233640</v>
      </c>
      <c r="C4127" s="2" t="s">
        <v>569</v>
      </c>
      <c r="D4127" s="2" t="str">
        <f t="shared" si="63"/>
        <v>Error?</v>
      </c>
    </row>
    <row r="4128" spans="1:4" x14ac:dyDescent="0.2">
      <c r="A4128" s="5">
        <v>4067</v>
      </c>
      <c r="B4128" s="1832">
        <f>'Acct Summary 7-8'!I10</f>
        <v>42990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621</v>
      </c>
      <c r="C4130" s="2" t="s">
        <v>569</v>
      </c>
      <c r="D4130" s="2" t="str">
        <f t="shared" si="63"/>
        <v>Error?</v>
      </c>
    </row>
    <row r="4131" spans="1:4" x14ac:dyDescent="0.2">
      <c r="A4131" s="5">
        <v>4070</v>
      </c>
      <c r="B4131" s="1832">
        <f>'Acct Summary 7-8'!C18</f>
        <v>1837451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5638900</v>
      </c>
      <c r="C4136" s="2" t="s">
        <v>569</v>
      </c>
      <c r="D4136" s="2" t="str">
        <f t="shared" si="63"/>
        <v>Error?</v>
      </c>
    </row>
    <row r="4137" spans="1:4" x14ac:dyDescent="0.2">
      <c r="A4137" s="5">
        <v>4076</v>
      </c>
      <c r="B4137" s="1832">
        <f>'Acct Summary 7-8'!D19</f>
        <v>483742</v>
      </c>
      <c r="C4137" s="2" t="s">
        <v>569</v>
      </c>
      <c r="D4137" s="2" t="str">
        <f t="shared" si="63"/>
        <v>Error?</v>
      </c>
    </row>
    <row r="4138" spans="1:4" x14ac:dyDescent="0.2">
      <c r="A4138" s="5">
        <v>4077</v>
      </c>
      <c r="B4138" s="1832">
        <f>'Acct Summary 7-8'!E19</f>
        <v>149565</v>
      </c>
      <c r="C4138" s="2" t="s">
        <v>569</v>
      </c>
      <c r="D4138" s="2" t="str">
        <f t="shared" si="63"/>
        <v>Error?</v>
      </c>
    </row>
    <row r="4139" spans="1:4" x14ac:dyDescent="0.2">
      <c r="A4139" s="5">
        <v>4078</v>
      </c>
      <c r="B4139" s="1832">
        <f>'Acct Summary 7-8'!F19</f>
        <v>392317</v>
      </c>
      <c r="C4139" s="2" t="s">
        <v>569</v>
      </c>
      <c r="D4139" s="2" t="str">
        <f t="shared" si="63"/>
        <v>Error?</v>
      </c>
    </row>
    <row r="4140" spans="1:4" x14ac:dyDescent="0.2">
      <c r="A4140" s="5">
        <v>4079</v>
      </c>
      <c r="B4140" s="1832">
        <f>'Acct Summary 7-8'!G19</f>
        <v>154826</v>
      </c>
      <c r="C4140" s="2" t="s">
        <v>569</v>
      </c>
      <c r="D4140" s="2" t="str">
        <f t="shared" si="63"/>
        <v>Error?</v>
      </c>
    </row>
    <row r="4141" spans="1:4" x14ac:dyDescent="0.2">
      <c r="A4141" s="5">
        <v>4080</v>
      </c>
      <c r="B4141" s="1832">
        <f>'Acct Summary 7-8'!H19</f>
        <v>94504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385600</v>
      </c>
      <c r="C4171" s="2" t="s">
        <v>569</v>
      </c>
      <c r="D4171" s="2" t="str">
        <f t="shared" si="64"/>
        <v>Error?</v>
      </c>
    </row>
    <row r="4172" spans="1:4" x14ac:dyDescent="0.2">
      <c r="A4172" s="5">
        <v>4111</v>
      </c>
      <c r="B4172" s="1832">
        <f>'Short-Term Long-Term Debt 24'!J49</f>
        <v>385207</v>
      </c>
      <c r="C4172" s="2" t="s">
        <v>569</v>
      </c>
      <c r="D4172" s="2" t="str">
        <f t="shared" si="64"/>
        <v>Error?</v>
      </c>
    </row>
    <row r="4173" spans="1:4" x14ac:dyDescent="0.2">
      <c r="A4173" s="5">
        <v>4112</v>
      </c>
      <c r="B4173" s="1832">
        <f>'Short-Term Long-Term Debt 24'!H49</f>
        <v>128600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887.6</v>
      </c>
      <c r="C4265" s="2" t="s">
        <v>569</v>
      </c>
      <c r="D4265" s="2" t="str">
        <f t="shared" si="65"/>
        <v>Error?</v>
      </c>
      <c r="E4265" s="125"/>
    </row>
    <row r="4266" spans="1:5" x14ac:dyDescent="0.2">
      <c r="A4266" s="12">
        <v>4205</v>
      </c>
      <c r="B4266" s="1832">
        <f>('FP Info 3'!F10)*100000</f>
        <v>241.20000000000002</v>
      </c>
      <c r="C4266" s="2" t="s">
        <v>569</v>
      </c>
      <c r="D4266" s="2" t="str">
        <f t="shared" si="65"/>
        <v>Error?</v>
      </c>
      <c r="E4266" s="125"/>
    </row>
    <row r="4267" spans="1:5" x14ac:dyDescent="0.2">
      <c r="A4267" s="12">
        <v>4206</v>
      </c>
      <c r="B4267" s="1832">
        <f>('FP Info 3'!H10)*100000</f>
        <v>115.8</v>
      </c>
      <c r="C4267" s="2" t="s">
        <v>569</v>
      </c>
      <c r="D4267" s="2" t="str">
        <f t="shared" si="65"/>
        <v>Error?</v>
      </c>
      <c r="E4267" s="125"/>
    </row>
    <row r="4268" spans="1:5" x14ac:dyDescent="0.2">
      <c r="A4268" s="12">
        <v>4207</v>
      </c>
      <c r="B4268" s="1832">
        <f>('FP Info 3'!J10)*100000</f>
        <v>1245</v>
      </c>
      <c r="C4268" s="2" t="s">
        <v>569</v>
      </c>
      <c r="D4268" s="2" t="str">
        <f t="shared" si="65"/>
        <v>Error?</v>
      </c>
    </row>
    <row r="4269" spans="1:5" x14ac:dyDescent="0.2">
      <c r="A4269" s="12">
        <v>4208</v>
      </c>
      <c r="B4269" s="1832">
        <f>'FP Info 3'!J16</f>
        <v>2054433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141291</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4079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64589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10912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10912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80635576</v>
      </c>
      <c r="D4995" s="2" t="str">
        <f t="shared" si="77"/>
        <v>Error?</v>
      </c>
    </row>
    <row r="4996" spans="1:4" x14ac:dyDescent="0.2">
      <c r="A4996" s="12">
        <v>4935</v>
      </c>
      <c r="B4996" s="1832">
        <f>'FP Info 3'!H31</f>
        <v>5563854.7440000009</v>
      </c>
      <c r="D4996" s="2" t="str">
        <f t="shared" si="77"/>
        <v>Error?</v>
      </c>
    </row>
    <row r="4997" spans="1:4" x14ac:dyDescent="0.2">
      <c r="A4997" s="12">
        <v>4936</v>
      </c>
      <c r="B4997" s="1832">
        <f>'FP Info 3'!H37</f>
        <v>385600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690318</v>
      </c>
      <c r="D5061" s="2" t="str">
        <f t="shared" si="78"/>
        <v>Error?</v>
      </c>
    </row>
    <row r="5062" spans="1:4" x14ac:dyDescent="0.2">
      <c r="A5062" s="10">
        <v>5001</v>
      </c>
      <c r="B5062" s="1832"/>
      <c r="D5062" s="2" t="str">
        <f t="shared" si="78"/>
        <v>OK</v>
      </c>
    </row>
    <row r="5063" spans="1:4" x14ac:dyDescent="0.2">
      <c r="A5063" s="5">
        <v>5002</v>
      </c>
      <c r="B5063" s="1832">
        <f>'Revenues 9-14'!C7</f>
        <v>15035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705353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146471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146471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3002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3002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775</v>
      </c>
      <c r="D5093" s="2" t="str">
        <f t="shared" si="78"/>
        <v>Error?</v>
      </c>
    </row>
    <row r="5094" spans="1:4" x14ac:dyDescent="0.2">
      <c r="A5094" s="5">
        <v>5033</v>
      </c>
      <c r="B5094" s="1832">
        <f>'Revenues 9-14'!C73</f>
        <v>2747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56363</v>
      </c>
      <c r="C5096" s="2" t="s">
        <v>569</v>
      </c>
      <c r="D5096" s="2" t="str">
        <f t="shared" si="78"/>
        <v>Error?</v>
      </c>
    </row>
    <row r="5097" spans="1:4" x14ac:dyDescent="0.2">
      <c r="A5097" s="5">
        <v>5036</v>
      </c>
      <c r="B5097" s="1832">
        <f>'Revenues 9-14'!C77</f>
        <v>11574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429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12003</v>
      </c>
      <c r="C5102" s="2" t="s">
        <v>569</v>
      </c>
      <c r="D5102" s="2" t="str">
        <f t="shared" si="78"/>
        <v>Error?</v>
      </c>
    </row>
    <row r="5103" spans="1:4" x14ac:dyDescent="0.2">
      <c r="A5103" s="5">
        <v>5042</v>
      </c>
      <c r="B5103" s="1832">
        <f>'Revenues 9-14'!C84</f>
        <v>9296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45</v>
      </c>
      <c r="D5111" s="2" t="str">
        <f t="shared" si="78"/>
        <v>Error?</v>
      </c>
    </row>
    <row r="5112" spans="1:4" x14ac:dyDescent="0.2">
      <c r="A5112" s="5">
        <v>5051</v>
      </c>
      <c r="B5112" s="1832">
        <f>'Revenues 9-14'!C93</f>
        <v>9341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2894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228</v>
      </c>
      <c r="D5118" s="2" t="str">
        <f t="shared" si="78"/>
        <v>Error?</v>
      </c>
    </row>
    <row r="5119" spans="1:4" x14ac:dyDescent="0.2">
      <c r="A5119" s="5">
        <v>5058</v>
      </c>
      <c r="B5119" s="1832">
        <f>'Revenues 9-14'!C107</f>
        <v>27321</v>
      </c>
      <c r="D5119" s="2" t="str">
        <f t="shared" ref="D5119:D5182" si="79">IF(ISBLANK(B5119),"OK",IF(A5119-B5119=0,"OK","Error?"))</f>
        <v>Error?</v>
      </c>
    </row>
    <row r="5120" spans="1:4" x14ac:dyDescent="0.2">
      <c r="A5120" s="5">
        <v>5059</v>
      </c>
      <c r="B5120" s="1832">
        <f>'Revenues 9-14'!C108</f>
        <v>30443</v>
      </c>
      <c r="C5120" s="2" t="s">
        <v>569</v>
      </c>
      <c r="D5120" s="2" t="str">
        <f t="shared" si="79"/>
        <v>Error?</v>
      </c>
    </row>
    <row r="5121" spans="1:4" x14ac:dyDescent="0.2">
      <c r="A5121" s="5">
        <v>5060</v>
      </c>
      <c r="B5121" s="1832">
        <f>'Revenues 9-14'!C109</f>
        <v>962976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2082774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2082774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75126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75126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1903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77029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2159803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92989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38737</v>
      </c>
      <c r="D5241" s="2" t="str">
        <f t="shared" si="80"/>
        <v>Error?</v>
      </c>
    </row>
    <row r="5242" spans="1:4" x14ac:dyDescent="0.2">
      <c r="A5242" s="5">
        <v>5181</v>
      </c>
      <c r="B5242" s="1832">
        <f>'Revenues 9-14'!C194</f>
        <v>40268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171994</v>
      </c>
      <c r="C5246" s="2" t="s">
        <v>569</v>
      </c>
      <c r="D5246" s="2" t="str">
        <f t="shared" si="80"/>
        <v>Error?</v>
      </c>
    </row>
    <row r="5247" spans="1:4" x14ac:dyDescent="0.2">
      <c r="A5247" s="5">
        <v>5186</v>
      </c>
      <c r="B5247" s="1832">
        <f>'Revenues 9-14'!C200</f>
        <v>238809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380100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1428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84727</v>
      </c>
      <c r="D5278" s="2" t="str">
        <f t="shared" si="81"/>
        <v>Error?</v>
      </c>
    </row>
    <row r="5279" spans="1:4" x14ac:dyDescent="0.2">
      <c r="A5279" s="5">
        <v>5218</v>
      </c>
      <c r="B5279" s="1832">
        <f>'Revenues 9-14'!C214</f>
        <v>4666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90821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722495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722495</v>
      </c>
      <c r="C5326" s="2" t="s">
        <v>569</v>
      </c>
      <c r="D5326" s="2" t="str">
        <f t="shared" si="82"/>
        <v>Error?</v>
      </c>
    </row>
    <row r="5327" spans="1:5" x14ac:dyDescent="0.2">
      <c r="A5327" s="5">
        <v>5266</v>
      </c>
      <c r="B5327" s="1832">
        <f>'Revenues 9-14'!C268</f>
        <v>3845274</v>
      </c>
      <c r="C5327" s="2" t="s">
        <v>569</v>
      </c>
      <c r="D5327" s="2" t="str">
        <f t="shared" si="82"/>
        <v>Error?</v>
      </c>
    </row>
    <row r="5328" spans="1:5" x14ac:dyDescent="0.2">
      <c r="A5328" s="5">
        <v>5267</v>
      </c>
      <c r="B5328" s="1832">
        <f>'Revenues 9-14'!D5</f>
        <v>187633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187633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1650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1650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10500</v>
      </c>
      <c r="D5354" s="2" t="str">
        <f t="shared" si="82"/>
        <v>Error?</v>
      </c>
    </row>
    <row r="5355" spans="1:4" x14ac:dyDescent="0.2">
      <c r="A5355" s="5">
        <v>5294</v>
      </c>
      <c r="B5355" s="1832">
        <f>'Revenues 9-14'!D108</f>
        <v>60300</v>
      </c>
      <c r="C5355" s="2" t="s">
        <v>569</v>
      </c>
      <c r="D5355" s="2" t="str">
        <f t="shared" si="82"/>
        <v>Error?</v>
      </c>
    </row>
    <row r="5356" spans="1:4" x14ac:dyDescent="0.2">
      <c r="A5356" s="5">
        <v>5295</v>
      </c>
      <c r="B5356" s="1832">
        <f>'Revenues 9-14'!D109</f>
        <v>249583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290000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290000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340000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589583</v>
      </c>
      <c r="C5508" s="2" t="s">
        <v>569</v>
      </c>
      <c r="D5508" s="2" t="str">
        <f t="shared" si="85"/>
        <v>Error?</v>
      </c>
    </row>
    <row r="5509" spans="1:4" x14ac:dyDescent="0.2">
      <c r="A5509" s="5">
        <v>5448</v>
      </c>
      <c r="B5509" s="1832">
        <f>'Revenues 9-14'!E5</f>
        <v>149667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149667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149792</v>
      </c>
      <c r="C5527" s="2" t="s">
        <v>569</v>
      </c>
      <c r="D5527" s="2" t="str">
        <f t="shared" si="85"/>
        <v>Error?</v>
      </c>
    </row>
    <row r="5528" spans="1:4" x14ac:dyDescent="0.2">
      <c r="A5528" s="5">
        <v>5467</v>
      </c>
      <c r="B5528" s="1832">
        <f>'Revenues 9-14'!E117</f>
        <v>104</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104</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104</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149896</v>
      </c>
      <c r="C5552" s="2" t="s">
        <v>569</v>
      </c>
      <c r="D5552" s="2" t="str">
        <f t="shared" si="85"/>
        <v>Error?</v>
      </c>
    </row>
    <row r="5553" spans="1:4" x14ac:dyDescent="0.2">
      <c r="A5553" s="5">
        <v>5492</v>
      </c>
      <c r="B5553" s="1832">
        <f>'Revenues 9-14'!F5</f>
        <v>90057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90057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1058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1058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91115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103563</v>
      </c>
      <c r="D5615" s="2" t="str">
        <f t="shared" si="86"/>
        <v>Error?</v>
      </c>
    </row>
    <row r="5616" spans="1:4" x14ac:dyDescent="0.2">
      <c r="A5616" s="10">
        <v>5555</v>
      </c>
      <c r="B5616" s="1832"/>
      <c r="D5616" s="2" t="str">
        <f t="shared" si="86"/>
        <v>OK</v>
      </c>
    </row>
    <row r="5617" spans="1:5" x14ac:dyDescent="0.2">
      <c r="A5617" s="5">
        <v>5556</v>
      </c>
      <c r="B5617" s="1832">
        <f>'Revenues 9-14'!F153</f>
        <v>180593</v>
      </c>
      <c r="D5617" s="2" t="str">
        <f t="shared" si="86"/>
        <v>Error?</v>
      </c>
    </row>
    <row r="5618" spans="1:5" x14ac:dyDescent="0.2">
      <c r="A5618" s="5">
        <v>5557</v>
      </c>
      <c r="B5618" s="1832">
        <f>'Revenues 9-14'!F155</f>
        <v>284156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284156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314156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405271</v>
      </c>
      <c r="C5720" s="2" t="s">
        <v>569</v>
      </c>
      <c r="D5720" s="2" t="str">
        <f t="shared" si="88"/>
        <v>Error?</v>
      </c>
    </row>
    <row r="5721" spans="1:4" x14ac:dyDescent="0.2">
      <c r="A5721" s="5">
        <v>5660</v>
      </c>
      <c r="B5721" s="1832">
        <f>'Revenues 9-14'!G5</f>
        <v>136452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100081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236533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10000</v>
      </c>
      <c r="C5730" s="2" t="s">
        <v>569</v>
      </c>
      <c r="D5730" s="2" t="str">
        <f t="shared" si="88"/>
        <v>Error?</v>
      </c>
    </row>
    <row r="5731" spans="1:4" x14ac:dyDescent="0.2">
      <c r="A5731" s="5">
        <v>5670</v>
      </c>
      <c r="B5731" s="1832">
        <f>'Revenues 9-14'!G65</f>
        <v>1976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1976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248509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4643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4643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228997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233640</v>
      </c>
      <c r="C5915" s="2" t="s">
        <v>569</v>
      </c>
      <c r="D5915" s="2" t="str">
        <f t="shared" si="91"/>
        <v>Error?</v>
      </c>
    </row>
    <row r="5916" spans="1:4" x14ac:dyDescent="0.2">
      <c r="A5916" s="5">
        <v>5855</v>
      </c>
      <c r="B5916" s="1832">
        <f>'Revenues 9-14'!I5</f>
        <v>37587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37587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5403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5403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42990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621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621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621</v>
      </c>
      <c r="C6023" s="2" t="s">
        <v>569</v>
      </c>
      <c r="D6023" s="2" t="str">
        <f t="shared" si="93"/>
        <v>Error?</v>
      </c>
    </row>
    <row r="6024" spans="1:5" x14ac:dyDescent="0.2">
      <c r="A6024" s="5">
        <v>5963</v>
      </c>
      <c r="B6024" s="1832">
        <f>'Revenues 9-14'!G109</f>
        <v>248509</v>
      </c>
      <c r="C6024" s="2" t="s">
        <v>569</v>
      </c>
      <c r="D6024" s="2" t="str">
        <f t="shared" si="93"/>
        <v>Error?</v>
      </c>
    </row>
    <row r="6025" spans="1:5" x14ac:dyDescent="0.2">
      <c r="A6025" s="5">
        <v>5964</v>
      </c>
      <c r="B6025" s="1832">
        <f>'Revenues 9-14'!H109</f>
        <v>233640</v>
      </c>
      <c r="C6025" s="2" t="s">
        <v>569</v>
      </c>
      <c r="D6025" s="2" t="str">
        <f t="shared" si="93"/>
        <v>Error?</v>
      </c>
    </row>
    <row r="6026" spans="1:5" x14ac:dyDescent="0.2">
      <c r="A6026" s="5">
        <v>5965</v>
      </c>
      <c r="B6026" s="1832">
        <f>'Revenues 9-14'!I109</f>
        <v>42990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621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52841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27850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493.8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444617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444617</v>
      </c>
      <c r="D6215" s="2" t="str">
        <f t="shared" si="96"/>
        <v>Error?</v>
      </c>
      <c r="E6215" s="2" t="s">
        <v>189</v>
      </c>
    </row>
    <row r="6216" spans="1:5" x14ac:dyDescent="0.2">
      <c r="A6216">
        <v>6155</v>
      </c>
      <c r="B6216" s="1832">
        <f>'Assets-Liab 5-6'!J41</f>
        <v>444617</v>
      </c>
      <c r="D6216" s="2" t="str">
        <f t="shared" si="96"/>
        <v>Error?</v>
      </c>
      <c r="E6216" s="2" t="s">
        <v>189</v>
      </c>
    </row>
    <row r="6217" spans="1:5" x14ac:dyDescent="0.2">
      <c r="A6217">
        <v>6156</v>
      </c>
      <c r="B6217" s="1832">
        <f>'Assets-Liab 5-6'!J4</f>
        <v>444617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153848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153848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153848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96318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96318</v>
      </c>
      <c r="D6229" s="2" t="str">
        <f t="shared" si="96"/>
        <v>Error?</v>
      </c>
      <c r="E6229" s="2" t="s">
        <v>189</v>
      </c>
    </row>
    <row r="6230" spans="1:5" x14ac:dyDescent="0.2">
      <c r="A6230">
        <v>6169</v>
      </c>
      <c r="B6230" s="1832">
        <f>'Acct Summary 7-8'!J20</f>
        <v>57530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57530</v>
      </c>
      <c r="D6263" s="2" t="str">
        <f t="shared" si="96"/>
        <v>Error?</v>
      </c>
      <c r="E6263" s="2" t="s">
        <v>189</v>
      </c>
    </row>
    <row r="6264" spans="1:5" x14ac:dyDescent="0.2">
      <c r="A6264">
        <v>6203</v>
      </c>
      <c r="B6264" s="1832">
        <f>'Acct Summary 7-8'!J79</f>
        <v>387087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444617</v>
      </c>
      <c r="D6266" s="2" t="str">
        <f t="shared" si="96"/>
        <v>Error?</v>
      </c>
      <c r="E6266" s="2" t="s">
        <v>189</v>
      </c>
    </row>
    <row r="6267" spans="1:5" x14ac:dyDescent="0.2">
      <c r="A6267">
        <v>6206</v>
      </c>
      <c r="B6267" s="1832">
        <f>'Acct Summary 7-8'!C82</f>
        <v>48337</v>
      </c>
      <c r="D6267" s="2" t="str">
        <f t="shared" si="96"/>
        <v>Error?</v>
      </c>
      <c r="E6267" s="2" t="s">
        <v>189</v>
      </c>
    </row>
    <row r="6268" spans="1:5" x14ac:dyDescent="0.2">
      <c r="A6268">
        <v>6207</v>
      </c>
      <c r="B6268" s="1832">
        <f>'Acct Summary 7-8'!D82</f>
        <v>105841</v>
      </c>
      <c r="D6268" s="2" t="str">
        <f t="shared" si="96"/>
        <v>Error?</v>
      </c>
      <c r="E6268" s="2" t="s">
        <v>189</v>
      </c>
    </row>
    <row r="6269" spans="1:5" x14ac:dyDescent="0.2">
      <c r="A6269">
        <v>6208</v>
      </c>
      <c r="B6269" s="1832">
        <f>'Acct Summary 7-8'!E82</f>
        <v>331</v>
      </c>
      <c r="D6269" s="2" t="str">
        <f t="shared" si="96"/>
        <v>Error?</v>
      </c>
      <c r="E6269" s="2" t="s">
        <v>189</v>
      </c>
    </row>
    <row r="6270" spans="1:5" x14ac:dyDescent="0.2">
      <c r="A6270">
        <v>6209</v>
      </c>
      <c r="B6270" s="1832">
        <f>'Acct Summary 7-8'!F82</f>
        <v>12954</v>
      </c>
      <c r="D6270" s="2" t="str">
        <f t="shared" si="96"/>
        <v>Error?</v>
      </c>
      <c r="E6270" s="2" t="s">
        <v>189</v>
      </c>
    </row>
    <row r="6271" spans="1:5" x14ac:dyDescent="0.2">
      <c r="A6271">
        <v>6210</v>
      </c>
      <c r="B6271" s="1832">
        <f>'Acct Summary 7-8'!G82</f>
        <v>89171</v>
      </c>
      <c r="D6271" s="2" t="str">
        <f t="shared" ref="D6271:D6334" si="97">IF(ISBLANK(B6271),"OK",IF(A6271-B6271=0,"OK","Error?"))</f>
        <v>Error?</v>
      </c>
      <c r="E6271" s="2" t="s">
        <v>189</v>
      </c>
    </row>
    <row r="6272" spans="1:5" x14ac:dyDescent="0.2">
      <c r="A6272">
        <v>6211</v>
      </c>
      <c r="B6272" s="1832">
        <f>'Acct Summary 7-8'!H82</f>
        <v>139136</v>
      </c>
      <c r="D6272" s="2" t="str">
        <f t="shared" si="97"/>
        <v>Error?</v>
      </c>
      <c r="E6272" s="2" t="s">
        <v>189</v>
      </c>
    </row>
    <row r="6273" spans="1:5" x14ac:dyDescent="0.2">
      <c r="A6273">
        <v>6212</v>
      </c>
      <c r="B6273" s="1832">
        <f>'Acct Summary 7-8'!I82</f>
        <v>42990</v>
      </c>
      <c r="D6273" s="2" t="str">
        <f t="shared" si="97"/>
        <v>Error?</v>
      </c>
      <c r="E6273" s="2" t="s">
        <v>189</v>
      </c>
    </row>
    <row r="6274" spans="1:5" x14ac:dyDescent="0.2">
      <c r="A6274">
        <v>6213</v>
      </c>
      <c r="B6274" s="1832">
        <f>'Acct Summary 7-8'!J82</f>
        <v>57530</v>
      </c>
      <c r="D6274" s="2" t="str">
        <f t="shared" si="97"/>
        <v>Error?</v>
      </c>
      <c r="E6274" s="2" t="s">
        <v>189</v>
      </c>
    </row>
    <row r="6275" spans="1:5" x14ac:dyDescent="0.2">
      <c r="A6275">
        <v>6214</v>
      </c>
      <c r="B6275" s="1832">
        <f>'Acct Summary 7-8'!K82</f>
        <v>621</v>
      </c>
      <c r="D6275" s="2" t="str">
        <f t="shared" si="97"/>
        <v>Error?</v>
      </c>
      <c r="E6275" s="2" t="s">
        <v>189</v>
      </c>
    </row>
    <row r="6276" spans="1:5" x14ac:dyDescent="0.2">
      <c r="A6276">
        <v>6215</v>
      </c>
      <c r="B6276" s="1832">
        <f>'Acct Summary 7-8'!C83</f>
        <v>9.8245136218404722E-2</v>
      </c>
      <c r="D6276" s="2" t="str">
        <f t="shared" si="97"/>
        <v>Error?</v>
      </c>
      <c r="E6276" s="2" t="s">
        <v>189</v>
      </c>
    </row>
    <row r="6277" spans="1:5" x14ac:dyDescent="0.2">
      <c r="A6277">
        <v>6216</v>
      </c>
      <c r="B6277" s="1832">
        <f>'Acct Summary 7-8'!D83</f>
        <v>0.39616341960960455</v>
      </c>
      <c r="D6277" s="2" t="str">
        <f t="shared" si="97"/>
        <v>Error?</v>
      </c>
      <c r="E6277" s="2" t="s">
        <v>189</v>
      </c>
    </row>
    <row r="6278" spans="1:5" x14ac:dyDescent="0.2">
      <c r="A6278">
        <v>6217</v>
      </c>
      <c r="B6278" s="1832">
        <f>'Acct Summary 7-8'!E83</f>
        <v>0.84223918575063617</v>
      </c>
      <c r="D6278" s="2" t="str">
        <f t="shared" si="97"/>
        <v>Error?</v>
      </c>
      <c r="E6278" s="2" t="s">
        <v>189</v>
      </c>
    </row>
    <row r="6279" spans="1:5" x14ac:dyDescent="0.2">
      <c r="A6279">
        <v>6218</v>
      </c>
      <c r="B6279" s="1832">
        <f>'Acct Summary 7-8'!F83</f>
        <v>6.2905481527524176E-2</v>
      </c>
      <c r="D6279" s="2" t="str">
        <f t="shared" si="97"/>
        <v>Error?</v>
      </c>
      <c r="E6279" s="2" t="s">
        <v>189</v>
      </c>
    </row>
    <row r="6280" spans="1:5" x14ac:dyDescent="0.2">
      <c r="A6280">
        <v>6219</v>
      </c>
      <c r="B6280" s="1832">
        <f>'Acct Summary 7-8'!G83</f>
        <v>0.23322679527954471</v>
      </c>
      <c r="D6280" s="2" t="str">
        <f t="shared" si="97"/>
        <v>Error?</v>
      </c>
      <c r="E6280" s="2" t="s">
        <v>189</v>
      </c>
    </row>
    <row r="6281" spans="1:5" x14ac:dyDescent="0.2">
      <c r="A6281">
        <v>6220</v>
      </c>
      <c r="B6281" s="1832">
        <f>'Acct Summary 7-8'!H83</f>
        <v>0.13935101862173332</v>
      </c>
      <c r="D6281" s="2" t="str">
        <f t="shared" si="97"/>
        <v>Error?</v>
      </c>
      <c r="E6281" s="2" t="s">
        <v>189</v>
      </c>
    </row>
    <row r="6282" spans="1:5" x14ac:dyDescent="0.2">
      <c r="A6282">
        <v>6221</v>
      </c>
      <c r="B6282" s="1832">
        <f>'Acct Summary 7-8'!I83</f>
        <v>3.9464407675868604E-2</v>
      </c>
      <c r="D6282" s="2" t="str">
        <f t="shared" si="97"/>
        <v>Error?</v>
      </c>
      <c r="E6282" s="2" t="s">
        <v>189</v>
      </c>
    </row>
    <row r="6283" spans="1:5" x14ac:dyDescent="0.2">
      <c r="A6283">
        <v>6222</v>
      </c>
      <c r="B6283" s="1832">
        <f>'Acct Summary 7-8'!J83</f>
        <v>0.1293922634537141</v>
      </c>
      <c r="D6283" s="2" t="str">
        <f t="shared" si="97"/>
        <v>Error?</v>
      </c>
      <c r="E6283" s="2" t="s">
        <v>189</v>
      </c>
    </row>
    <row r="6284" spans="1:5" x14ac:dyDescent="0.2">
      <c r="A6284">
        <v>6223</v>
      </c>
      <c r="B6284" s="1832">
        <f>'Acct Summary 7-8'!K83</f>
        <v>4.939037484192694E-3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150121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150121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2215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2215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49800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1512</v>
      </c>
      <c r="D6350" s="2" t="str">
        <f t="shared" si="98"/>
        <v>Error?</v>
      </c>
      <c r="E6350" s="2" t="s">
        <v>189</v>
      </c>
    </row>
    <row r="6351" spans="1:5" x14ac:dyDescent="0.2">
      <c r="A6351">
        <v>6290</v>
      </c>
      <c r="B6351" s="1832">
        <f>'Revenues 9-14'!J108</f>
        <v>1512</v>
      </c>
      <c r="D6351" s="2" t="str">
        <f t="shared" si="98"/>
        <v>Error?</v>
      </c>
      <c r="E6351" s="2" t="s">
        <v>189</v>
      </c>
    </row>
    <row r="6352" spans="1:5" x14ac:dyDescent="0.2">
      <c r="A6352">
        <v>6291</v>
      </c>
      <c r="B6352" s="1832">
        <f>'Revenues 9-14'!J109</f>
        <v>153848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96318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153848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13045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13045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4735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4735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10171</v>
      </c>
      <c r="D7172" s="2" t="str">
        <f t="shared" si="111"/>
        <v>Error?</v>
      </c>
    </row>
    <row r="7173" spans="1:4" x14ac:dyDescent="0.2">
      <c r="A7173">
        <v>7112</v>
      </c>
      <c r="B7173" s="1832">
        <f>'Expenditures 15-22'!D325</f>
        <v>1312</v>
      </c>
      <c r="D7173" s="2" t="str">
        <f t="shared" si="111"/>
        <v>Error?</v>
      </c>
    </row>
    <row r="7174" spans="1:4" x14ac:dyDescent="0.2">
      <c r="A7174">
        <v>7113</v>
      </c>
      <c r="B7174" s="1832">
        <f>'Expenditures 15-22'!E325</f>
        <v>17949</v>
      </c>
      <c r="D7174" s="2" t="str">
        <f t="shared" si="111"/>
        <v>Error?</v>
      </c>
    </row>
    <row r="7175" spans="1:4" x14ac:dyDescent="0.2">
      <c r="A7175">
        <v>7114</v>
      </c>
      <c r="B7175" s="1832">
        <f>'Expenditures 15-22'!F325</f>
        <v>7190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36622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6483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6483</v>
      </c>
      <c r="D7198" s="2" t="str">
        <f t="shared" si="111"/>
        <v>Error?</v>
      </c>
    </row>
    <row r="7199" spans="1:4" x14ac:dyDescent="0.2">
      <c r="A7199">
        <v>7138</v>
      </c>
      <c r="B7199" s="1832">
        <f>'Expenditures 15-22'!C330</f>
        <v>10171</v>
      </c>
      <c r="D7199" s="2" t="str">
        <f t="shared" si="111"/>
        <v>Error?</v>
      </c>
    </row>
    <row r="7200" spans="1:4" x14ac:dyDescent="0.2">
      <c r="A7200">
        <v>7139</v>
      </c>
      <c r="B7200" s="1832">
        <f>'Expenditures 15-22'!D330</f>
        <v>1312</v>
      </c>
      <c r="D7200" s="2" t="str">
        <f t="shared" si="111"/>
        <v>Error?</v>
      </c>
    </row>
    <row r="7201" spans="1:4" x14ac:dyDescent="0.2">
      <c r="A7201">
        <v>7140</v>
      </c>
      <c r="B7201" s="1832">
        <f>'Expenditures 15-22'!E330</f>
        <v>77645</v>
      </c>
      <c r="D7201" s="2" t="str">
        <f t="shared" si="111"/>
        <v>Error?</v>
      </c>
    </row>
    <row r="7202" spans="1:4" x14ac:dyDescent="0.2">
      <c r="A7202">
        <v>7141</v>
      </c>
      <c r="B7202" s="1832">
        <f>'Expenditures 15-22'!F330</f>
        <v>7190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96318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10171</v>
      </c>
      <c r="D7216" s="2" t="str">
        <f t="shared" si="111"/>
        <v>Error?</v>
      </c>
    </row>
    <row r="7217" spans="1:4" x14ac:dyDescent="0.2">
      <c r="A7217">
        <v>7156</v>
      </c>
      <c r="B7217" s="1832">
        <f>'Expenditures 15-22'!D342</f>
        <v>1312</v>
      </c>
      <c r="D7217" s="2" t="str">
        <f t="shared" si="111"/>
        <v>Error?</v>
      </c>
    </row>
    <row r="7218" spans="1:4" x14ac:dyDescent="0.2">
      <c r="A7218">
        <v>7157</v>
      </c>
      <c r="B7218" s="1832">
        <f>'Expenditures 15-22'!E342</f>
        <v>77645</v>
      </c>
      <c r="D7218" s="2" t="str">
        <f t="shared" si="111"/>
        <v>Error?</v>
      </c>
    </row>
    <row r="7219" spans="1:4" x14ac:dyDescent="0.2">
      <c r="A7219">
        <v>7158</v>
      </c>
      <c r="B7219" s="1832">
        <f>'Expenditures 15-22'!F342</f>
        <v>7190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96318</v>
      </c>
      <c r="D7224" s="2" t="str">
        <f t="shared" si="111"/>
        <v>Error?</v>
      </c>
    </row>
    <row r="7225" spans="1:4" x14ac:dyDescent="0.2">
      <c r="A7225">
        <v>7164</v>
      </c>
      <c r="B7225" s="1832">
        <f>'Expenditures 15-22'!K343</f>
        <v>57530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188614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35433</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35433</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15035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228997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900000</v>
      </c>
      <c r="D7817" s="2" t="str">
        <f t="shared" si="128"/>
        <v>Error?</v>
      </c>
      <c r="E7817" s="4" t="s">
        <v>1965</v>
      </c>
    </row>
    <row r="7818" spans="1:5" x14ac:dyDescent="0.2">
      <c r="A7818">
        <v>7757</v>
      </c>
      <c r="B7818" s="1832">
        <f>'PCTC-OEPP 27-28'!F172</f>
        <v>138136</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-399410</v>
      </c>
      <c r="D7820" s="2" t="str">
        <f t="shared" si="128"/>
        <v>Error?</v>
      </c>
    </row>
    <row r="7821" spans="1:5" x14ac:dyDescent="0.2">
      <c r="A7821">
        <v>7760</v>
      </c>
      <c r="B7821" s="1832">
        <f>'ICR Computation 30'!G40</f>
        <v>-399410</v>
      </c>
      <c r="D7821" s="2" t="str">
        <f t="shared" si="128"/>
        <v>Error?</v>
      </c>
    </row>
    <row r="7822" spans="1:5" x14ac:dyDescent="0.2">
      <c r="A7822" s="1">
        <v>7761</v>
      </c>
      <c r="B7822" s="1832">
        <f>'PCTC-OEPP 27-28'!F14</f>
        <v>5078217</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3977</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487327</v>
      </c>
      <c r="D7834" s="2" t="str">
        <f t="shared" si="129"/>
        <v>Error?</v>
      </c>
      <c r="E7834" s="4" t="s">
        <v>1997</v>
      </c>
    </row>
    <row r="7835" spans="1:5" x14ac:dyDescent="0.2">
      <c r="A7835">
        <v>7774</v>
      </c>
      <c r="B7835" s="1832">
        <f>'PCTC-OEPP 27-28'!F78</f>
        <v>4590890</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9297.0635884973672</v>
      </c>
      <c r="D7837" s="2" t="str">
        <f t="shared" si="129"/>
        <v>Error?</v>
      </c>
      <c r="E7837" s="4" t="s">
        <v>1997</v>
      </c>
    </row>
    <row r="7838" spans="1:5" x14ac:dyDescent="0.2">
      <c r="A7838">
        <v>7777</v>
      </c>
      <c r="B7838" s="1832">
        <f>'PCTC-OEPP 27-28'!F96</f>
        <v>12003</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75126</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284156</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10912</v>
      </c>
      <c r="D7857" s="2" t="str">
        <f t="shared" si="129"/>
        <v>Error?</v>
      </c>
      <c r="E7857" s="4" t="s">
        <v>1997</v>
      </c>
    </row>
    <row r="7858" spans="1:5" x14ac:dyDescent="0.2">
      <c r="A7858">
        <v>7797</v>
      </c>
      <c r="B7858" s="1832">
        <f>'PCTC-OEPP 27-28'!F126</f>
        <v>171994</v>
      </c>
      <c r="D7858" s="2" t="str">
        <f t="shared" si="129"/>
        <v>Error?</v>
      </c>
      <c r="E7858" s="4" t="s">
        <v>1997</v>
      </c>
    </row>
    <row r="7859" spans="1:5" x14ac:dyDescent="0.2">
      <c r="A7859">
        <v>7798</v>
      </c>
      <c r="B7859" s="1832">
        <f>'PCTC-OEPP 27-28'!F127</f>
        <v>380100</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84727</v>
      </c>
      <c r="D7861" s="2" t="str">
        <f t="shared" si="129"/>
        <v>Error?</v>
      </c>
      <c r="E7861" s="4" t="s">
        <v>1997</v>
      </c>
    </row>
    <row r="7862" spans="1:5" x14ac:dyDescent="0.2">
      <c r="A7862">
        <v>7801</v>
      </c>
      <c r="B7862" s="1832">
        <f>'PCTC-OEPP 27-28'!F130</f>
        <v>4666</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4079</v>
      </c>
      <c r="D7874" s="2" t="str">
        <f t="shared" si="129"/>
        <v>Error?</v>
      </c>
      <c r="E7874" s="4" t="s">
        <v>1997</v>
      </c>
    </row>
    <row r="7875" spans="1:5" x14ac:dyDescent="0.2">
      <c r="A7875">
        <v>7814</v>
      </c>
      <c r="B7875" s="1832">
        <f>'PCTC-OEPP 27-28'!F170</f>
        <v>64589</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1348323</v>
      </c>
      <c r="D7877" s="2" t="str">
        <f t="shared" si="129"/>
        <v>Error?</v>
      </c>
      <c r="E7877" s="4" t="s">
        <v>1997</v>
      </c>
    </row>
    <row r="7878" spans="1:5" x14ac:dyDescent="0.2">
      <c r="A7878">
        <v>7817</v>
      </c>
      <c r="B7878" s="1832">
        <f>'PCTC-OEPP 27-28'!F176</f>
        <v>3242567</v>
      </c>
      <c r="D7878" s="2" t="str">
        <f t="shared" si="129"/>
        <v>Error?</v>
      </c>
      <c r="E7878" s="4" t="s">
        <v>1997</v>
      </c>
    </row>
    <row r="7879" spans="1:5" x14ac:dyDescent="0.2">
      <c r="A7879">
        <v>7818</v>
      </c>
      <c r="B7879" s="1832">
        <f>'PCTC-OEPP 27-28'!F178</f>
        <v>3431181</v>
      </c>
      <c r="D7879" s="2" t="str">
        <f t="shared" si="129"/>
        <v>Error?</v>
      </c>
      <c r="E7879" s="4" t="s">
        <v>1997</v>
      </c>
    </row>
    <row r="7880" spans="1:5" x14ac:dyDescent="0.2">
      <c r="A7880">
        <v>7819</v>
      </c>
      <c r="B7880" s="1832">
        <f>'PCTC-OEPP 27-28'!F180</f>
        <v>6948.5236938031594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A17" sqref="A17:H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Pinckneyville SD 50</v>
      </c>
      <c r="B7" s="2515"/>
      <c r="C7" s="2515"/>
      <c r="D7" s="2553"/>
      <c r="E7" s="2554">
        <f>COVER!A13</f>
        <v>30073050002</v>
      </c>
      <c r="F7" s="2555"/>
      <c r="G7" s="2521" t="str">
        <f>COVER!T23</f>
        <v>060-004252</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Emling &amp; Hoffman, PC</v>
      </c>
      <c r="H9" s="2528"/>
      <c r="I9" s="2528"/>
      <c r="J9" s="2528"/>
      <c r="K9" s="2528"/>
      <c r="L9" s="2529"/>
    </row>
    <row r="10" spans="1:29" ht="13.5" customHeight="1" x14ac:dyDescent="0.2">
      <c r="A10" s="2511" t="str">
        <f>COVER!A38</f>
        <v>Gregory Scott Wagner</v>
      </c>
      <c r="B10" s="2512"/>
      <c r="C10" s="2512"/>
      <c r="D10" s="2512"/>
      <c r="E10" s="2512"/>
      <c r="F10" s="2513"/>
      <c r="G10" s="2527" t="str">
        <f>COVER!T17</f>
        <v>105 East Main Street</v>
      </c>
      <c r="H10" s="2540"/>
      <c r="I10" s="2540"/>
      <c r="J10" s="2540"/>
      <c r="K10" s="2540"/>
      <c r="L10" s="2541"/>
    </row>
    <row r="11" spans="1:29" ht="13.5" customHeight="1" x14ac:dyDescent="0.2">
      <c r="A11" s="963" t="s">
        <v>1502</v>
      </c>
      <c r="B11" s="964"/>
      <c r="C11" s="965"/>
      <c r="D11" s="970"/>
      <c r="E11" s="965"/>
      <c r="F11" s="969"/>
      <c r="G11" s="2527" t="str">
        <f>COVER!T19</f>
        <v xml:space="preserve">DuQuoin </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sarahkary@emlingcpa.com</v>
      </c>
      <c r="J13" s="2549"/>
      <c r="K13" s="2549"/>
      <c r="L13" s="2550"/>
    </row>
    <row r="14" spans="1:29" ht="13.5" customHeight="1" x14ac:dyDescent="0.2">
      <c r="A14" s="2527" t="str">
        <f>COVER!A19</f>
        <v>301 West Mulberry</v>
      </c>
      <c r="B14" s="2540"/>
      <c r="C14" s="2540"/>
      <c r="D14" s="2540"/>
      <c r="E14" s="2540"/>
      <c r="F14" s="2541"/>
      <c r="G14" s="974" t="s">
        <v>1175</v>
      </c>
      <c r="H14" s="972"/>
      <c r="I14" s="972"/>
      <c r="J14" s="972"/>
      <c r="K14" s="972"/>
      <c r="L14" s="973"/>
    </row>
    <row r="15" spans="1:29" ht="13.5" customHeight="1" x14ac:dyDescent="0.2">
      <c r="A15" s="2527" t="str">
        <f>COVER!A21</f>
        <v xml:space="preserve">Pinckneyville </v>
      </c>
      <c r="B15" s="2540"/>
      <c r="C15" s="2540"/>
      <c r="D15" s="2540"/>
      <c r="E15" s="2540"/>
      <c r="F15" s="2541"/>
      <c r="G15" s="2537" t="str">
        <f>COVER!T15</f>
        <v>Sarah Kary</v>
      </c>
      <c r="H15" s="2538"/>
      <c r="I15" s="2538"/>
      <c r="J15" s="2538"/>
      <c r="K15" s="2538"/>
      <c r="L15" s="2539"/>
    </row>
    <row r="16" spans="1:29" ht="12.2" customHeight="1" x14ac:dyDescent="0.2">
      <c r="A16" s="2517">
        <f>COVER!A25</f>
        <v>62274</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618-542-4747</v>
      </c>
      <c r="H18" s="2515"/>
      <c r="I18" s="2515"/>
      <c r="J18" s="2515"/>
      <c r="K18" s="2514" t="str">
        <f>COVER!X21</f>
        <v>618-542-6141</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17" sqref="A17:H1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Pinckneyville SD 50</v>
      </c>
      <c r="B1" s="2557"/>
      <c r="C1" s="2557"/>
      <c r="D1" s="2557"/>
    </row>
    <row r="2" spans="1:11" s="991" customFormat="1" ht="12.75" x14ac:dyDescent="0.2">
      <c r="A2" s="2558">
        <f>'Single Audit Cover'!E7</f>
        <v>30073050002</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17" sqref="A17:H1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Pinckneyville SD 50</v>
      </c>
      <c r="B1" s="2561"/>
      <c r="C1" s="2561"/>
      <c r="D1" s="2561"/>
      <c r="E1" s="2561"/>
    </row>
    <row r="2" spans="1:5" x14ac:dyDescent="0.2">
      <c r="A2" s="2562">
        <f>'Single Audit Cover'!E7</f>
        <v>30073050002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722495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27850</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-64589</v>
      </c>
    </row>
    <row r="19" spans="1:4" ht="13.5" thickBot="1" x14ac:dyDescent="0.25">
      <c r="A19" s="1041" t="s">
        <v>1224</v>
      </c>
      <c r="D19" s="1042">
        <f>SUM(D10:D17)</f>
        <v>685756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685756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685756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17" sqref="A17:H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Pinckneyville SD 50</v>
      </c>
      <c r="C1" s="2565"/>
      <c r="D1" s="2565"/>
      <c r="E1" s="2565"/>
      <c r="F1" s="2565"/>
      <c r="G1" s="2565"/>
      <c r="H1" s="2565"/>
      <c r="I1" s="2565"/>
      <c r="J1" s="2565"/>
      <c r="K1" s="2565"/>
      <c r="L1" s="2565"/>
      <c r="M1" s="2565"/>
    </row>
    <row r="2" spans="2:14" ht="15" x14ac:dyDescent="0.2">
      <c r="B2" s="2566">
        <f>'Single Audit Cover'!E7</f>
        <v>30073050002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B42" sqref="AB4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Pinckneyville SD 50</v>
      </c>
      <c r="B1" s="2570"/>
      <c r="C1" s="2570"/>
      <c r="D1" s="2570"/>
      <c r="E1" s="2570"/>
      <c r="F1" s="2570"/>
    </row>
    <row r="2" spans="1:7" ht="13.5" customHeight="1" x14ac:dyDescent="0.2">
      <c r="A2" s="2566">
        <f>'Single Audit Cover'!E7</f>
        <v>30073050002</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Normal="100" workbookViewId="0">
      <selection activeCell="A17" sqref="A17:H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t="s">
        <v>2050</v>
      </c>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2076</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1988</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1988</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2051</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2&amp;C &amp;R&amp;8Page 2</oddHeader>
    <oddFooter>&amp;L&amp;8Printed: &amp;D  &amp;F</oddFooter>
    <evenHeader>&amp;LPage 2a&amp;RPage 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A17" sqref="A17:H17"/>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Pinckneyville SD 50</v>
      </c>
      <c r="C1" s="2586"/>
      <c r="D1" s="2586"/>
      <c r="E1" s="2586"/>
      <c r="F1" s="2586"/>
      <c r="G1" s="2586"/>
      <c r="H1" s="2586"/>
      <c r="I1" s="2586"/>
      <c r="J1" s="1178"/>
    </row>
    <row r="2" spans="2:10" s="295" customFormat="1" ht="12.75" customHeight="1" x14ac:dyDescent="0.2">
      <c r="B2" s="2587">
        <f>'Single Audit Cover'!E7</f>
        <v>30073050002</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1154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2050</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 xml:space="preserve">&amp;L&amp;8Page 37&amp;R&amp;8Page 37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Pinckneyville SD 50</v>
      </c>
      <c r="C1" s="2585"/>
      <c r="D1" s="2585"/>
      <c r="E1" s="2585"/>
      <c r="F1" s="2585"/>
      <c r="G1" s="2585"/>
      <c r="H1" s="2585"/>
      <c r="I1" s="2585"/>
      <c r="J1" s="2585"/>
      <c r="K1" s="2585"/>
      <c r="L1" s="1144"/>
      <c r="M1" s="1144"/>
    </row>
    <row r="2" spans="1:13" ht="12" customHeight="1" x14ac:dyDescent="0.2">
      <c r="B2" s="2587">
        <f>'Single Audit Cover'!E7</f>
        <v>30073050002</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t="s">
        <v>2050</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Pinckneyville SD 50</v>
      </c>
      <c r="C1" s="2612"/>
      <c r="D1" s="2612"/>
      <c r="E1" s="2612"/>
      <c r="F1" s="2612"/>
      <c r="G1" s="2612"/>
      <c r="H1" s="2612"/>
      <c r="I1" s="2612"/>
      <c r="J1" s="2612"/>
      <c r="K1" s="2612"/>
      <c r="L1" s="1221"/>
    </row>
    <row r="2" spans="1:12" ht="12.75" customHeight="1" x14ac:dyDescent="0.2">
      <c r="B2" s="2613">
        <f>'Single Audit Cover'!E7</f>
        <v>30073050002</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Pinckneyville SD 50</v>
      </c>
      <c r="C1" s="2585"/>
      <c r="D1" s="2585"/>
      <c r="E1" s="1240"/>
    </row>
    <row r="2" spans="2:5" s="1058" customFormat="1" ht="12.75" customHeight="1" x14ac:dyDescent="0.2">
      <c r="B2" s="2587">
        <f>'Single Audit Cover'!E7</f>
        <v>30073050002</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t="s">
        <v>2078</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 xml:space="preserve">&amp;L&amp;8Page 38&amp;R&amp;8Page 38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7" sqref="A17:H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80635576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8.8760000000000002E-3</v>
      </c>
      <c r="E10" s="333" t="s">
        <v>998</v>
      </c>
      <c r="F10" s="332">
        <v>2.4120000000000001E-3</v>
      </c>
      <c r="G10" s="333" t="s">
        <v>998</v>
      </c>
      <c r="H10" s="332">
        <v>1.158E-3</v>
      </c>
      <c r="I10" s="333" t="s">
        <v>999</v>
      </c>
      <c r="J10" s="1424">
        <f>ROUND(D10+F10+H10,5)</f>
        <v>1.2449999999999999E-2</v>
      </c>
      <c r="K10" s="217"/>
      <c r="L10" s="332">
        <v>4.8299999999999998E-4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4883118</v>
      </c>
      <c r="E16" s="1547"/>
      <c r="F16" s="1546">
        <f>SUM('Acct Summary 7-8'!C17,'Acct Summary 7-8'!D17,'Acct Summary 7-8'!F17)</f>
        <v>4677508</v>
      </c>
      <c r="G16" s="1547"/>
      <c r="H16" s="1546">
        <f>SUM(D16-F16)</f>
        <v>205610</v>
      </c>
      <c r="I16" s="1548"/>
      <c r="J16" s="1546">
        <f>SUM('Acct Summary 7-8'!C81,'Acct Summary 7-8'!D81,'Acct Summary 7-8'!F81,'Acct Summary 7-8'!I81)</f>
        <v>2054433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1063</v>
      </c>
      <c r="E31" s="217"/>
      <c r="F31" s="217"/>
      <c r="G31" s="340"/>
      <c r="H31" s="1425">
        <f>IF(B31="X",(J7*0.069),IF(B32="X",(J7*0.138),"Enter x in a.or b."))</f>
        <v>5563854.7440000009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385600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7" sqref="A17:H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Pinckneyville SD 50</v>
      </c>
      <c r="E7" s="368"/>
      <c r="G7" s="247"/>
      <c r="H7" s="364"/>
      <c r="I7" s="364"/>
      <c r="J7" s="364"/>
      <c r="K7" s="364"/>
      <c r="L7" s="307"/>
      <c r="M7" s="307"/>
      <c r="N7" s="307"/>
      <c r="O7" s="307"/>
      <c r="P7" s="307"/>
    </row>
    <row r="8" spans="1:18" ht="12.75" x14ac:dyDescent="0.2">
      <c r="A8" s="307"/>
      <c r="B8" s="307"/>
      <c r="C8" s="366" t="s">
        <v>1115</v>
      </c>
      <c r="D8" s="369">
        <f>COVER!A13</f>
        <v>30073050002</v>
      </c>
      <c r="E8" s="370"/>
      <c r="G8" s="307"/>
      <c r="H8" s="307"/>
      <c r="I8" s="307"/>
      <c r="J8" s="307"/>
      <c r="K8" s="307"/>
      <c r="L8" s="307"/>
      <c r="M8" s="307"/>
      <c r="N8" s="307"/>
      <c r="O8" s="307"/>
      <c r="P8" s="307"/>
    </row>
    <row r="9" spans="1:18" ht="12.75" x14ac:dyDescent="0.2">
      <c r="A9" s="307"/>
      <c r="B9" s="307"/>
      <c r="C9" s="366" t="s">
        <v>708</v>
      </c>
      <c r="D9" s="371" t="str">
        <f>COVER!A15</f>
        <v>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2054433</v>
      </c>
      <c r="I12" s="380"/>
      <c r="J12" s="380"/>
      <c r="K12" s="1559">
        <f>TRUNC((H12/H13*100000),5)/100000</f>
        <v>0.42072155530000005</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4883118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4677508</v>
      </c>
      <c r="I17" s="380"/>
      <c r="J17" s="389"/>
      <c r="K17" s="1559">
        <f>TRUNC((H17/H18*100000),5)/100000</f>
        <v>0.95789370639999993</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4883118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2054433</v>
      </c>
      <c r="I24" s="394"/>
      <c r="J24" s="394"/>
      <c r="K24" s="1555">
        <f>TRUNC(((H24/H25*100000)/100000),2)</f>
        <v>158.11000000000001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12993.07778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853325.98302000004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385600</v>
      </c>
      <c r="I32" s="392"/>
      <c r="J32" s="392"/>
      <c r="K32" s="1555">
        <f>TRUNC(100-((((H32/H33*100))*100)/100),2)</f>
        <v>93.06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5563854.7440000009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F1" colorId="8" zoomScale="110" zoomScaleNormal="11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492004</v>
      </c>
      <c r="D4" s="1573">
        <v>267165</v>
      </c>
      <c r="E4" s="1573">
        <v>393</v>
      </c>
      <c r="F4" s="1573">
        <v>205928</v>
      </c>
      <c r="G4" s="1573">
        <v>382336</v>
      </c>
      <c r="H4" s="1573">
        <v>998457</v>
      </c>
      <c r="I4" s="1573">
        <v>1089336</v>
      </c>
      <c r="J4" s="1574">
        <v>444617</v>
      </c>
      <c r="K4" s="1573">
        <v>125733</v>
      </c>
      <c r="L4" s="1573">
        <v>25497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492004</v>
      </c>
      <c r="D13" s="1587">
        <f t="shared" ref="D13:L13" si="0">SUM(D4:D12)</f>
        <v>267165</v>
      </c>
      <c r="E13" s="1587">
        <f t="shared" si="0"/>
        <v>393</v>
      </c>
      <c r="F13" s="1587">
        <f t="shared" si="0"/>
        <v>205928</v>
      </c>
      <c r="G13" s="1587">
        <f t="shared" si="0"/>
        <v>382336</v>
      </c>
      <c r="H13" s="1587">
        <f t="shared" si="0"/>
        <v>998457</v>
      </c>
      <c r="I13" s="1587">
        <f t="shared" si="0"/>
        <v>1089336</v>
      </c>
      <c r="J13" s="1587">
        <f t="shared" si="0"/>
        <v>444617</v>
      </c>
      <c r="K13" s="1587">
        <f t="shared" si="0"/>
        <v>125733</v>
      </c>
      <c r="L13" s="1587">
        <f t="shared" si="0"/>
        <v>25497</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104174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6942829+354139</f>
        <v>7296968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998863+259539</f>
        <v>1258402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393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385207</v>
      </c>
    </row>
    <row r="23" spans="1:14" ht="13.5" customHeight="1" thickBot="1" x14ac:dyDescent="0.25">
      <c r="A23" s="1426" t="s">
        <v>638</v>
      </c>
      <c r="B23" s="1429"/>
      <c r="C23" s="1575"/>
      <c r="D23" s="1575"/>
      <c r="E23" s="1575"/>
      <c r="F23" s="1575"/>
      <c r="G23" s="1575"/>
      <c r="H23" s="1575"/>
      <c r="I23" s="1575"/>
      <c r="J23" s="1575"/>
      <c r="K23" s="1575"/>
      <c r="L23" s="1575"/>
      <c r="M23" s="1594">
        <f>SUM(M15:M22)</f>
        <v>8659544</v>
      </c>
      <c r="N23" s="1594">
        <f>SUM(N21:N22)</f>
        <v>385600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25497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25497</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385600</v>
      </c>
    </row>
    <row r="37" spans="1:14" ht="13.5" thickBot="1" x14ac:dyDescent="0.25">
      <c r="A37" s="1426" t="s">
        <v>648</v>
      </c>
      <c r="B37" s="1429"/>
      <c r="C37" s="1582"/>
      <c r="D37" s="1582"/>
      <c r="E37" s="1582"/>
      <c r="F37" s="1582"/>
      <c r="G37" s="1582"/>
      <c r="H37" s="1582"/>
      <c r="I37" s="1582"/>
      <c r="J37" s="1582"/>
      <c r="K37" s="1582"/>
      <c r="L37" s="1585"/>
      <c r="M37" s="1575"/>
      <c r="N37" s="1594">
        <f>SUM(N36:N36)</f>
        <v>385600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492004</v>
      </c>
      <c r="D39" s="1573">
        <v>267165</v>
      </c>
      <c r="E39" s="1573">
        <v>393</v>
      </c>
      <c r="F39" s="1573">
        <v>205928</v>
      </c>
      <c r="G39" s="1573">
        <v>382336</v>
      </c>
      <c r="H39" s="1573">
        <v>998457</v>
      </c>
      <c r="I39" s="1573">
        <v>1089336</v>
      </c>
      <c r="J39" s="1574">
        <v>444617</v>
      </c>
      <c r="K39" s="1573">
        <v>125733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8659544</v>
      </c>
      <c r="N40" s="1604"/>
    </row>
    <row r="41" spans="1:14" ht="13.5" customHeight="1" thickBot="1" x14ac:dyDescent="0.25">
      <c r="A41" s="1426" t="s">
        <v>650</v>
      </c>
      <c r="B41" s="1405"/>
      <c r="C41" s="1594">
        <f>(SUM(C34,C37,C38,C39))</f>
        <v>492004</v>
      </c>
      <c r="D41" s="1594">
        <f t="shared" ref="D41:L41" si="2">SUM(D34,D37,D38:D39)</f>
        <v>267165</v>
      </c>
      <c r="E41" s="1594">
        <f t="shared" si="2"/>
        <v>393</v>
      </c>
      <c r="F41" s="1594">
        <f t="shared" si="2"/>
        <v>205928</v>
      </c>
      <c r="G41" s="1594">
        <f t="shared" si="2"/>
        <v>382336</v>
      </c>
      <c r="H41" s="1594">
        <f t="shared" si="2"/>
        <v>998457</v>
      </c>
      <c r="I41" s="1594">
        <f t="shared" si="2"/>
        <v>1089336</v>
      </c>
      <c r="J41" s="1594">
        <f t="shared" si="2"/>
        <v>444617</v>
      </c>
      <c r="K41" s="1594">
        <f t="shared" si="2"/>
        <v>125733</v>
      </c>
      <c r="L41" s="1594">
        <f t="shared" si="2"/>
        <v>25497</v>
      </c>
      <c r="M41" s="1594">
        <f>SUM(M40)</f>
        <v>8659544</v>
      </c>
      <c r="N41" s="1594">
        <f>SUM(N37)</f>
        <v>385600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962976</v>
      </c>
      <c r="D4" s="1606">
        <f>'Revenues 9-14'!D109</f>
        <v>249583</v>
      </c>
      <c r="E4" s="1606">
        <f>'Revenues 9-14'!E109</f>
        <v>149792</v>
      </c>
      <c r="F4" s="1606">
        <f>'Revenues 9-14'!F109</f>
        <v>91115</v>
      </c>
      <c r="G4" s="1606">
        <f>'Revenues 9-14'!G109</f>
        <v>248509</v>
      </c>
      <c r="H4" s="1606">
        <f>'Revenues 9-14'!H109</f>
        <v>233640</v>
      </c>
      <c r="I4" s="1606">
        <f>'Revenues 9-14'!I109</f>
        <v>42990</v>
      </c>
      <c r="J4" s="1606">
        <f>'Revenues 9-14'!J109</f>
        <v>153848</v>
      </c>
      <c r="K4" s="1606">
        <f>'Revenues 9-14'!K109</f>
        <v>621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2159803</v>
      </c>
      <c r="D6" s="1607">
        <f>'Revenues 9-14'!D170</f>
        <v>340000</v>
      </c>
      <c r="E6" s="1607">
        <f>'Revenues 9-14'!E170</f>
        <v>104</v>
      </c>
      <c r="F6" s="1607">
        <f>'Revenues 9-14'!F170</f>
        <v>314156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722495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3845274</v>
      </c>
      <c r="D8" s="1594">
        <f t="shared" ref="D8:K8" si="0">SUM(D4:D7)</f>
        <v>589583</v>
      </c>
      <c r="E8" s="1594">
        <f t="shared" si="0"/>
        <v>149896</v>
      </c>
      <c r="F8" s="1594">
        <f t="shared" si="0"/>
        <v>405271</v>
      </c>
      <c r="G8" s="1594">
        <f t="shared" si="0"/>
        <v>248509</v>
      </c>
      <c r="H8" s="1594">
        <f t="shared" si="0"/>
        <v>233640</v>
      </c>
      <c r="I8" s="1594">
        <f t="shared" si="0"/>
        <v>42990</v>
      </c>
      <c r="J8" s="1594">
        <f t="shared" si="0"/>
        <v>153848</v>
      </c>
      <c r="K8" s="1594">
        <f t="shared" si="0"/>
        <v>621</v>
      </c>
      <c r="L8" s="325"/>
    </row>
    <row r="9" spans="1:13" ht="15.75" thickTop="1" x14ac:dyDescent="0.2">
      <c r="A9" s="449" t="s">
        <v>1634</v>
      </c>
      <c r="B9" s="450">
        <v>3998</v>
      </c>
      <c r="C9" s="1586">
        <f>1786226+51225</f>
        <v>1837451</v>
      </c>
      <c r="D9" s="1613"/>
      <c r="E9" s="1586"/>
      <c r="F9" s="1586"/>
      <c r="G9" s="1614"/>
      <c r="H9" s="1586"/>
      <c r="I9" s="1609" t="s">
        <v>1159</v>
      </c>
      <c r="J9" s="1583"/>
      <c r="K9" s="1586"/>
      <c r="L9" s="325"/>
    </row>
    <row r="10" spans="1:13" s="452" customFormat="1" ht="13.5" thickBot="1" x14ac:dyDescent="0.25">
      <c r="A10" s="1426" t="s">
        <v>1163</v>
      </c>
      <c r="B10" s="1407"/>
      <c r="C10" s="1594">
        <f>SUM(C8:C9)</f>
        <v>5682725</v>
      </c>
      <c r="D10" s="1594">
        <f t="shared" ref="D10:K10" si="1">SUM(D8:D9)</f>
        <v>589583</v>
      </c>
      <c r="E10" s="1594">
        <f t="shared" si="1"/>
        <v>149896</v>
      </c>
      <c r="F10" s="1594">
        <f t="shared" si="1"/>
        <v>405271</v>
      </c>
      <c r="G10" s="1594">
        <f t="shared" si="1"/>
        <v>248509</v>
      </c>
      <c r="H10" s="1594">
        <f t="shared" si="1"/>
        <v>233640</v>
      </c>
      <c r="I10" s="1594">
        <f t="shared" si="1"/>
        <v>42990</v>
      </c>
      <c r="J10" s="1594">
        <f t="shared" si="1"/>
        <v>153848</v>
      </c>
      <c r="K10" s="1594">
        <f t="shared" si="1"/>
        <v>621</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2572918</v>
      </c>
      <c r="D12" s="1616" t="s">
        <v>1159</v>
      </c>
      <c r="E12" s="1575" t="s">
        <v>1159</v>
      </c>
      <c r="F12" s="1575" t="s">
        <v>1159</v>
      </c>
      <c r="G12" s="1606">
        <f>'Expenditures 15-22'!K229</f>
        <v>44810</v>
      </c>
      <c r="H12" s="1617"/>
      <c r="I12" s="1575" t="s">
        <v>1159</v>
      </c>
      <c r="J12" s="1575" t="s">
        <v>1159</v>
      </c>
      <c r="K12" s="1617" t="s">
        <v>1159</v>
      </c>
      <c r="L12" s="325"/>
    </row>
    <row r="13" spans="1:13" ht="15.75" customHeight="1" x14ac:dyDescent="0.2">
      <c r="A13" s="1314" t="s">
        <v>454</v>
      </c>
      <c r="B13" s="1316">
        <v>2000</v>
      </c>
      <c r="C13" s="1607">
        <f>'Expenditures 15-22'!K74</f>
        <v>916240</v>
      </c>
      <c r="D13" s="1607">
        <f>'Expenditures 15-22'!K129</f>
        <v>483742</v>
      </c>
      <c r="E13" s="1576" t="s">
        <v>1159</v>
      </c>
      <c r="F13" s="1607">
        <f>'Expenditures 15-22'!K184</f>
        <v>392317</v>
      </c>
      <c r="G13" s="1607">
        <f>'Expenditures 15-22'!K279</f>
        <v>110016</v>
      </c>
      <c r="H13" s="1607">
        <f>'Expenditures 15-22'!K303</f>
        <v>94504</v>
      </c>
      <c r="I13" s="1575" t="s">
        <v>1159</v>
      </c>
      <c r="J13" s="1607">
        <f>'Expenditures 15-22'!K330</f>
        <v>96318</v>
      </c>
      <c r="K13" s="1618">
        <f>'Expenditures 15-22'!K352</f>
        <v>0</v>
      </c>
      <c r="L13" s="325"/>
    </row>
    <row r="14" spans="1:13" ht="15.75" customHeight="1" x14ac:dyDescent="0.2">
      <c r="A14" s="1314" t="s">
        <v>446</v>
      </c>
      <c r="B14" s="1316">
        <v>3000</v>
      </c>
      <c r="C14" s="1607">
        <f>'Expenditures 15-22'!K75</f>
        <v>3977</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308314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149565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3801449</v>
      </c>
      <c r="D17" s="1594">
        <f t="shared" si="2"/>
        <v>483742</v>
      </c>
      <c r="E17" s="1594">
        <f t="shared" si="2"/>
        <v>149565</v>
      </c>
      <c r="F17" s="1594">
        <f t="shared" si="2"/>
        <v>392317</v>
      </c>
      <c r="G17" s="1594">
        <f t="shared" si="2"/>
        <v>154826</v>
      </c>
      <c r="H17" s="1594">
        <f t="shared" si="2"/>
        <v>94504</v>
      </c>
      <c r="I17" s="1575"/>
      <c r="J17" s="1594">
        <f>SUM(J12:J16)</f>
        <v>96318</v>
      </c>
      <c r="K17" s="1594">
        <f>SUM(K12:K16)</f>
        <v>0</v>
      </c>
      <c r="L17" s="325"/>
    </row>
    <row r="18" spans="1:12" ht="15" customHeight="1" thickTop="1" x14ac:dyDescent="0.2">
      <c r="A18" s="1430" t="s">
        <v>1635</v>
      </c>
      <c r="B18" s="1431">
        <v>4180</v>
      </c>
      <c r="C18" s="1606">
        <f t="shared" ref="C18:H18" si="3">C9</f>
        <v>1837451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5638900</v>
      </c>
      <c r="D19" s="1594">
        <f t="shared" si="4"/>
        <v>483742</v>
      </c>
      <c r="E19" s="1594">
        <f t="shared" si="4"/>
        <v>149565</v>
      </c>
      <c r="F19" s="1594">
        <f t="shared" si="4"/>
        <v>392317</v>
      </c>
      <c r="G19" s="1594">
        <f t="shared" si="4"/>
        <v>154826</v>
      </c>
      <c r="H19" s="1594">
        <f t="shared" si="4"/>
        <v>94504</v>
      </c>
      <c r="I19" s="1575"/>
      <c r="J19" s="1594">
        <f>SUM(J17:J18)</f>
        <v>96318</v>
      </c>
      <c r="K19" s="1594">
        <f>SUM(K17:K18)</f>
        <v>0</v>
      </c>
      <c r="L19" s="325"/>
    </row>
    <row r="20" spans="1:12" ht="16.5" thickTop="1" thickBot="1" x14ac:dyDescent="0.25">
      <c r="A20" s="2230" t="s">
        <v>1636</v>
      </c>
      <c r="B20" s="2231"/>
      <c r="C20" s="1622">
        <f>C8-C17</f>
        <v>43825</v>
      </c>
      <c r="D20" s="1622">
        <f t="shared" ref="D20:K20" si="5">D8-D17</f>
        <v>105841</v>
      </c>
      <c r="E20" s="1622">
        <f t="shared" si="5"/>
        <v>331</v>
      </c>
      <c r="F20" s="1622">
        <f t="shared" si="5"/>
        <v>12954</v>
      </c>
      <c r="G20" s="1622">
        <f t="shared" si="5"/>
        <v>93683</v>
      </c>
      <c r="H20" s="1622">
        <f t="shared" si="5"/>
        <v>139136</v>
      </c>
      <c r="I20" s="1622">
        <f t="shared" si="5"/>
        <v>42990</v>
      </c>
      <c r="J20" s="1622">
        <f t="shared" si="5"/>
        <v>57530</v>
      </c>
      <c r="K20" s="1622">
        <f t="shared" si="5"/>
        <v>621</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43825</v>
      </c>
      <c r="D78" s="1629">
        <f t="shared" si="9"/>
        <v>105841</v>
      </c>
      <c r="E78" s="1629">
        <f t="shared" si="9"/>
        <v>331</v>
      </c>
      <c r="F78" s="1629">
        <f t="shared" si="9"/>
        <v>12954</v>
      </c>
      <c r="G78" s="1629">
        <f t="shared" si="9"/>
        <v>93683</v>
      </c>
      <c r="H78" s="1629">
        <f t="shared" si="9"/>
        <v>139136</v>
      </c>
      <c r="I78" s="1629">
        <f t="shared" si="9"/>
        <v>42990</v>
      </c>
      <c r="J78" s="1629">
        <f t="shared" si="9"/>
        <v>57530</v>
      </c>
      <c r="K78" s="1629">
        <f t="shared" si="9"/>
        <v>621</v>
      </c>
      <c r="L78" s="457"/>
    </row>
    <row r="79" spans="1:12" ht="13.5" thickTop="1" x14ac:dyDescent="0.2">
      <c r="A79" s="1844" t="str">
        <f>"Fund Balances - July 1, "&amp;'AFR20'!E2-1</f>
        <v>Fund Balances - July 1, 2019</v>
      </c>
      <c r="B79" s="458"/>
      <c r="C79" s="1583">
        <v>443667</v>
      </c>
      <c r="D79" s="1630">
        <v>161324</v>
      </c>
      <c r="E79" s="1630">
        <v>62</v>
      </c>
      <c r="F79" s="1630">
        <v>192974</v>
      </c>
      <c r="G79" s="1630">
        <v>293165</v>
      </c>
      <c r="H79" s="1630">
        <v>859321</v>
      </c>
      <c r="I79" s="1630">
        <v>1046346</v>
      </c>
      <c r="J79" s="1630">
        <v>387087</v>
      </c>
      <c r="K79" s="1630">
        <v>125112</v>
      </c>
      <c r="L79" s="325"/>
    </row>
    <row r="80" spans="1:12" x14ac:dyDescent="0.2">
      <c r="A80" s="2232" t="s">
        <v>1771</v>
      </c>
      <c r="B80" s="2233"/>
      <c r="C80" s="1574">
        <v>4512</v>
      </c>
      <c r="D80" s="1574"/>
      <c r="E80" s="1574"/>
      <c r="F80" s="1574"/>
      <c r="G80" s="1574">
        <v>-4512</v>
      </c>
      <c r="H80" s="1574"/>
      <c r="I80" s="1574"/>
      <c r="J80" s="1574"/>
      <c r="K80" s="1574"/>
      <c r="L80" s="325"/>
    </row>
    <row r="81" spans="1:12" ht="13.5" thickBot="1" x14ac:dyDescent="0.25">
      <c r="A81" s="2224" t="str">
        <f>"Fund Balances - June 30, "&amp;'AFR20'!E2</f>
        <v>Fund Balances - June 30, 2020</v>
      </c>
      <c r="B81" s="2225"/>
      <c r="C81" s="1594">
        <f>(SUM(C78:C80))</f>
        <v>492004</v>
      </c>
      <c r="D81" s="1594">
        <f>SUM(D78:D80)</f>
        <v>267165</v>
      </c>
      <c r="E81" s="1594">
        <f t="shared" ref="E81:K81" si="10">SUM(E78:E80)</f>
        <v>393</v>
      </c>
      <c r="F81" s="1594">
        <f t="shared" si="10"/>
        <v>205928</v>
      </c>
      <c r="G81" s="1594">
        <f t="shared" si="10"/>
        <v>382336</v>
      </c>
      <c r="H81" s="1594">
        <f t="shared" si="10"/>
        <v>998457</v>
      </c>
      <c r="I81" s="1594">
        <f t="shared" si="10"/>
        <v>1089336</v>
      </c>
      <c r="J81" s="1594">
        <f t="shared" si="10"/>
        <v>444617</v>
      </c>
      <c r="K81" s="1594">
        <f t="shared" si="10"/>
        <v>125733</v>
      </c>
      <c r="L81" s="325"/>
    </row>
    <row r="82" spans="1:12" ht="0.75" customHeight="1" thickTop="1" thickBot="1" x14ac:dyDescent="0.25">
      <c r="A82" s="459" t="s">
        <v>340</v>
      </c>
      <c r="B82" s="460"/>
      <c r="C82" s="461">
        <f>(C81-C79)</f>
        <v>48337</v>
      </c>
      <c r="D82" s="461">
        <f t="shared" ref="D82:K82" si="11">(D81-D79)</f>
        <v>105841</v>
      </c>
      <c r="E82" s="461">
        <f t="shared" si="11"/>
        <v>331</v>
      </c>
      <c r="F82" s="461">
        <f t="shared" si="11"/>
        <v>12954</v>
      </c>
      <c r="G82" s="461">
        <f t="shared" si="11"/>
        <v>89171</v>
      </c>
      <c r="H82" s="461">
        <f t="shared" si="11"/>
        <v>139136</v>
      </c>
      <c r="I82" s="461">
        <f t="shared" si="11"/>
        <v>42990</v>
      </c>
      <c r="J82" s="461">
        <f t="shared" si="11"/>
        <v>57530</v>
      </c>
      <c r="K82" s="461">
        <f t="shared" si="11"/>
        <v>621</v>
      </c>
    </row>
    <row r="83" spans="1:12" ht="14.25" hidden="1" thickTop="1" thickBot="1" x14ac:dyDescent="0.25">
      <c r="A83" s="462" t="s">
        <v>341</v>
      </c>
      <c r="B83" s="428"/>
      <c r="C83" s="463">
        <f>C82/C81</f>
        <v>9.8245136218404722E-2</v>
      </c>
      <c r="D83" s="463">
        <f t="shared" ref="D83:K83" si="12">D82/D81</f>
        <v>0.39616341960960455</v>
      </c>
      <c r="E83" s="463">
        <f t="shared" si="12"/>
        <v>0.84223918575063617</v>
      </c>
      <c r="F83" s="463">
        <f t="shared" si="12"/>
        <v>6.2905481527524176E-2</v>
      </c>
      <c r="G83" s="463">
        <f t="shared" si="12"/>
        <v>0.23322679527954471</v>
      </c>
      <c r="H83" s="463">
        <f t="shared" si="12"/>
        <v>0.13935101862173332</v>
      </c>
      <c r="I83" s="463">
        <f t="shared" si="12"/>
        <v>3.9464407675868604E-2</v>
      </c>
      <c r="J83" s="463">
        <f t="shared" si="12"/>
        <v>0.1293922634537141</v>
      </c>
      <c r="K83" s="463">
        <f t="shared" si="12"/>
        <v>4.939037484192694E-3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7" sqref="A17:H17"/>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1778</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690318</v>
      </c>
      <c r="D5" s="1586">
        <v>187633</v>
      </c>
      <c r="E5" s="1573">
        <v>149667</v>
      </c>
      <c r="F5" s="1631">
        <v>90057</v>
      </c>
      <c r="G5" s="1573">
        <f>134548+1904</f>
        <v>136452</v>
      </c>
      <c r="H5" s="1573"/>
      <c r="I5" s="1573">
        <v>37587</v>
      </c>
      <c r="J5" s="1574">
        <v>150121</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15035</v>
      </c>
      <c r="D7" s="1573"/>
      <c r="E7" s="1575"/>
      <c r="F7" s="1574"/>
      <c r="G7" s="1574"/>
      <c r="H7" s="1574"/>
      <c r="I7" s="1575"/>
      <c r="J7" s="1575"/>
      <c r="K7" s="1575"/>
    </row>
    <row r="8" spans="1:12" x14ac:dyDescent="0.2">
      <c r="A8" s="427" t="s">
        <v>410</v>
      </c>
      <c r="B8" s="429">
        <v>1150</v>
      </c>
      <c r="C8" s="1580"/>
      <c r="D8" s="1580"/>
      <c r="E8" s="1582"/>
      <c r="F8" s="1582"/>
      <c r="G8" s="1586">
        <f>98684+1397</f>
        <v>100081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705353</v>
      </c>
      <c r="D12" s="1633">
        <f t="shared" si="0"/>
        <v>187633</v>
      </c>
      <c r="E12" s="1633">
        <f t="shared" si="0"/>
        <v>149667</v>
      </c>
      <c r="F12" s="1633">
        <f t="shared" si="0"/>
        <v>90057</v>
      </c>
      <c r="G12" s="1633">
        <f t="shared" si="0"/>
        <v>236533</v>
      </c>
      <c r="H12" s="1633">
        <f t="shared" si="0"/>
        <v>0</v>
      </c>
      <c r="I12" s="1633">
        <f t="shared" si="0"/>
        <v>37587</v>
      </c>
      <c r="J12" s="1633">
        <f t="shared" si="0"/>
        <v>150121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146471</v>
      </c>
      <c r="D16" s="1573"/>
      <c r="E16" s="1573"/>
      <c r="F16" s="1573"/>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146471</v>
      </c>
      <c r="D18" s="1635">
        <f t="shared" ref="D18:K18" si="1">SUM(D14:D17)</f>
        <v>0</v>
      </c>
      <c r="E18" s="1635">
        <f t="shared" si="1"/>
        <v>0</v>
      </c>
      <c r="F18" s="1635">
        <f t="shared" si="1"/>
        <v>0</v>
      </c>
      <c r="G18" s="1635">
        <f t="shared" si="1"/>
        <v>10000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2939+63</f>
        <v>3002</v>
      </c>
      <c r="D65" s="1573">
        <v>1650</v>
      </c>
      <c r="E65" s="1573">
        <f>112+13</f>
        <v>125</v>
      </c>
      <c r="F65" s="1574">
        <v>1058</v>
      </c>
      <c r="G65" s="1573">
        <v>1976</v>
      </c>
      <c r="H65" s="1573">
        <v>4643</v>
      </c>
      <c r="I65" s="1573">
        <v>5403</v>
      </c>
      <c r="J65" s="1574">
        <f>2202+13</f>
        <v>2215</v>
      </c>
      <c r="K65" s="1573">
        <v>621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3002</v>
      </c>
      <c r="D67" s="1594">
        <f t="shared" ref="D67:K67" si="2">SUM(D65:D66)</f>
        <v>1650</v>
      </c>
      <c r="E67" s="1594">
        <f t="shared" si="2"/>
        <v>125</v>
      </c>
      <c r="F67" s="1594">
        <f t="shared" si="2"/>
        <v>1058</v>
      </c>
      <c r="G67" s="1594">
        <f t="shared" si="2"/>
        <v>1976</v>
      </c>
      <c r="H67" s="1594">
        <f t="shared" si="2"/>
        <v>4643</v>
      </c>
      <c r="I67" s="1594">
        <f t="shared" si="2"/>
        <v>5403</v>
      </c>
      <c r="J67" s="1594">
        <f t="shared" si="2"/>
        <v>2215</v>
      </c>
      <c r="K67" s="1594">
        <f t="shared" si="2"/>
        <v>621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52841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775</v>
      </c>
      <c r="D72" s="1575"/>
      <c r="E72" s="1575"/>
      <c r="F72" s="1575"/>
      <c r="G72" s="1575"/>
      <c r="H72" s="1575"/>
      <c r="I72" s="1575"/>
      <c r="J72" s="1575"/>
      <c r="K72" s="1575"/>
    </row>
    <row r="73" spans="1:11" ht="12.75" customHeight="1" x14ac:dyDescent="0.2">
      <c r="A73" s="427" t="s">
        <v>991</v>
      </c>
      <c r="B73" s="429">
        <v>1620</v>
      </c>
      <c r="C73" s="1632">
        <v>2747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56363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11574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429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12003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9296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45</v>
      </c>
      <c r="D92" s="1575"/>
      <c r="E92" s="1575"/>
      <c r="F92" s="1575"/>
      <c r="G92" s="1575"/>
      <c r="H92" s="1575"/>
      <c r="I92" s="1575"/>
      <c r="J92" s="1575"/>
      <c r="K92" s="1575"/>
    </row>
    <row r="93" spans="1:11" ht="12.75" customHeight="1" thickBot="1" x14ac:dyDescent="0.25">
      <c r="A93" s="1406" t="s">
        <v>241</v>
      </c>
      <c r="B93" s="1407"/>
      <c r="C93" s="1594">
        <f>SUM(C84:C92)</f>
        <v>9341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2894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v>49800</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228997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228</v>
      </c>
      <c r="D106" s="1598"/>
      <c r="E106" s="1574"/>
      <c r="F106" s="1574"/>
      <c r="G106" s="1574"/>
      <c r="H106" s="1574"/>
      <c r="I106" s="1617"/>
      <c r="J106" s="1574"/>
      <c r="K106" s="1574"/>
    </row>
    <row r="107" spans="1:12" ht="12.75" customHeight="1" x14ac:dyDescent="0.2">
      <c r="A107" s="427" t="s">
        <v>78</v>
      </c>
      <c r="B107" s="429">
        <v>1999</v>
      </c>
      <c r="C107" s="1632">
        <v>27321</v>
      </c>
      <c r="D107" s="1573">
        <v>10500</v>
      </c>
      <c r="E107" s="1573"/>
      <c r="F107" s="1573"/>
      <c r="G107" s="1573"/>
      <c r="H107" s="1573"/>
      <c r="I107" s="1573"/>
      <c r="J107" s="1574">
        <v>1512</v>
      </c>
      <c r="K107" s="1573"/>
    </row>
    <row r="108" spans="1:12" ht="12.75" customHeight="1" thickBot="1" x14ac:dyDescent="0.25">
      <c r="A108" s="1406" t="s">
        <v>484</v>
      </c>
      <c r="B108" s="1408"/>
      <c r="C108" s="1633">
        <f>SUM(C95:C107)</f>
        <v>30443</v>
      </c>
      <c r="D108" s="1633">
        <f t="shared" ref="D108:K108" si="3">SUM(D95:D107)</f>
        <v>60300</v>
      </c>
      <c r="E108" s="1633">
        <f t="shared" si="3"/>
        <v>0</v>
      </c>
      <c r="F108" s="1633">
        <f t="shared" si="3"/>
        <v>0</v>
      </c>
      <c r="G108" s="1633">
        <f t="shared" si="3"/>
        <v>0</v>
      </c>
      <c r="H108" s="1633">
        <f t="shared" si="3"/>
        <v>228997</v>
      </c>
      <c r="I108" s="1633">
        <f t="shared" si="3"/>
        <v>0</v>
      </c>
      <c r="J108" s="1633">
        <f t="shared" si="3"/>
        <v>1512</v>
      </c>
      <c r="K108" s="1594">
        <f t="shared" si="3"/>
        <v>0</v>
      </c>
    </row>
    <row r="109" spans="1:12" ht="14.25" thickTop="1" thickBot="1" x14ac:dyDescent="0.25">
      <c r="A109" s="1409" t="s">
        <v>246</v>
      </c>
      <c r="B109" s="1410" t="s">
        <v>566</v>
      </c>
      <c r="C109" s="1641">
        <f t="shared" ref="C109:K109" si="4">SUM(C12,C18,C40,C63,C67,C75,C82,C93,C108,)</f>
        <v>962976</v>
      </c>
      <c r="D109" s="1641">
        <f t="shared" si="4"/>
        <v>249583</v>
      </c>
      <c r="E109" s="1641">
        <f t="shared" si="4"/>
        <v>149792</v>
      </c>
      <c r="F109" s="1641">
        <f t="shared" si="4"/>
        <v>91115</v>
      </c>
      <c r="G109" s="1641">
        <f t="shared" si="4"/>
        <v>248509</v>
      </c>
      <c r="H109" s="1641">
        <f t="shared" si="4"/>
        <v>233640</v>
      </c>
      <c r="I109" s="1641">
        <f t="shared" si="4"/>
        <v>42990</v>
      </c>
      <c r="J109" s="1641">
        <f t="shared" si="4"/>
        <v>153848</v>
      </c>
      <c r="K109" s="1629">
        <f t="shared" si="4"/>
        <v>621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2082774</v>
      </c>
      <c r="D117" s="1586">
        <v>290000</v>
      </c>
      <c r="E117" s="1573">
        <v>104</v>
      </c>
      <c r="F117" s="1586">
        <v>30000</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2082774</v>
      </c>
      <c r="D122" s="1633">
        <f t="shared" si="5"/>
        <v>290000</v>
      </c>
      <c r="E122" s="1633">
        <f t="shared" si="5"/>
        <v>104</v>
      </c>
      <c r="F122" s="1633">
        <f t="shared" si="5"/>
        <v>30000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75126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75126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1903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103563</v>
      </c>
      <c r="G152" s="1574"/>
      <c r="H152" s="1575"/>
      <c r="I152" s="1575"/>
      <c r="J152" s="1575"/>
      <c r="K152" s="1575"/>
    </row>
    <row r="153" spans="1:11" ht="12.75" customHeight="1" x14ac:dyDescent="0.2">
      <c r="A153" s="427" t="s">
        <v>1048</v>
      </c>
      <c r="B153" s="478">
        <v>3510</v>
      </c>
      <c r="C153" s="1632"/>
      <c r="D153" s="1573"/>
      <c r="E153" s="1640"/>
      <c r="F153" s="1573">
        <v>180593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284156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77029</v>
      </c>
      <c r="D169" s="1658">
        <f t="shared" si="6"/>
        <v>50000</v>
      </c>
      <c r="E169" s="1658">
        <f t="shared" si="6"/>
        <v>0</v>
      </c>
      <c r="F169" s="1658">
        <f t="shared" si="6"/>
        <v>284156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2159803</v>
      </c>
      <c r="D170" s="1641">
        <f t="shared" si="7"/>
        <v>340000</v>
      </c>
      <c r="E170" s="1641">
        <f t="shared" si="7"/>
        <v>104</v>
      </c>
      <c r="F170" s="1641">
        <f t="shared" si="7"/>
        <v>314156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1779</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10912</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10912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92989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38737</v>
      </c>
      <c r="D193" s="1575"/>
      <c r="E193" s="1640"/>
      <c r="F193" s="1575"/>
      <c r="G193" s="1664"/>
      <c r="H193" s="1575"/>
      <c r="I193" s="1575"/>
      <c r="J193" s="1575"/>
      <c r="K193" s="1575"/>
    </row>
    <row r="194" spans="1:11" ht="12.75" customHeight="1" x14ac:dyDescent="0.2">
      <c r="A194" s="427" t="s">
        <v>1434</v>
      </c>
      <c r="B194" s="429">
        <v>4225</v>
      </c>
      <c r="C194" s="1632">
        <v>40268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171994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238809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141291</v>
      </c>
      <c r="D203" s="1573"/>
      <c r="E203" s="1575"/>
      <c r="F203" s="1573"/>
      <c r="G203" s="1573"/>
      <c r="H203" s="1575"/>
      <c r="I203" s="1575"/>
      <c r="J203" s="1575"/>
      <c r="K203" s="1575"/>
    </row>
    <row r="204" spans="1:11" ht="12.75" customHeight="1" thickBot="1" x14ac:dyDescent="0.25">
      <c r="A204" s="1406" t="s">
        <v>397</v>
      </c>
      <c r="B204" s="1407"/>
      <c r="C204" s="1633">
        <f>SUM(C200:C203)</f>
        <v>380100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1428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84727</v>
      </c>
      <c r="D213" s="1573"/>
      <c r="E213" s="1575"/>
      <c r="F213" s="1573"/>
      <c r="G213" s="1573"/>
      <c r="H213" s="1575"/>
      <c r="I213" s="1575"/>
      <c r="J213" s="1575"/>
      <c r="K213" s="1575"/>
    </row>
    <row r="214" spans="1:11" ht="12.75" customHeight="1" x14ac:dyDescent="0.2">
      <c r="A214" s="427" t="s">
        <v>1045</v>
      </c>
      <c r="B214" s="429">
        <v>4625</v>
      </c>
      <c r="C214" s="1632">
        <v>4666</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90821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4079</v>
      </c>
      <c r="D263" s="1651"/>
      <c r="E263" s="1575"/>
      <c r="F263" s="1651"/>
      <c r="G263" s="1651"/>
      <c r="H263" s="1575"/>
      <c r="I263" s="1575"/>
      <c r="J263" s="1575"/>
      <c r="K263" s="1575"/>
    </row>
    <row r="264" spans="1:11" ht="12.75" customHeight="1" thickTop="1" thickBot="1" x14ac:dyDescent="0.25">
      <c r="A264" s="427" t="s">
        <v>374</v>
      </c>
      <c r="B264" s="429">
        <v>4992</v>
      </c>
      <c r="C264" s="1650">
        <f>62296+2293</f>
        <v>64589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722495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722495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3845274</v>
      </c>
      <c r="D268" s="1641">
        <f t="shared" si="12"/>
        <v>589583</v>
      </c>
      <c r="E268" s="1641">
        <f t="shared" si="12"/>
        <v>149896</v>
      </c>
      <c r="F268" s="1641">
        <f t="shared" si="12"/>
        <v>405271</v>
      </c>
      <c r="G268" s="1641">
        <f t="shared" si="12"/>
        <v>248509</v>
      </c>
      <c r="H268" s="1641">
        <f t="shared" si="12"/>
        <v>233640</v>
      </c>
      <c r="I268" s="1641">
        <f t="shared" si="12"/>
        <v>42990</v>
      </c>
      <c r="J268" s="1641">
        <f t="shared" si="12"/>
        <v>153848</v>
      </c>
      <c r="K268" s="1629">
        <f t="shared" si="12"/>
        <v>621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E1" colorId="8" zoomScale="110" zoomScaleNormal="110" workbookViewId="0">
      <pane ySplit="2" topLeftCell="A166" activePane="bottomLeft" state="frozen"/>
      <selection activeCell="A17" sqref="A17:H17"/>
      <selection pane="bottomLeft" activeCell="L181" sqref="L18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1556925</v>
      </c>
      <c r="D5" s="1573">
        <v>438508</v>
      </c>
      <c r="E5" s="1573">
        <v>37730</v>
      </c>
      <c r="F5" s="1573">
        <v>28671</v>
      </c>
      <c r="G5" s="1573">
        <v>4198</v>
      </c>
      <c r="H5" s="1573"/>
      <c r="I5" s="1574"/>
      <c r="J5" s="1574"/>
      <c r="K5" s="1672">
        <f>SUM(C5:J5)</f>
        <v>2066032</v>
      </c>
      <c r="L5" s="1573">
        <v>2111600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214052</v>
      </c>
      <c r="D8" s="1573">
        <v>60267</v>
      </c>
      <c r="E8" s="1573"/>
      <c r="F8" s="1573">
        <v>2206</v>
      </c>
      <c r="G8" s="1573"/>
      <c r="H8" s="1573"/>
      <c r="I8" s="1574"/>
      <c r="J8" s="1574"/>
      <c r="K8" s="1672">
        <f t="shared" si="0"/>
        <v>276525</v>
      </c>
      <c r="L8" s="1573">
        <v>273700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62207</v>
      </c>
      <c r="D10" s="1573">
        <v>4070</v>
      </c>
      <c r="E10" s="1573">
        <v>1658</v>
      </c>
      <c r="F10" s="1573">
        <v>105048</v>
      </c>
      <c r="G10" s="1573">
        <v>13803</v>
      </c>
      <c r="H10" s="1573"/>
      <c r="I10" s="1574"/>
      <c r="J10" s="1574"/>
      <c r="K10" s="1672">
        <f t="shared" si="0"/>
        <v>186786</v>
      </c>
      <c r="L10" s="1573">
        <v>169151</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20221</v>
      </c>
      <c r="D14" s="1573">
        <v>3317</v>
      </c>
      <c r="E14" s="1573">
        <v>10505</v>
      </c>
      <c r="F14" s="1573">
        <v>8136</v>
      </c>
      <c r="G14" s="1573"/>
      <c r="H14" s="1573">
        <v>1396</v>
      </c>
      <c r="I14" s="1574"/>
      <c r="J14" s="1574"/>
      <c r="K14" s="1672">
        <f t="shared" si="0"/>
        <v>43575</v>
      </c>
      <c r="L14" s="1573">
        <v>43662</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1853405</v>
      </c>
      <c r="D33" s="1674">
        <f t="shared" ref="D33:L33" si="1">SUM(D5:D32)</f>
        <v>506162</v>
      </c>
      <c r="E33" s="1674">
        <f t="shared" si="1"/>
        <v>49893</v>
      </c>
      <c r="F33" s="1674">
        <f t="shared" si="1"/>
        <v>144061</v>
      </c>
      <c r="G33" s="1674">
        <f t="shared" si="1"/>
        <v>18001</v>
      </c>
      <c r="H33" s="1674">
        <f t="shared" si="1"/>
        <v>1396</v>
      </c>
      <c r="I33" s="1674">
        <f t="shared" si="1"/>
        <v>0</v>
      </c>
      <c r="J33" s="1674">
        <f t="shared" si="1"/>
        <v>0</v>
      </c>
      <c r="K33" s="1674">
        <f t="shared" si="1"/>
        <v>2572918</v>
      </c>
      <c r="L33" s="1674">
        <f t="shared" si="1"/>
        <v>2598113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41638</v>
      </c>
      <c r="D36" s="1586">
        <v>15701</v>
      </c>
      <c r="E36" s="1586">
        <v>93</v>
      </c>
      <c r="F36" s="1586">
        <v>143</v>
      </c>
      <c r="G36" s="1586"/>
      <c r="H36" s="1586"/>
      <c r="I36" s="1574"/>
      <c r="J36" s="1574"/>
      <c r="K36" s="1672">
        <f t="shared" ref="K36:K41" si="2">SUM(C36:J36)</f>
        <v>57575</v>
      </c>
      <c r="L36" s="1573">
        <v>67857</v>
      </c>
    </row>
    <row r="37" spans="1:14" x14ac:dyDescent="0.2">
      <c r="A37" s="1274" t="s">
        <v>1081</v>
      </c>
      <c r="B37" s="503">
        <v>2120</v>
      </c>
      <c r="C37" s="1573"/>
      <c r="D37" s="1573"/>
      <c r="E37" s="1573"/>
      <c r="F37" s="1573"/>
      <c r="G37" s="1573"/>
      <c r="H37" s="1573"/>
      <c r="I37" s="1574"/>
      <c r="J37" s="1574"/>
      <c r="K37" s="1672">
        <f t="shared" si="2"/>
        <v>0</v>
      </c>
      <c r="L37" s="1573">
        <v>0</v>
      </c>
    </row>
    <row r="38" spans="1:14" x14ac:dyDescent="0.2">
      <c r="A38" s="1274" t="s">
        <v>196</v>
      </c>
      <c r="B38" s="503">
        <v>2130</v>
      </c>
      <c r="C38" s="1573">
        <v>52496</v>
      </c>
      <c r="D38" s="1573">
        <v>13300</v>
      </c>
      <c r="E38" s="1573">
        <v>105</v>
      </c>
      <c r="F38" s="1573">
        <v>1603</v>
      </c>
      <c r="G38" s="1573"/>
      <c r="H38" s="1573"/>
      <c r="I38" s="1574"/>
      <c r="J38" s="1574"/>
      <c r="K38" s="1672">
        <f t="shared" si="2"/>
        <v>67504</v>
      </c>
      <c r="L38" s="1573">
        <v>66500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61434</v>
      </c>
      <c r="D40" s="1573">
        <v>18248</v>
      </c>
      <c r="E40" s="1573">
        <v>325</v>
      </c>
      <c r="F40" s="1573">
        <v>221</v>
      </c>
      <c r="G40" s="1573"/>
      <c r="H40" s="1573"/>
      <c r="I40" s="1574"/>
      <c r="J40" s="1574"/>
      <c r="K40" s="1672">
        <f t="shared" si="2"/>
        <v>80228</v>
      </c>
      <c r="L40" s="1573">
        <v>80432</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155568</v>
      </c>
      <c r="D42" s="1674">
        <f t="shared" ref="D42:L42" si="3">SUM(D36:D41)</f>
        <v>47249</v>
      </c>
      <c r="E42" s="1674">
        <f t="shared" si="3"/>
        <v>523</v>
      </c>
      <c r="F42" s="1674">
        <f t="shared" si="3"/>
        <v>1967</v>
      </c>
      <c r="G42" s="1674">
        <f t="shared" si="3"/>
        <v>0</v>
      </c>
      <c r="H42" s="1674">
        <f t="shared" si="3"/>
        <v>0</v>
      </c>
      <c r="I42" s="1674">
        <f t="shared" si="3"/>
        <v>0</v>
      </c>
      <c r="J42" s="1674">
        <f t="shared" si="3"/>
        <v>0</v>
      </c>
      <c r="K42" s="1674">
        <f t="shared" si="3"/>
        <v>205307</v>
      </c>
      <c r="L42" s="1674">
        <f t="shared" si="3"/>
        <v>214789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9159</v>
      </c>
      <c r="E44" s="1586">
        <v>38994</v>
      </c>
      <c r="F44" s="1586"/>
      <c r="G44" s="1586">
        <v>2686</v>
      </c>
      <c r="H44" s="1586"/>
      <c r="I44" s="1574"/>
      <c r="J44" s="1574"/>
      <c r="K44" s="1678">
        <f>SUM(C44:J44)</f>
        <v>50839</v>
      </c>
      <c r="L44" s="1586">
        <v>32800</v>
      </c>
    </row>
    <row r="45" spans="1:14" x14ac:dyDescent="0.2">
      <c r="A45" s="1274" t="s">
        <v>810</v>
      </c>
      <c r="B45" s="503">
        <v>2220</v>
      </c>
      <c r="C45" s="1573"/>
      <c r="D45" s="1573"/>
      <c r="E45" s="1573"/>
      <c r="F45" s="1573"/>
      <c r="G45" s="1573">
        <v>24750</v>
      </c>
      <c r="H45" s="1573"/>
      <c r="I45" s="1574"/>
      <c r="J45" s="1574"/>
      <c r="K45" s="1678">
        <f>SUM(C45:J45)</f>
        <v>24750</v>
      </c>
      <c r="L45" s="1573">
        <v>25000</v>
      </c>
    </row>
    <row r="46" spans="1:14" x14ac:dyDescent="0.2">
      <c r="A46" s="1274" t="s">
        <v>811</v>
      </c>
      <c r="B46" s="503">
        <v>2230</v>
      </c>
      <c r="C46" s="1573"/>
      <c r="D46" s="1573"/>
      <c r="E46" s="1573">
        <v>7196</v>
      </c>
      <c r="F46" s="1573"/>
      <c r="G46" s="1573"/>
      <c r="H46" s="1573"/>
      <c r="I46" s="1574"/>
      <c r="J46" s="1574"/>
      <c r="K46" s="1678">
        <f>SUM(C46:J46)</f>
        <v>7196</v>
      </c>
      <c r="L46" s="1573">
        <v>7500</v>
      </c>
    </row>
    <row r="47" spans="1:14" ht="12.75" customHeight="1" thickBot="1" x14ac:dyDescent="0.25">
      <c r="A47" s="1380" t="s">
        <v>557</v>
      </c>
      <c r="B47" s="1381" t="s">
        <v>32</v>
      </c>
      <c r="C47" s="1674">
        <f>SUM(C44:C46)</f>
        <v>0</v>
      </c>
      <c r="D47" s="1674">
        <f t="shared" ref="D47:K47" si="4">SUM(D44:D46)</f>
        <v>9159</v>
      </c>
      <c r="E47" s="1674">
        <f t="shared" si="4"/>
        <v>46190</v>
      </c>
      <c r="F47" s="1674">
        <f t="shared" si="4"/>
        <v>0</v>
      </c>
      <c r="G47" s="1674">
        <f t="shared" si="4"/>
        <v>27436</v>
      </c>
      <c r="H47" s="1674">
        <f t="shared" si="4"/>
        <v>0</v>
      </c>
      <c r="I47" s="1674">
        <f t="shared" si="4"/>
        <v>0</v>
      </c>
      <c r="J47" s="1674">
        <f t="shared" si="4"/>
        <v>0</v>
      </c>
      <c r="K47" s="1674">
        <f t="shared" si="4"/>
        <v>82785</v>
      </c>
      <c r="L47" s="1674">
        <f>SUM(L44:L46)</f>
        <v>65300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400</v>
      </c>
      <c r="D49" s="1586">
        <v>139</v>
      </c>
      <c r="E49" s="1586">
        <v>8051</v>
      </c>
      <c r="F49" s="1586">
        <v>2954</v>
      </c>
      <c r="G49" s="1586"/>
      <c r="H49" s="1586">
        <v>2992</v>
      </c>
      <c r="I49" s="1574"/>
      <c r="J49" s="1574"/>
      <c r="K49" s="1678">
        <f>SUM(C49:J49)</f>
        <v>14536</v>
      </c>
      <c r="L49" s="1586">
        <v>31525</v>
      </c>
    </row>
    <row r="50" spans="1:14" x14ac:dyDescent="0.2">
      <c r="A50" s="1274" t="s">
        <v>813</v>
      </c>
      <c r="B50" s="503">
        <v>2320</v>
      </c>
      <c r="C50" s="1573">
        <v>118716</v>
      </c>
      <c r="D50" s="1573">
        <v>44068</v>
      </c>
      <c r="E50" s="1573">
        <v>7798</v>
      </c>
      <c r="F50" s="1573">
        <v>2703</v>
      </c>
      <c r="G50" s="1573">
        <v>999</v>
      </c>
      <c r="H50" s="1573">
        <v>35</v>
      </c>
      <c r="I50" s="1574"/>
      <c r="J50" s="1574"/>
      <c r="K50" s="1678">
        <f>SUM(C50:J50)</f>
        <v>174319</v>
      </c>
      <c r="L50" s="1573">
        <v>209950</v>
      </c>
    </row>
    <row r="51" spans="1:14" x14ac:dyDescent="0.2">
      <c r="A51" s="1274" t="s">
        <v>42</v>
      </c>
      <c r="B51" s="503">
        <v>2330</v>
      </c>
      <c r="C51" s="1573"/>
      <c r="D51" s="1573"/>
      <c r="E51" s="1573">
        <v>1795</v>
      </c>
      <c r="F51" s="1573"/>
      <c r="G51" s="1573"/>
      <c r="H51" s="1573"/>
      <c r="I51" s="1574"/>
      <c r="J51" s="1574"/>
      <c r="K51" s="1678">
        <f>SUM(C51:J51)</f>
        <v>1795</v>
      </c>
      <c r="L51" s="1573">
        <v>4000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119116</v>
      </c>
      <c r="D53" s="1674">
        <f t="shared" ref="D53:L53" si="5">SUM(D49:D52)</f>
        <v>44207</v>
      </c>
      <c r="E53" s="1674">
        <f t="shared" si="5"/>
        <v>17644</v>
      </c>
      <c r="F53" s="1674">
        <f t="shared" si="5"/>
        <v>5657</v>
      </c>
      <c r="G53" s="1674">
        <f t="shared" si="5"/>
        <v>999</v>
      </c>
      <c r="H53" s="1674">
        <f t="shared" si="5"/>
        <v>3027</v>
      </c>
      <c r="I53" s="1674">
        <f t="shared" si="5"/>
        <v>0</v>
      </c>
      <c r="J53" s="1674">
        <f t="shared" si="5"/>
        <v>0</v>
      </c>
      <c r="K53" s="1674">
        <f t="shared" si="5"/>
        <v>190650</v>
      </c>
      <c r="L53" s="1674">
        <f t="shared" si="5"/>
        <v>245475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139770</v>
      </c>
      <c r="D55" s="1586">
        <v>47777</v>
      </c>
      <c r="E55" s="1586">
        <v>175</v>
      </c>
      <c r="F55" s="1586">
        <v>1804</v>
      </c>
      <c r="G55" s="1586"/>
      <c r="H55" s="1586">
        <v>347</v>
      </c>
      <c r="I55" s="1574"/>
      <c r="J55" s="1574"/>
      <c r="K55" s="1678">
        <f>SUM(C55:J55)</f>
        <v>189873</v>
      </c>
      <c r="L55" s="1586">
        <v>203900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139770</v>
      </c>
      <c r="D57" s="1679">
        <f t="shared" ref="D57:K57" si="6">SUM(D55:D56)</f>
        <v>47777</v>
      </c>
      <c r="E57" s="1679">
        <f t="shared" si="6"/>
        <v>175</v>
      </c>
      <c r="F57" s="1679">
        <f t="shared" si="6"/>
        <v>1804</v>
      </c>
      <c r="G57" s="1679">
        <f t="shared" si="6"/>
        <v>0</v>
      </c>
      <c r="H57" s="1679">
        <f t="shared" si="6"/>
        <v>347</v>
      </c>
      <c r="I57" s="1679">
        <f t="shared" si="6"/>
        <v>0</v>
      </c>
      <c r="J57" s="1679">
        <f t="shared" si="6"/>
        <v>0</v>
      </c>
      <c r="K57" s="1679">
        <f t="shared" si="6"/>
        <v>189873</v>
      </c>
      <c r="L57" s="1674">
        <f>SUM(L55:L56)</f>
        <v>203900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13000</v>
      </c>
      <c r="D60" s="1573"/>
      <c r="E60" s="1573"/>
      <c r="F60" s="1573"/>
      <c r="G60" s="1573"/>
      <c r="H60" s="1573"/>
      <c r="I60" s="1574"/>
      <c r="J60" s="1574"/>
      <c r="K60" s="1678">
        <f t="shared" si="7"/>
        <v>13000</v>
      </c>
      <c r="L60" s="1573">
        <v>17000</v>
      </c>
      <c r="M60" s="501"/>
      <c r="N60" s="501"/>
    </row>
    <row r="61" spans="1:14" s="321" customFormat="1" x14ac:dyDescent="0.2">
      <c r="A61" s="1274" t="s">
        <v>195</v>
      </c>
      <c r="B61" s="503">
        <v>2540</v>
      </c>
      <c r="C61" s="1573"/>
      <c r="D61" s="1573"/>
      <c r="E61" s="1573">
        <v>6650</v>
      </c>
      <c r="F61" s="1573">
        <v>4163</v>
      </c>
      <c r="G61" s="1573"/>
      <c r="H61" s="1573"/>
      <c r="I61" s="1574"/>
      <c r="J61" s="1574"/>
      <c r="K61" s="1678">
        <f t="shared" si="7"/>
        <v>10813</v>
      </c>
      <c r="L61" s="1573">
        <v>15200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85569</v>
      </c>
      <c r="D63" s="1573">
        <v>11227</v>
      </c>
      <c r="E63" s="1573">
        <v>1133</v>
      </c>
      <c r="F63" s="1573">
        <v>75487</v>
      </c>
      <c r="G63" s="1573"/>
      <c r="H63" s="1573">
        <v>21</v>
      </c>
      <c r="I63" s="1574"/>
      <c r="J63" s="1574"/>
      <c r="K63" s="1678">
        <f t="shared" si="7"/>
        <v>173437</v>
      </c>
      <c r="L63" s="1573">
        <v>188000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98569</v>
      </c>
      <c r="D65" s="1674">
        <f t="shared" ref="D65:L65" si="8">SUM(D59:D64)</f>
        <v>11227</v>
      </c>
      <c r="E65" s="1674">
        <f t="shared" si="8"/>
        <v>7783</v>
      </c>
      <c r="F65" s="1674">
        <f t="shared" si="8"/>
        <v>79650</v>
      </c>
      <c r="G65" s="1674">
        <f t="shared" si="8"/>
        <v>0</v>
      </c>
      <c r="H65" s="1674">
        <f t="shared" si="8"/>
        <v>21</v>
      </c>
      <c r="I65" s="1674">
        <f t="shared" si="8"/>
        <v>0</v>
      </c>
      <c r="J65" s="1674">
        <f t="shared" si="8"/>
        <v>0</v>
      </c>
      <c r="K65" s="1674">
        <f t="shared" si="8"/>
        <v>197250</v>
      </c>
      <c r="L65" s="1674">
        <f t="shared" si="8"/>
        <v>220200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v>49980</v>
      </c>
      <c r="F68" s="1573"/>
      <c r="G68" s="1573"/>
      <c r="H68" s="1573"/>
      <c r="I68" s="1574"/>
      <c r="J68" s="1574"/>
      <c r="K68" s="1678">
        <f>SUM(C68:J68)</f>
        <v>49980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49980</v>
      </c>
      <c r="F72" s="1674">
        <f t="shared" si="9"/>
        <v>0</v>
      </c>
      <c r="G72" s="1674">
        <f t="shared" si="9"/>
        <v>0</v>
      </c>
      <c r="H72" s="1674">
        <f t="shared" si="9"/>
        <v>0</v>
      </c>
      <c r="I72" s="1674">
        <f t="shared" si="9"/>
        <v>0</v>
      </c>
      <c r="J72" s="1674">
        <f t="shared" si="9"/>
        <v>0</v>
      </c>
      <c r="K72" s="1674">
        <f t="shared" si="9"/>
        <v>49980</v>
      </c>
      <c r="L72" s="1674">
        <f>SUM(L67:L71)</f>
        <v>0</v>
      </c>
      <c r="M72" s="501"/>
      <c r="N72" s="501"/>
    </row>
    <row r="73" spans="1:14" s="321" customFormat="1" ht="14.25" thickTop="1" thickBot="1" x14ac:dyDescent="0.25">
      <c r="A73" s="1280" t="s">
        <v>973</v>
      </c>
      <c r="B73" s="515" t="s">
        <v>570</v>
      </c>
      <c r="C73" s="1649"/>
      <c r="D73" s="1649"/>
      <c r="E73" s="1649"/>
      <c r="F73" s="1649">
        <v>395</v>
      </c>
      <c r="G73" s="1649"/>
      <c r="H73" s="1649"/>
      <c r="I73" s="1627"/>
      <c r="J73" s="1627"/>
      <c r="K73" s="1674">
        <f>SUM(C73:J73)</f>
        <v>395</v>
      </c>
      <c r="L73" s="1651">
        <v>1000</v>
      </c>
      <c r="M73" s="501"/>
      <c r="N73" s="501"/>
    </row>
    <row r="74" spans="1:14" ht="12.75" customHeight="1" thickTop="1" thickBot="1" x14ac:dyDescent="0.25">
      <c r="A74" s="1380" t="s">
        <v>806</v>
      </c>
      <c r="B74" s="1384">
        <v>2000</v>
      </c>
      <c r="C74" s="1681">
        <f>SUM(C42,C47,C53,C57,C65,C72,C73)</f>
        <v>513023</v>
      </c>
      <c r="D74" s="1681">
        <f t="shared" ref="D74:K74" si="10">SUM(D42,D47,D53,D57,D65,D72,D73)</f>
        <v>159619</v>
      </c>
      <c r="E74" s="1681">
        <f t="shared" si="10"/>
        <v>122295</v>
      </c>
      <c r="F74" s="1681">
        <f t="shared" si="10"/>
        <v>89473</v>
      </c>
      <c r="G74" s="1681">
        <f t="shared" si="10"/>
        <v>28435</v>
      </c>
      <c r="H74" s="1681">
        <f t="shared" si="10"/>
        <v>3395</v>
      </c>
      <c r="I74" s="1681">
        <f t="shared" si="10"/>
        <v>0</v>
      </c>
      <c r="J74" s="1681">
        <f t="shared" si="10"/>
        <v>0</v>
      </c>
      <c r="K74" s="1681">
        <f t="shared" si="10"/>
        <v>916240</v>
      </c>
      <c r="L74" s="1681">
        <f>SUM(L42,L47,L53,L57,L65,L72,L73)</f>
        <v>950664</v>
      </c>
    </row>
    <row r="75" spans="1:14" s="254" customFormat="1" ht="15.75" customHeight="1" thickTop="1" thickBot="1" x14ac:dyDescent="0.25">
      <c r="A75" s="1348" t="s">
        <v>47</v>
      </c>
      <c r="B75" s="1349" t="s">
        <v>571</v>
      </c>
      <c r="C75" s="1649"/>
      <c r="D75" s="1649"/>
      <c r="E75" s="1649">
        <v>3977</v>
      </c>
      <c r="F75" s="1649"/>
      <c r="G75" s="1649"/>
      <c r="H75" s="1649"/>
      <c r="I75" s="1627"/>
      <c r="J75" s="1627"/>
      <c r="K75" s="1674">
        <f>SUM(C75:J75)</f>
        <v>3977</v>
      </c>
      <c r="L75" s="1651">
        <v>6712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156747</v>
      </c>
      <c r="F79" s="1673"/>
      <c r="G79" s="1673"/>
      <c r="H79" s="1573">
        <v>151567</v>
      </c>
      <c r="I79" s="1582"/>
      <c r="J79" s="1582"/>
      <c r="K79" s="1672">
        <f t="shared" si="11"/>
        <v>308314</v>
      </c>
      <c r="L79" s="1573">
        <v>418783</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156747</v>
      </c>
      <c r="F84" s="1673"/>
      <c r="G84" s="1673"/>
      <c r="H84" s="1674">
        <f>SUM(H78:H83)</f>
        <v>151567</v>
      </c>
      <c r="I84" s="1582"/>
      <c r="J84" s="1582"/>
      <c r="K84" s="1674">
        <f>SUM(K78:K83)</f>
        <v>308314</v>
      </c>
      <c r="L84" s="1674">
        <f>SUM(L78:L83)</f>
        <v>418783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156747</v>
      </c>
      <c r="F102" s="1673"/>
      <c r="G102" s="1673"/>
      <c r="H102" s="1681">
        <f>SUM(H84,H92,H100,H101)</f>
        <v>151567</v>
      </c>
      <c r="I102" s="1582"/>
      <c r="J102" s="1582"/>
      <c r="K102" s="1681">
        <f>SUM(K84,K92,K100,K101)</f>
        <v>308314</v>
      </c>
      <c r="L102" s="1681">
        <f>SUM(L84,L92,L100,L101)</f>
        <v>418783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2366428</v>
      </c>
      <c r="D114" s="1674">
        <f t="shared" ref="D114:K114" si="13">SUM(D33,D74,D75,D102,D112,D113)</f>
        <v>665781</v>
      </c>
      <c r="E114" s="1674">
        <f t="shared" si="13"/>
        <v>332912</v>
      </c>
      <c r="F114" s="1674">
        <f t="shared" si="13"/>
        <v>233534</v>
      </c>
      <c r="G114" s="1674">
        <f t="shared" si="13"/>
        <v>46436</v>
      </c>
      <c r="H114" s="1674">
        <f>SUM(H33,H74,H75,H102,H112,H113)</f>
        <v>156358</v>
      </c>
      <c r="I114" s="1674">
        <f t="shared" si="13"/>
        <v>0</v>
      </c>
      <c r="J114" s="1674">
        <f t="shared" si="13"/>
        <v>0</v>
      </c>
      <c r="K114" s="1674">
        <f t="shared" si="13"/>
        <v>3801449</v>
      </c>
      <c r="L114" s="1674">
        <f>SUM(L33,L74,L75,L102,L112,L113)</f>
        <v>3974272</v>
      </c>
    </row>
    <row r="115" spans="1:14" ht="13.5" thickTop="1" x14ac:dyDescent="0.2">
      <c r="A115" s="2260" t="s">
        <v>989</v>
      </c>
      <c r="B115" s="2261"/>
      <c r="C115" s="1675"/>
      <c r="D115" s="1675"/>
      <c r="E115" s="1675"/>
      <c r="F115" s="1675"/>
      <c r="G115" s="1675"/>
      <c r="H115" s="1675"/>
      <c r="I115" s="1675"/>
      <c r="J115" s="1675"/>
      <c r="K115" s="1689">
        <f>'Revenues 9-14'!C268-'Expenditures 15-22'!K114</f>
        <v>43825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194312</v>
      </c>
      <c r="D124" s="1573">
        <v>51979</v>
      </c>
      <c r="E124" s="1573">
        <v>54878</v>
      </c>
      <c r="F124" s="1573">
        <v>182573</v>
      </c>
      <c r="G124" s="1573"/>
      <c r="H124" s="1573"/>
      <c r="I124" s="1574"/>
      <c r="J124" s="1574"/>
      <c r="K124" s="1674">
        <f>SUM(C124:J124)</f>
        <v>483742</v>
      </c>
      <c r="L124" s="1573">
        <v>513520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194312</v>
      </c>
      <c r="D127" s="1674">
        <f t="shared" ref="D127:L127" si="14">SUM(D122:D126)</f>
        <v>51979</v>
      </c>
      <c r="E127" s="1674">
        <f t="shared" si="14"/>
        <v>54878</v>
      </c>
      <c r="F127" s="1674">
        <f t="shared" si="14"/>
        <v>182573</v>
      </c>
      <c r="G127" s="1674">
        <f t="shared" si="14"/>
        <v>0</v>
      </c>
      <c r="H127" s="1674">
        <f t="shared" si="14"/>
        <v>0</v>
      </c>
      <c r="I127" s="1674">
        <f t="shared" si="14"/>
        <v>0</v>
      </c>
      <c r="J127" s="1674">
        <f t="shared" si="14"/>
        <v>0</v>
      </c>
      <c r="K127" s="1674">
        <f t="shared" si="14"/>
        <v>483742</v>
      </c>
      <c r="L127" s="1674">
        <f t="shared" si="14"/>
        <v>513520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194312</v>
      </c>
      <c r="D129" s="1681">
        <f t="shared" ref="D129:L129" si="15">SUM(D120,D127,D128)</f>
        <v>51979</v>
      </c>
      <c r="E129" s="1681">
        <f t="shared" si="15"/>
        <v>54878</v>
      </c>
      <c r="F129" s="1681">
        <f t="shared" si="15"/>
        <v>182573</v>
      </c>
      <c r="G129" s="1681">
        <f t="shared" si="15"/>
        <v>0</v>
      </c>
      <c r="H129" s="1681">
        <f t="shared" si="15"/>
        <v>0</v>
      </c>
      <c r="I129" s="1681">
        <f t="shared" si="15"/>
        <v>0</v>
      </c>
      <c r="J129" s="1681">
        <f t="shared" si="15"/>
        <v>0</v>
      </c>
      <c r="K129" s="1681">
        <f t="shared" si="15"/>
        <v>483742</v>
      </c>
      <c r="L129" s="1681">
        <f t="shared" si="15"/>
        <v>513520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7"/>
      <c r="C151" s="1674">
        <f>SUM(C129,C130,C139,C149,C150)</f>
        <v>194312</v>
      </c>
      <c r="D151" s="1674">
        <f t="shared" ref="D151:K151" si="16">SUM(D129,D130,D139,D149,D150)</f>
        <v>51979</v>
      </c>
      <c r="E151" s="1674">
        <f t="shared" si="16"/>
        <v>54878</v>
      </c>
      <c r="F151" s="1674">
        <f t="shared" si="16"/>
        <v>182573</v>
      </c>
      <c r="G151" s="1674">
        <f t="shared" si="16"/>
        <v>0</v>
      </c>
      <c r="H151" s="1674">
        <f t="shared" si="16"/>
        <v>0</v>
      </c>
      <c r="I151" s="1674">
        <f t="shared" si="16"/>
        <v>0</v>
      </c>
      <c r="J151" s="1674">
        <f t="shared" si="16"/>
        <v>0</v>
      </c>
      <c r="K151" s="1674">
        <f t="shared" si="16"/>
        <v>483742</v>
      </c>
      <c r="L151" s="1674">
        <f>SUM(L129,L130,L139,L149,L150)</f>
        <v>513520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105841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152500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152500</v>
      </c>
    </row>
    <row r="169" spans="1:14" ht="15.75" customHeight="1" thickTop="1" x14ac:dyDescent="0.2">
      <c r="A169" s="543" t="s">
        <v>83</v>
      </c>
      <c r="B169" s="544" t="s">
        <v>38</v>
      </c>
      <c r="C169" s="1673"/>
      <c r="D169" s="1673"/>
      <c r="E169" s="1673"/>
      <c r="F169" s="1673"/>
      <c r="G169" s="1673"/>
      <c r="H169" s="1695">
        <v>20965</v>
      </c>
      <c r="I169" s="1673"/>
      <c r="J169" s="1673"/>
      <c r="K169" s="1672">
        <f>SUM(C169:H169)</f>
        <v>20965</v>
      </c>
      <c r="L169" s="1695">
        <v>0</v>
      </c>
    </row>
    <row r="170" spans="1:14" ht="33.75" customHeight="1" x14ac:dyDescent="0.2">
      <c r="A170" s="543" t="s">
        <v>1651</v>
      </c>
      <c r="B170" s="545" t="s">
        <v>31</v>
      </c>
      <c r="C170" s="1673"/>
      <c r="D170" s="1673"/>
      <c r="E170" s="1673"/>
      <c r="F170" s="1673"/>
      <c r="G170" s="1673"/>
      <c r="H170" s="1646">
        <v>128600</v>
      </c>
      <c r="I170" s="1673"/>
      <c r="J170" s="1673"/>
      <c r="K170" s="1672">
        <f>SUM(C170:J170)</f>
        <v>128600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149565</v>
      </c>
      <c r="I172" s="1684"/>
      <c r="J172" s="1673"/>
      <c r="K172" s="1681">
        <f>SUM(K168,K169,K170,K171)</f>
        <v>149565</v>
      </c>
      <c r="L172" s="1681">
        <f>SUM(L168,L169,L170,L171)</f>
        <v>152500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149565</v>
      </c>
      <c r="I174" s="1684"/>
      <c r="J174" s="1673"/>
      <c r="K174" s="1681">
        <f>SUM(K160,K172,K173)</f>
        <v>149565</v>
      </c>
      <c r="L174" s="1681">
        <f>SUM(L160,L172,L173)</f>
        <v>152500</v>
      </c>
    </row>
    <row r="175" spans="1:14" ht="13.5" thickTop="1" x14ac:dyDescent="0.2">
      <c r="A175" s="2260" t="s">
        <v>989</v>
      </c>
      <c r="B175" s="2261"/>
      <c r="C175" s="1673"/>
      <c r="D175" s="1673"/>
      <c r="E175" s="1673"/>
      <c r="F175" s="1673"/>
      <c r="G175" s="1673"/>
      <c r="H175" s="1675"/>
      <c r="I175" s="1673"/>
      <c r="J175" s="1673"/>
      <c r="K175" s="1689">
        <f>'Revenues 9-14'!E268-'Expenditures 15-22'!K174</f>
        <v>331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6103</v>
      </c>
      <c r="D182" s="1573">
        <v>787</v>
      </c>
      <c r="E182" s="1573">
        <v>385427</v>
      </c>
      <c r="F182" s="1573"/>
      <c r="G182" s="1573"/>
      <c r="H182" s="1573"/>
      <c r="I182" s="1574"/>
      <c r="J182" s="1574"/>
      <c r="K182" s="1672">
        <f>SUM(C182:J182)</f>
        <v>392317</v>
      </c>
      <c r="L182" s="1573">
        <v>406850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6103</v>
      </c>
      <c r="D184" s="1681">
        <f t="shared" ref="D184:J184" si="17">SUM(D180,D182,D183)</f>
        <v>787</v>
      </c>
      <c r="E184" s="1681">
        <f t="shared" si="17"/>
        <v>385427</v>
      </c>
      <c r="F184" s="1681">
        <f t="shared" si="17"/>
        <v>0</v>
      </c>
      <c r="G184" s="1681">
        <f t="shared" si="17"/>
        <v>0</v>
      </c>
      <c r="H184" s="1681">
        <f t="shared" si="17"/>
        <v>0</v>
      </c>
      <c r="I184" s="1681">
        <f t="shared" si="17"/>
        <v>0</v>
      </c>
      <c r="J184" s="1681">
        <f t="shared" si="17"/>
        <v>0</v>
      </c>
      <c r="K184" s="1681">
        <f>SUM(K180,K182,K183)</f>
        <v>392317</v>
      </c>
      <c r="L184" s="1681">
        <f>SUM(L180, L182:L183)</f>
        <v>406850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6103</v>
      </c>
      <c r="D210" s="1674">
        <f>SUM(D184,D185)</f>
        <v>787</v>
      </c>
      <c r="E210" s="1674">
        <f>SUM(E184,E185,E196)</f>
        <v>385427</v>
      </c>
      <c r="F210" s="1674">
        <f>SUM(F184,F185)</f>
        <v>0</v>
      </c>
      <c r="G210" s="1674">
        <f>SUM(G184,G185)</f>
        <v>0</v>
      </c>
      <c r="H210" s="1674">
        <f>SUM(H184,H185,H196,H208,H209)</f>
        <v>0</v>
      </c>
      <c r="I210" s="1674">
        <f>SUM(I184,I185)</f>
        <v>0</v>
      </c>
      <c r="J210" s="1674">
        <f>SUM(J184,J185)</f>
        <v>0</v>
      </c>
      <c r="K210" s="1672">
        <f>SUM(K184,K185,K196,K208,K209)</f>
        <v>392317</v>
      </c>
      <c r="L210" s="1674">
        <f>SUM(L184,L185,L196,L208,L209)</f>
        <v>406850</v>
      </c>
    </row>
    <row r="211" spans="1:14" ht="13.5" thickTop="1" x14ac:dyDescent="0.2">
      <c r="A211" s="2260" t="s">
        <v>989</v>
      </c>
      <c r="B211" s="2261"/>
      <c r="C211" s="1675"/>
      <c r="D211" s="1675"/>
      <c r="E211" s="1675"/>
      <c r="F211" s="1675"/>
      <c r="G211" s="1675"/>
      <c r="H211" s="1675"/>
      <c r="I211" s="1673"/>
      <c r="J211" s="1673"/>
      <c r="K211" s="1689">
        <f>'Revenues 9-14'!F268-'Expenditures 15-22'!K210</f>
        <v>12954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22048</v>
      </c>
      <c r="E215" s="1673"/>
      <c r="F215" s="1673"/>
      <c r="G215" s="1673"/>
      <c r="H215" s="1673"/>
      <c r="I215" s="1673"/>
      <c r="J215" s="1673"/>
      <c r="K215" s="1672">
        <f>D215</f>
        <v>22048</v>
      </c>
      <c r="L215" s="1573">
        <v>20000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5640</v>
      </c>
      <c r="E217" s="1673"/>
      <c r="F217" s="1673"/>
      <c r="G217" s="1673"/>
      <c r="H217" s="1673"/>
      <c r="I217" s="1673"/>
      <c r="J217" s="1673"/>
      <c r="K217" s="1672">
        <f t="shared" si="19"/>
        <v>5640</v>
      </c>
      <c r="L217" s="1573">
        <v>7750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16260</v>
      </c>
      <c r="E219" s="1673"/>
      <c r="F219" s="1673"/>
      <c r="G219" s="1673"/>
      <c r="H219" s="1673"/>
      <c r="I219" s="1673"/>
      <c r="J219" s="1673"/>
      <c r="K219" s="1672">
        <f t="shared" si="19"/>
        <v>16260</v>
      </c>
      <c r="L219" s="1573">
        <v>14000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862</v>
      </c>
      <c r="E223" s="1673"/>
      <c r="F223" s="1673"/>
      <c r="G223" s="1673"/>
      <c r="H223" s="1673"/>
      <c r="I223" s="1673"/>
      <c r="J223" s="1673"/>
      <c r="K223" s="1672">
        <f t="shared" si="19"/>
        <v>862</v>
      </c>
      <c r="L223" s="1573">
        <v>1000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44810</v>
      </c>
      <c r="E229" s="1673"/>
      <c r="F229" s="1673"/>
      <c r="G229" s="1673"/>
      <c r="H229" s="1673"/>
      <c r="I229" s="1673"/>
      <c r="J229" s="1673"/>
      <c r="K229" s="1674">
        <f>SUM(K215:K228)</f>
        <v>44810</v>
      </c>
      <c r="L229" s="1674">
        <f>SUM(L215:L228)</f>
        <v>42750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600</v>
      </c>
      <c r="E232" s="1673"/>
      <c r="F232" s="1673"/>
      <c r="G232" s="1673"/>
      <c r="H232" s="1673"/>
      <c r="I232" s="1673"/>
      <c r="J232" s="1673"/>
      <c r="K232" s="1672">
        <f t="shared" ref="K232:K237" si="20">D232</f>
        <v>600</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v>12433</v>
      </c>
      <c r="E234" s="1673"/>
      <c r="F234" s="1673"/>
      <c r="G234" s="1673"/>
      <c r="H234" s="1673"/>
      <c r="I234" s="1673"/>
      <c r="J234" s="1673"/>
      <c r="K234" s="1672">
        <f t="shared" si="20"/>
        <v>12433</v>
      </c>
      <c r="L234" s="1573">
        <v>12000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882</v>
      </c>
      <c r="E236" s="1673"/>
      <c r="F236" s="1673"/>
      <c r="G236" s="1673"/>
      <c r="H236" s="1673"/>
      <c r="I236" s="1673"/>
      <c r="J236" s="1673"/>
      <c r="K236" s="1672">
        <f t="shared" si="20"/>
        <v>882</v>
      </c>
      <c r="L236" s="1573">
        <v>900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13915</v>
      </c>
      <c r="E238" s="1673"/>
      <c r="F238" s="1673"/>
      <c r="G238" s="1673"/>
      <c r="H238" s="1673"/>
      <c r="I238" s="1673"/>
      <c r="J238" s="1673"/>
      <c r="K238" s="1674">
        <f>SUM(K232:K237)</f>
        <v>13915</v>
      </c>
      <c r="L238" s="1674">
        <f>SUM(L232:L237)</f>
        <v>12900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30</v>
      </c>
      <c r="E245" s="1673"/>
      <c r="F245" s="1673"/>
      <c r="G245" s="1673"/>
      <c r="H245" s="1673"/>
      <c r="I245" s="1673"/>
      <c r="J245" s="1673"/>
      <c r="K245" s="1678">
        <f>D245</f>
        <v>30</v>
      </c>
      <c r="L245" s="1586">
        <v>120</v>
      </c>
    </row>
    <row r="246" spans="1:12" x14ac:dyDescent="0.2">
      <c r="A246" s="1274" t="s">
        <v>813</v>
      </c>
      <c r="B246" s="503">
        <v>2320</v>
      </c>
      <c r="C246" s="1673"/>
      <c r="D246" s="1573">
        <v>13348</v>
      </c>
      <c r="E246" s="1673"/>
      <c r="F246" s="1673"/>
      <c r="G246" s="1673"/>
      <c r="H246" s="1673"/>
      <c r="I246" s="1673"/>
      <c r="J246" s="1673"/>
      <c r="K246" s="1678">
        <f t="shared" ref="K246:K256" si="21">D246</f>
        <v>13348</v>
      </c>
      <c r="L246" s="1573">
        <v>13500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1781</v>
      </c>
      <c r="B249" s="557" t="s">
        <v>280</v>
      </c>
      <c r="C249" s="1673"/>
      <c r="D249" s="1579"/>
      <c r="E249" s="1673"/>
      <c r="F249" s="1673"/>
      <c r="G249" s="1673"/>
      <c r="H249" s="1673"/>
      <c r="I249" s="1673"/>
      <c r="J249" s="1673"/>
      <c r="K249" s="1678">
        <f t="shared" si="21"/>
        <v>0</v>
      </c>
      <c r="L249" s="1573">
        <v>0</v>
      </c>
    </row>
    <row r="250" spans="1:12" x14ac:dyDescent="0.2">
      <c r="A250" s="1275" t="s">
        <v>1782</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13378</v>
      </c>
      <c r="E257" s="1673"/>
      <c r="F257" s="1673"/>
      <c r="G257" s="1673"/>
      <c r="H257" s="1673"/>
      <c r="I257" s="1673"/>
      <c r="J257" s="1673"/>
      <c r="K257" s="1674">
        <f>SUM(K245:K256)</f>
        <v>13378</v>
      </c>
      <c r="L257" s="1674">
        <f>SUM(L245:L256)</f>
        <v>13620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15220</v>
      </c>
      <c r="E259" s="1673"/>
      <c r="F259" s="1673"/>
      <c r="G259" s="1673"/>
      <c r="H259" s="1673"/>
      <c r="I259" s="1673"/>
      <c r="J259" s="1673"/>
      <c r="K259" s="1678">
        <f>D259</f>
        <v>15220</v>
      </c>
      <c r="L259" s="1586">
        <v>17000</v>
      </c>
    </row>
    <row r="260" spans="1:14" s="493" customFormat="1" x14ac:dyDescent="0.2">
      <c r="A260" s="1292" t="s">
        <v>1780</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15220</v>
      </c>
      <c r="E261" s="1673"/>
      <c r="F261" s="1673"/>
      <c r="G261" s="1673"/>
      <c r="H261" s="1673"/>
      <c r="I261" s="1673"/>
      <c r="J261" s="1673"/>
      <c r="K261" s="1674">
        <f>SUM(K259:K260)</f>
        <v>15220</v>
      </c>
      <c r="L261" s="1674">
        <f>SUM(L259:L260)</f>
        <v>17000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c r="E264" s="1673"/>
      <c r="F264" s="1673"/>
      <c r="G264" s="1673"/>
      <c r="H264" s="1673"/>
      <c r="I264" s="1673"/>
      <c r="J264" s="1673"/>
      <c r="K264" s="1678">
        <f t="shared" ref="K264:K269" si="22">D264</f>
        <v>0</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47070</v>
      </c>
      <c r="E266" s="1673"/>
      <c r="F266" s="1673"/>
      <c r="G266" s="1673"/>
      <c r="H266" s="1673"/>
      <c r="I266" s="1673"/>
      <c r="J266" s="1673"/>
      <c r="K266" s="1678">
        <f t="shared" si="22"/>
        <v>47070</v>
      </c>
      <c r="L266" s="1573">
        <v>45000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20433</v>
      </c>
      <c r="E268" s="1673"/>
      <c r="F268" s="1673"/>
      <c r="G268" s="1673"/>
      <c r="H268" s="1673"/>
      <c r="I268" s="1673"/>
      <c r="J268" s="1673"/>
      <c r="K268" s="1678">
        <f t="shared" si="22"/>
        <v>20433</v>
      </c>
      <c r="L268" s="1573">
        <v>19500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67503</v>
      </c>
      <c r="E270" s="1673"/>
      <c r="F270" s="1673"/>
      <c r="G270" s="1673"/>
      <c r="H270" s="1673"/>
      <c r="I270" s="1673"/>
      <c r="J270" s="1673"/>
      <c r="K270" s="1674">
        <f>SUM(K263:K269)</f>
        <v>67503</v>
      </c>
      <c r="L270" s="1674">
        <f>SUM(L263:L269)</f>
        <v>64500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110016</v>
      </c>
      <c r="E279" s="1673"/>
      <c r="F279" s="1673"/>
      <c r="G279" s="1673"/>
      <c r="H279" s="1673"/>
      <c r="I279" s="1673"/>
      <c r="J279" s="1673"/>
      <c r="K279" s="1681">
        <f>SUM(K238,K243,K257,K261,K270,K277,K278)</f>
        <v>110016</v>
      </c>
      <c r="L279" s="1681">
        <f>SUM(L238,L243,L257,L261,L270,L277,L278)</f>
        <v>108020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154826</v>
      </c>
      <c r="E295" s="1673"/>
      <c r="F295" s="1673"/>
      <c r="G295" s="1673"/>
      <c r="H295" s="1674">
        <f>H293</f>
        <v>0</v>
      </c>
      <c r="I295" s="1673"/>
      <c r="J295" s="1673"/>
      <c r="K295" s="1674">
        <f>SUM(K229,K279,K280,K285,K293,K294)</f>
        <v>154826</v>
      </c>
      <c r="L295" s="1674">
        <f>SUM(L229,L279,L280,L285,L293,L294)</f>
        <v>150770</v>
      </c>
    </row>
    <row r="296" spans="1:14" ht="13.5" thickTop="1" x14ac:dyDescent="0.2">
      <c r="A296" s="2260" t="s">
        <v>989</v>
      </c>
      <c r="B296" s="2261"/>
      <c r="C296" s="1673"/>
      <c r="D296" s="1675"/>
      <c r="E296" s="1673"/>
      <c r="F296" s="1673"/>
      <c r="G296" s="1673"/>
      <c r="H296" s="1707"/>
      <c r="I296" s="1673"/>
      <c r="J296" s="1673"/>
      <c r="K296" s="1689">
        <f>'Revenues 9-14'!G268-'Expenditures 15-22'!K295</f>
        <v>93683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v>17931</v>
      </c>
      <c r="F302" s="1573">
        <v>32559</v>
      </c>
      <c r="G302" s="1573">
        <v>44014</v>
      </c>
      <c r="H302" s="1573"/>
      <c r="I302" s="1574"/>
      <c r="J302" s="1574"/>
      <c r="K302" s="1672">
        <f>SUM(C302:J302)</f>
        <v>94504</v>
      </c>
      <c r="L302" s="1573">
        <v>55000</v>
      </c>
    </row>
    <row r="303" spans="1:14" ht="12.75" customHeight="1" thickBot="1" x14ac:dyDescent="0.25">
      <c r="A303" s="1380" t="s">
        <v>806</v>
      </c>
      <c r="B303" s="1381" t="s">
        <v>565</v>
      </c>
      <c r="C303" s="1681">
        <f>SUM(C301:C302)</f>
        <v>0</v>
      </c>
      <c r="D303" s="1681">
        <f t="shared" ref="D303:L303" si="23">SUM(D301:D302)</f>
        <v>0</v>
      </c>
      <c r="E303" s="1681">
        <f t="shared" si="23"/>
        <v>17931</v>
      </c>
      <c r="F303" s="1681">
        <f t="shared" si="23"/>
        <v>32559</v>
      </c>
      <c r="G303" s="1681">
        <f t="shared" si="23"/>
        <v>44014</v>
      </c>
      <c r="H303" s="1681">
        <f t="shared" si="23"/>
        <v>0</v>
      </c>
      <c r="I303" s="1681">
        <f t="shared" si="23"/>
        <v>0</v>
      </c>
      <c r="J303" s="1681">
        <f t="shared" si="23"/>
        <v>0</v>
      </c>
      <c r="K303" s="1681">
        <f t="shared" si="23"/>
        <v>94504</v>
      </c>
      <c r="L303" s="1681">
        <f t="shared" si="23"/>
        <v>55000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17931</v>
      </c>
      <c r="F312" s="1674">
        <f>SUM(F303)</f>
        <v>32559</v>
      </c>
      <c r="G312" s="1674">
        <f>SUM(G303)</f>
        <v>44014</v>
      </c>
      <c r="H312" s="1674">
        <f>SUM(H303,H310)</f>
        <v>0</v>
      </c>
      <c r="I312" s="1674">
        <f>SUM(I303)</f>
        <v>0</v>
      </c>
      <c r="J312" s="1674">
        <f>SUM(J303)</f>
        <v>0</v>
      </c>
      <c r="K312" s="1674">
        <f>SUM(K303,K310,K311)</f>
        <v>94504</v>
      </c>
      <c r="L312" s="1674">
        <f>SUM(L303,L310,L311)</f>
        <v>55000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139136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280</v>
      </c>
      <c r="C320" s="1574"/>
      <c r="D320" s="1574"/>
      <c r="E320" s="1574">
        <v>13045</v>
      </c>
      <c r="F320" s="1574"/>
      <c r="G320" s="1574"/>
      <c r="H320" s="1574"/>
      <c r="I320" s="1574"/>
      <c r="J320" s="1574"/>
      <c r="K320" s="1672">
        <f t="shared" ref="K320:K327" si="24">SUM(C320:J320)</f>
        <v>13045</v>
      </c>
      <c r="L320" s="1574">
        <v>37000</v>
      </c>
      <c r="M320" s="539"/>
      <c r="N320" s="539"/>
    </row>
    <row r="321" spans="1:14" s="548" customFormat="1" x14ac:dyDescent="0.2">
      <c r="A321" s="1289" t="s">
        <v>297</v>
      </c>
      <c r="B321" s="567" t="s">
        <v>281</v>
      </c>
      <c r="C321" s="1574"/>
      <c r="D321" s="1574"/>
      <c r="E321" s="1574">
        <v>4735</v>
      </c>
      <c r="F321" s="1574"/>
      <c r="G321" s="1574"/>
      <c r="H321" s="1574"/>
      <c r="I321" s="1574"/>
      <c r="J321" s="1574"/>
      <c r="K321" s="1672">
        <f t="shared" si="24"/>
        <v>4735</v>
      </c>
      <c r="L321" s="1574">
        <v>5000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10171</v>
      </c>
      <c r="D325" s="1574">
        <v>1312</v>
      </c>
      <c r="E325" s="1574">
        <v>17949</v>
      </c>
      <c r="F325" s="1574">
        <v>7190</v>
      </c>
      <c r="G325" s="1574"/>
      <c r="H325" s="1574"/>
      <c r="I325" s="1574"/>
      <c r="J325" s="1574"/>
      <c r="K325" s="1672">
        <f t="shared" si="24"/>
        <v>36622</v>
      </c>
      <c r="L325" s="1574">
        <v>38500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6483</v>
      </c>
      <c r="F327" s="1574"/>
      <c r="G327" s="1574"/>
      <c r="H327" s="1574"/>
      <c r="I327" s="1574"/>
      <c r="J327" s="1574"/>
      <c r="K327" s="1672">
        <f t="shared" si="24"/>
        <v>6483</v>
      </c>
      <c r="L327" s="1574">
        <v>6000</v>
      </c>
      <c r="M327" s="539"/>
      <c r="N327" s="539"/>
    </row>
    <row r="328" spans="1:14" s="548" customFormat="1" x14ac:dyDescent="0.2">
      <c r="A328" s="1290" t="s">
        <v>469</v>
      </c>
      <c r="B328" s="562" t="s">
        <v>1122</v>
      </c>
      <c r="C328" s="1579"/>
      <c r="D328" s="1579"/>
      <c r="E328" s="1579">
        <v>35433</v>
      </c>
      <c r="F328" s="1579"/>
      <c r="G328" s="1579"/>
      <c r="H328" s="1579"/>
      <c r="I328" s="1579"/>
      <c r="J328" s="1579"/>
      <c r="K328" s="1713">
        <f>SUM(C328:J328)</f>
        <v>35433</v>
      </c>
      <c r="L328" s="1579">
        <v>34000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10171</v>
      </c>
      <c r="D330" s="1674">
        <f t="shared" ref="D330:J330" si="25">SUM(D319:D329)</f>
        <v>1312</v>
      </c>
      <c r="E330" s="1674">
        <f t="shared" si="25"/>
        <v>77645</v>
      </c>
      <c r="F330" s="1674">
        <f t="shared" si="25"/>
        <v>7190</v>
      </c>
      <c r="G330" s="1674">
        <f t="shared" si="25"/>
        <v>0</v>
      </c>
      <c r="H330" s="1674">
        <f t="shared" si="25"/>
        <v>0</v>
      </c>
      <c r="I330" s="1674">
        <f t="shared" si="25"/>
        <v>0</v>
      </c>
      <c r="J330" s="1674">
        <f t="shared" si="25"/>
        <v>0</v>
      </c>
      <c r="K330" s="1674">
        <f>SUM(K319:K329)</f>
        <v>96318</v>
      </c>
      <c r="L330" s="1674">
        <f>SUM(L319:L329)</f>
        <v>120500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10171</v>
      </c>
      <c r="D342" s="1674">
        <f>SUM(D330)</f>
        <v>1312</v>
      </c>
      <c r="E342" s="1674">
        <f>SUM(E330)</f>
        <v>77645</v>
      </c>
      <c r="F342" s="1674">
        <f>SUM(F330)</f>
        <v>7190</v>
      </c>
      <c r="G342" s="1674">
        <f>SUM(G330)</f>
        <v>0</v>
      </c>
      <c r="H342" s="1674">
        <f>SUM(H330,H334,H340)</f>
        <v>0</v>
      </c>
      <c r="I342" s="1674">
        <f>SUM(I330)</f>
        <v>0</v>
      </c>
      <c r="J342" s="1674">
        <f>SUM(J330)</f>
        <v>0</v>
      </c>
      <c r="K342" s="1674">
        <f>SUM(K330,K334,K340)</f>
        <v>96318</v>
      </c>
      <c r="L342" s="1681">
        <f>SUM(L330,L334,L340,L341)</f>
        <v>120500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57530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v>0</v>
      </c>
    </row>
    <row r="355" spans="1:14" ht="12.75" customHeight="1" x14ac:dyDescent="0.2">
      <c r="A355" s="1283" t="s">
        <v>1824</v>
      </c>
      <c r="B355" s="562" t="s">
        <v>1817</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0" t="s">
        <v>989</v>
      </c>
      <c r="B368" s="2261"/>
      <c r="C368" s="1694"/>
      <c r="D368" s="1694"/>
      <c r="E368" s="1677"/>
      <c r="F368" s="1677"/>
      <c r="G368" s="1677"/>
      <c r="H368" s="1677"/>
      <c r="I368" s="1677"/>
      <c r="J368" s="1676"/>
      <c r="K368" s="1672">
        <f>'Revenues 9-14'!K268-'Expenditures 15-22'!K367</f>
        <v>621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http://schemas.microsoft.com/office/2006/metadata/properties"/>
    <ds:schemaRef ds:uri="http://purl.org/dc/terms/"/>
    <ds:schemaRef ds:uri="http://schemas.microsoft.com/sharepoint/v3"/>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2020-11-13T22:42:24Z</cp:lastPrinted>
  <dcterms:created xsi:type="dcterms:W3CDTF">2003-10-29T19:06:34Z</dcterms:created>
  <dcterms:modified xsi:type="dcterms:W3CDTF">2020-12-07T20:55:06Z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