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D27D487-734E-4D08-AAEB-E29F54ADADCB}"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60" i="29" l="1"/>
  <c r="C60" i="29"/>
  <c r="I12" i="184" l="1"/>
  <c r="E9" i="108"/>
  <c r="L266" i="29"/>
  <c r="L264" i="29"/>
  <c r="D264" i="29"/>
  <c r="L268" i="29"/>
  <c r="D268" i="29"/>
  <c r="D266" i="29"/>
  <c r="L38" i="29"/>
  <c r="L10" i="29"/>
  <c r="F10" i="29"/>
  <c r="C146" i="5"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1130" i="106" l="1"/>
  <c r="D1130" i="106" s="1"/>
  <c r="E10" i="108"/>
  <c r="E8" i="108"/>
  <c r="H33" i="118"/>
  <c r="B7189" i="106"/>
  <c r="D7189" i="106" s="1"/>
  <c r="E64" i="184"/>
  <c r="N64" i="184" s="1"/>
  <c r="B7153" i="106"/>
  <c r="D7153" i="106" s="1"/>
  <c r="E60" i="184"/>
  <c r="N60" i="184" s="1"/>
  <c r="H76" i="4"/>
  <c r="B3298" i="106" s="1"/>
  <c r="D3298" i="106" s="1"/>
  <c r="B1274" i="106"/>
  <c r="D1274" i="106" s="1"/>
  <c r="H12" i="184"/>
  <c r="J129" i="29"/>
  <c r="B7038" i="106" s="1"/>
  <c r="D7038" i="106" s="1"/>
  <c r="B7198" i="106"/>
  <c r="D7198" i="106" s="1"/>
  <c r="E65" i="184"/>
  <c r="N65" i="184" s="1"/>
  <c r="B7162" i="106"/>
  <c r="D7162" i="106" s="1"/>
  <c r="E61" i="184"/>
  <c r="N61" i="184" s="1"/>
  <c r="B7126" i="106"/>
  <c r="D7126" i="106" s="1"/>
  <c r="E57" i="184"/>
  <c r="B7705" i="106"/>
  <c r="D7705" i="106" s="1"/>
  <c r="E67" i="184"/>
  <c r="N67" i="184" s="1"/>
  <c r="F77" i="4"/>
  <c r="B3255" i="106" s="1"/>
  <c r="D3255" i="106" s="1"/>
  <c r="B7696" i="106"/>
  <c r="D7696" i="106" s="1"/>
  <c r="E66" i="184"/>
  <c r="N66" i="184" s="1"/>
  <c r="B7171" i="106"/>
  <c r="D7171" i="106" s="1"/>
  <c r="E62" i="184"/>
  <c r="N62" i="184" s="1"/>
  <c r="B7135" i="106"/>
  <c r="D7135" i="106" s="1"/>
  <c r="E58" i="184"/>
  <c r="N58" i="184" s="1"/>
  <c r="H15" i="184"/>
  <c r="D31" i="108"/>
  <c r="E16" i="184"/>
  <c r="H16" i="184" s="1"/>
  <c r="F42" i="34"/>
  <c r="C342" i="29"/>
  <c r="B7216" i="106" s="1"/>
  <c r="D7216" i="106"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730" i="106" l="1"/>
  <c r="D3730" i="106" s="1"/>
  <c r="G30" i="108"/>
  <c r="E27" i="108"/>
  <c r="G27" i="108"/>
  <c r="B2855" i="106"/>
  <c r="D2855" i="106" s="1"/>
  <c r="F27" i="108"/>
  <c r="D27" i="108"/>
  <c r="D41" i="108" s="1"/>
  <c r="E43" i="108" s="1"/>
  <c r="K342" i="29"/>
  <c r="F13" i="34" s="1"/>
  <c r="F41" i="108"/>
  <c r="G43" i="108" s="1"/>
  <c r="N23" i="3"/>
  <c r="B284" i="106" s="1"/>
  <c r="D284" i="106" s="1"/>
  <c r="B5527" i="106"/>
  <c r="D5527" i="106" s="1"/>
  <c r="D44" i="36"/>
  <c r="B6216" i="106"/>
  <c r="D6216" i="106" s="1"/>
  <c r="L114" i="29"/>
  <c r="B7220" i="106"/>
  <c r="D7220" i="106" s="1"/>
  <c r="F75" i="34"/>
  <c r="B7886" i="106" s="1"/>
  <c r="D7886" i="106" s="1"/>
  <c r="B7222" i="106"/>
  <c r="D7222" i="106" s="1"/>
  <c r="F76" i="34"/>
  <c r="B7887" i="106" s="1"/>
  <c r="D7887" i="106" s="1"/>
  <c r="E19" i="184"/>
  <c r="H19" i="184"/>
  <c r="L20" i="184" s="1"/>
  <c r="E367" i="29"/>
  <c r="B3635" i="106"/>
  <c r="N57" i="184"/>
  <c r="N68" i="184" s="1"/>
  <c r="E68" i="184"/>
  <c r="L16" i="11"/>
  <c r="B2061" i="106" s="1"/>
  <c r="D2061" i="106" s="1"/>
  <c r="D7256" i="106"/>
  <c r="D7251" i="106"/>
  <c r="D7254" i="106"/>
  <c r="D7250" i="106"/>
  <c r="G6" i="4"/>
  <c r="B2604" i="106" s="1"/>
  <c r="D2604" i="106" s="1"/>
  <c r="C114" i="29"/>
  <c r="B757" i="106" s="1"/>
  <c r="D757" i="106"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8" i="4"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<sst xmlns="http://schemas.openxmlformats.org/spreadsheetml/2006/main" count="5139" uniqueCount="2075">
  <si>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</si>
  <si>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</si>
  <si>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</si>
  <si>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</si>
  <si>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</si>
  <si>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</si>
  <si>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</si>
  <si>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</si>
  <si>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</si>
  <si>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</si>
  <si>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</si>
  <si>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</si>
  <si>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</si>
  <si>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</si>
  <si>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</si>
  <si>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</si>
  <si>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</si>
  <si>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</si>
  <si>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</si>
  <si>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</si>
  <si>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</si>
  <si>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</si>
  <si>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</si>
  <si>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</si>
  <si>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</si>
  <si>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</si>
  <si>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</si>
  <si>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</si>
  <si>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</si>
  <si>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</si>
  <si>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</si>
  <si>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</si>
  <si>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</si>
  <si>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</si>
  <si>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</si>
  <si>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</si>
  <si>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</si>
  <si>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</si>
  <si>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</si>
  <si>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</si>
  <si>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</si>
  <si>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</si>
  <si>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</si>
  <si>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</si>
  <si>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</si>
  <si>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</si>
  <si>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</si>
  <si>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</si>
  <si>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</si>
  <si>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</si>
  <si>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</si>
  <si>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</si>
  <si>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</si>
  <si>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</si>
  <si>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</si>
  <si>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</si>
  <si>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</si>
  <si>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</si>
  <si>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</si>
  <si>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</si>
  <si>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</si>
  <si>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</si>
  <si>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</si>
  <si>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</si>
  <si>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</si>
  <si>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</si>
  <si>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</si>
  <si>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</si>
  <si>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</si>
  <si>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</si>
  <si>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</si>
  <si>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</si>
  <si>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</si>
  <si>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</si>
  <si>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</si>
  <si>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</si>
  <si>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</si>
  <si>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</si>
  <si>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</si>
  <si>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</si>
  <si>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</si>
  <si>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</si>
  <si>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</si>
  <si>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</si>
  <si>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</si>
  <si>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</si>
  <si>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</si>
  <si>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</si>
  <si>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</si>
  <si>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</si>
  <si>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</si>
  <si>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</si>
  <si>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</si>
  <si>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</si>
  <si>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</si>
  <si>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</si>
  <si>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</si>
  <si>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</si>
  <si>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</si>
  <si>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</si>
  <si>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</si>
  <si>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</si>
  <si>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</si>
  <si>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</si>
  <si>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</si>
  <si>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</si>
  <si>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</si>
  <si>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</si>
  <si>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</si>
  <si>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</si>
  <si>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</si>
  <si>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</si>
  <si>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</si>
  <si>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</si>
  <si>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</si>
  <si>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</si>
  <si>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</si>
  <si>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</si>
  <si>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</si>
  <si>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</si>
  <si>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</si>
  <si>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</si>
  <si>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</si>
  <si>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</si>
  <si>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</si>
  <si>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</si>
  <si>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</si>
  <si>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</si>
  <si>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</si>
  <si>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</si>
  <si>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</si>
  <si>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</si>
  <si>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</si>
  <si>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</si>
  <si>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</si>
  <si>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</si>
  <si>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</si>
  <si>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</si>
  <si>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</si>
  <si>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</si>
  <si>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</si>
  <si>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</si>
  <si>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</si>
  <si>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</si>
  <si>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</si>
  <si>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</si>
  <si>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</si>
  <si>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</si>
  <si>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</si>
  <si>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</si>
  <si>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</si>
  <si>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</si>
  <si>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</si>
  <si>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</si>
  <si>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</si>
  <si>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</si>
  <si>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</si>
  <si>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</si>
  <si>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</si>
  <si>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</si>
  <si>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</si>
  <si>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</si>
  <si>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</si>
  <si>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</si>
  <si>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</si>
  <si>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</si>
  <si>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</si>
  <si>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</si>
  <si>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</si>
  <si>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</si>
  <si>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</si>
  <si>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</si>
  <si>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</si>
  <si>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</si>
  <si>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</si>
  <si>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</si>
  <si>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</si>
  <si>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</si>
  <si>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</si>
  <si>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</si>
  <si>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</si>
  <si>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</si>
  <si>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</si>
  <si>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</si>
  <si>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</si>
  <si>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</si>
  <si>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</si>
  <si>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</si>
  <si>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</si>
  <si>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</si>
  <si>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</si>
  <si>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</si>
  <si>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</si>
  <si>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</si>
  <si>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</si>
  <si>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</si>
  <si>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</si>
  <si>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</si>
  <si>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</si>
  <si>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</si>
  <si>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</si>
  <si>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</si>
  <si>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</si>
  <si>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</si>
  <si>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</si>
  <si>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</si>
  <si>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</si>
  <si>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</si>
  <si>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</si>
  <si>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</si>
  <si>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</si>
  <si>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</si>
  <si>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</si>
  <si>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</si>
  <si>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</si>
  <si>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</si>
  <si>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</si>
  <si>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</si>
  <si>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</si>
  <si>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</si>
  <si>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</si>
  <si>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</si>
  <si>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</si>
  <si>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</si>
  <si>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</si>
  <si>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</si>
  <si>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</si>
  <si>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</si>
  <si>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</si>
  <si>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</si>
  <si>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</si>
  <si>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</si>
  <si>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</si>
  <si>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</si>
  <si>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</si>
  <si>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</si>
  <si>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</si>
  <si>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</si>
  <si>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</si>
  <si>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</si>
  <si>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</si>
  <si>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</si>
  <si>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</si>
  <si>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</si>
  <si>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</si>
  <si>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</si>
  <si>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</si>
  <si>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</si>
  <si>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</si>
  <si>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</si>
  <si>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</si>
  <si>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</si>
  <si>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</si>
  <si>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</si>
  <si>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</si>
  <si>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</si>
  <si>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</si>
  <si>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</si>
  <si>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</si>
  <si>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</si>
  <si>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</si>
  <si>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</si>
  <si>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</si>
  <si>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</si>
  <si>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</si>
  <si>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</si>
  <si>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</si>
  <si>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</si>
  <si>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</si>
  <si>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</si>
  <si>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</si>
  <si>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</si>
  <si>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</si>
  <si>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</si>
  <si>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</si>
  <si>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</si>
  <si>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</si>
  <si>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</si>
  <si>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</si>
  <si>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</si>
  <si>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</si>
  <si>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</si>
  <si>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</si>
  <si>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</si>
  <si>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</si>
  <si>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</si>
  <si>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</si>
  <si>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</si>
  <si>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</si>
  <si>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</si>
  <si>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</si>
  <si>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</si>
  <si>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</si>
  <si>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</si>
  <si>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</si>
  <si>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</si>
  <si>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</si>
  <si>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</si>
  <si>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</si>
  <si>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</si>
  <si>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</si>
  <si>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</si>
  <si>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</si>
  <si>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</si>
  <si>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</si>
  <si>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</si>
  <si>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</si>
  <si>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</si>
  <si>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</si>
  <si>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</si>
  <si>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</si>
  <si>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</si>
  <si>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</si>
  <si>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</si>
  <si>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</si>
  <si>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</si>
  <si>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</si>
  <si>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</si>
  <si>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</si>
  <si>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</si>
  <si>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</si>
  <si>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</si>
  <si>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</si>
  <si>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</si>
  <si>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</si>
  <si>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</si>
  <si>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</si>
  <si>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</si>
  <si>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</si>
  <si>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</si>
  <si>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</si>
  <si>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</si>
  <si>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</si>
  <si>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</si>
  <si>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</si>
  <si>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</si>
  <si>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</si>
  <si>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</si>
  <si>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</si>
  <si>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</si>
  <si>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</si>
  <si>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</si>
  <si>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</si>
  <si>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</si>
  <si>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</si>
  <si>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</si>
  <si>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</si>
  <si>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</si>
  <si>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</si>
  <si>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</si>
  <si>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</si>
  <si>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</si>
  <si>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</si>
  <si>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</si>
  <si>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</si>
  <si>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</si>
  <si>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</si>
  <si>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</si>
  <si>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</si>
  <si>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</si>
  <si>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</si>
  <si>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</si>
  <si>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</si>
  <si>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</si>
  <si>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</si>
  <si>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</si>
  <si>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</si>
  <si>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</si>
  <si>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</si>
  <si>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</si>
  <si>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</si>
  <si>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</si>
  <si>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</si>
  <si>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</si>
  <si>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</si>
  <si>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</si>
  <si>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</si>
  <si>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</si>
  <si>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</si>
  <si>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</si>
  <si>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</si>
  <si>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</si>
  <si>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</si>
  <si>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</si>
  <si>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</si>
  <si>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</si>
  <si>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</si>
  <si>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</si>
  <si>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</si>
  <si>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</si>
  <si>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</si>
  <si>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</si>
  <si>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</si>
  <si>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</si>
  <si>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</si>
  <si>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</si>
  <si>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</si>
  <si>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</si>
  <si>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</si>
  <si>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</si>
  <si>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</si>
  <si>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</si>
  <si>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</si>
  <si>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</si>
  <si>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</si>
  <si>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</si>
  <si>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</si>
  <si>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</si>
  <si>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</si>
  <si>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</si>
  <si>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</si>
  <si>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</si>
  <si>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</si>
  <si>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</si>
  <si>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</si>
  <si>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</si>
  <si>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</si>
  <si>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</si>
  <si>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</si>
  <si>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</si>
  <si>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</si>
  <si>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</si>
  <si>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</si>
  <si>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</si>
  <si>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</si>
  <si>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</si>
  <si>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</si>
  <si>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</si>
  <si>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</si>
  <si>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</si>
  <si>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</si>
  <si>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</si>
  <si>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</si>
  <si>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</si>
  <si>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</si>
  <si>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</si>
  <si>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</si>
  <si>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</si>
  <si>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</si>
  <si>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</si>
  <si>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</si>
  <si>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</si>
  <si>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</si>
  <si>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</si>
  <si>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</si>
  <si>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</si>
  <si>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</si>
  <si>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</si>
  <si>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</si>
  <si>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</si>
  <si>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</si>
  <si>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</si>
  <si>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</si>
  <si>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</si>
  <si>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</si>
  <si>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</si>
  <si>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</si>
  <si>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</si>
  <si>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</si>
  <si>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</si>
  <si>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</si>
  <si>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</si>
  <si>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</si>
  <si>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</si>
  <si>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</si>
  <si>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</si>
  <si>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</si>
  <si>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</si>
  <si>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</si>
  <si>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</si>
  <si>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</si>
  <si>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</si>
  <si>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</si>
  <si>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</si>
  <si>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</si>
  <si>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</si>
  <si>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</si>
  <si>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</si>
  <si>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</si>
  <si>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</si>
  <si>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</si>
  <si>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</si>
  <si>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</si>
  <si>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</si>
  <si>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</si>
  <si>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</si>
  <si>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</si>
  <si>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</si>
  <si>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</si>
  <si>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</si>
  <si>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</si>
  <si>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</si>
  <si>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</si>
  <si>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</si>
  <si>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</si>
  <si>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</si>
  <si>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</si>
  <si>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</si>
  <si>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</si>
  <si>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</si>
  <si>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</si>
  <si>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</si>
  <si>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</si>
  <si>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</si>
  <si>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</si>
  <si>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</si>
  <si>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</si>
  <si>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</si>
  <si>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</si>
  <si>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</si>
  <si>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</si>
  <si>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</si>
  <si>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</si>
  <si>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</si>
  <si>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</si>
  <si>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</si>
  <si>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</si>
  <si>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</si>
  <si>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</si>
  <si>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</si>
  <si>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</si>
  <si>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</si>
  <si>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</si>
  <si>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</si>
  <si>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</si>
  <si>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</si>
  <si>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</si>
  <si>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</si>
  <si>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</si>
  <si>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</si>
  <si>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</si>
  <si>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</si>
  <si>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</si>
  <si>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</si>
  <si>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</si>
  <si>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</si>
  <si>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</si>
  <si>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</si>
  <si>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</si>
  <si>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</si>
  <si>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</si>
  <si>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</si>
  <si>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</si>
  <si>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</si>
  <si>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</si>
  <si>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</si>
  <si>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</si>
  <si>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</si>
  <si>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</si>
  <si>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</si>
  <si>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</si>
  <si>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</si>
  <si>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</si>
  <si>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</si>
  <si>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</si>
  <si>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</si>
  <si>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</si>
  <si>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</si>
  <si>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</si>
  <si>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</si>
  <si>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</si>
  <si>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</si>
  <si>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</si>
  <si>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</si>
  <si>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</si>
  <si>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</si>
  <si>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</si>
  <si>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</si>
  <si>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</si>
  <si>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</si>
  <si>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</si>
  <si>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</si>
  <si>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</si>
  <si>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</si>
  <si>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</si>
  <si>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</si>
  <si>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</si>
  <si>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</si>
  <si>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</si>
  <si>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</si>
  <si>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</si>
  <si>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</si>
  <si>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</si>
  <si>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</si>
  <si>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</si>
  <si>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</si>
  <si>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</si>
  <si>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</si>
  <si>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</si>
  <si>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</si>
  <si>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</si>
  <si>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</si>
  <si>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</si>
  <si>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</si>
  <si>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</si>
  <si>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</si>
  <si>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</si>
  <si>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</si>
  <si>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</si>
  <si>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</si>
  <si>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</si>
  <si>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</si>
  <si>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</si>
  <si>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</si>
  <si>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</si>
  <si>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</si>
  <si>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</si>
  <si>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</si>
  <si>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</si>
  <si>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</si>
  <si>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</si>
  <si>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</si>
  <si>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</si>
  <si>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</si>
  <si>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</si>
  <si>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</si>
  <si>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</si>
  <si>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</si>
  <si>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</si>
  <si>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</si>
  <si>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</si>
  <si>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</si>
  <si>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</si>
  <si>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</si>
  <si>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</si>
  <si>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</si>
  <si>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</si>
  <si>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</si>
  <si>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</si>
  <si>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</si>
  <si>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</si>
  <si>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</si>
  <si>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</si>
  <si>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</si>
  <si>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</si>
  <si>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</si>
  <si>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</si>
  <si>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</si>
  <si>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</si>
  <si>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</si>
  <si>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</si>
  <si>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</si>
  <si>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</si>
  <si>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</si>
  <si>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</si>
  <si>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</si>
  <si>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</si>
  <si>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</si>
  <si>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</si>
  <si>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</si>
  <si>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</si>
  <si>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</si>
  <si>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</si>
  <si>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</si>
  <si>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</si>
  <si>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</si>
  <si>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</si>
  <si>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</si>
  <si>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</si>
  <si>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</si>
  <si>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</si>
  <si>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</si>
  <si>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</si>
  <si>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</si>
  <si>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</si>
  <si>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</si>
  <si>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</si>
  <si>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</si>
  <si>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</si>
  <si>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</si>
  <si>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</si>
  <si>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</si>
  <si>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</si>
  <si>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</si>
  <si>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</si>
  <si>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</si>
  <si>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</si>
  <si>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</si>
  <si>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</si>
  <si>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</si>
  <si>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</si>
  <si>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</si>
  <si>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</si>
  <si>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</si>
  <si>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</si>
  <si>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</si>
  <si>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</si>
  <si>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</si>
  <si>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</si>
  <si>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</si>
  <si>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</si>
  <si>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</si>
  <si>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</si>
  <si>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</si>
  <si>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</si>
  <si>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</si>
  <si>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</si>
  <si>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</si>
  <si>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</si>
  <si>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</si>
  <si>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</si>
  <si>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</si>
  <si>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</si>
  <si>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</si>
  <si>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</si>
  <si>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</si>
  <si>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</si>
  <si>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</si>
  <si>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</si>
  <si>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</si>
  <si>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</si>
  <si>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</si>
  <si>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</si>
  <si>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</si>
  <si>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</si>
  <si>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</si>
  <si>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</si>
  <si>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</si>
  <si>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</si>
  <si>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</si>
  <si>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</si>
  <si>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</si>
  <si>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</si>
  <si>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</si>
  <si>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</si>
  <si>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</si>
  <si>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</si>
  <si>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</si>
  <si>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</si>
  <si>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</si>
  <si>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</si>
  <si>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</si>
  <si>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</si>
  <si>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</si>
  <si>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</si>
  <si>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</si>
  <si>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</si>
  <si>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</si>
  <si>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</si>
  <si>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</si>
  <si>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</si>
  <si>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</si>
  <si>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</si>
  <si>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</si>
  <si>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</si>
  <si>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</si>
  <si>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</si>
  <si>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</si>
  <si>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</si>
  <si>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</si>
  <si>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</si>
  <si>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</si>
  <si>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</si>
  <si>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</si>
  <si>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</si>
  <si>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</si>
  <si>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</si>
  <si>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</si>
  <si>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</si>
  <si>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</si>
  <si>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</si>
  <si>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</si>
  <si>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</si>
  <si>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</si>
  <si>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</si>
  <si>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</si>
  <si>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</si>
  <si>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</si>
  <si>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</si>
  <si>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</si>
  <si>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</si>
  <si>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</si>
  <si>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</si>
  <si>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</si>
  <si>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</si>
  <si>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</si>
  <si>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</si>
  <si>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</si>
  <si>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</si>
  <si>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</si>
  <si>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</si>
  <si>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</si>
  <si>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</si>
  <si>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</si>
  <si>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</si>
  <si>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</si>
  <si>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</si>
  <si>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</si>
  <si>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</si>
  <si>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</si>
  <si>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</si>
  <si>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</si>
  <si>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</si>
  <si>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</si>
  <si>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</si>
  <si>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</si>
  <si>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</si>
  <si>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</si>
  <si>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</si>
  <si>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</si>
  <si>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</si>
  <si>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</si>
  <si>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</si>
  <si>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</si>
  <si>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</si>
  <si>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</si>
  <si>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</si>
  <si>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</si>
  <si>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</si>
  <si>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</si>
  <si>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</si>
  <si>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</si>
  <si>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</si>
  <si>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</si>
  <si>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</si>
  <si>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</si>
  <si>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</si>
  <si>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</si>
  <si>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</si>
  <si>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</si>
  <si>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</si>
  <si>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</si>
  <si>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</si>
  <si>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</si>
  <si>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</si>
  <si>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</si>
  <si>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</si>
  <si>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</si>
  <si>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</si>
  <si>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</si>
  <si>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</si>
  <si>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</si>
  <si>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</si>
  <si>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</si>
  <si>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</si>
  <si>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</si>
  <si>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</si>
  <si>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</si>
  <si>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</si>
  <si>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</si>
  <si>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</si>
  <si>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</si>
  <si>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</si>
  <si>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</si>
  <si>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</si>
  <si>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</si>
  <si>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</si>
  <si>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</si>
  <si>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</si>
  <si>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</si>
  <si>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</si>
  <si>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</si>
  <si>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</si>
  <si>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</si>
  <si>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</si>
  <si>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</si>
  <si>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</si>
  <si>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</si>
  <si>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</si>
  <si>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</si>
  <si>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</si>
  <si>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</si>
  <si>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</si>
  <si>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</si>
  <si>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</si>
  <si>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</si>
  <si>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</si>
  <si>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</si>
  <si>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</si>
  <si>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</si>
  <si>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</si>
  <si>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</si>
  <si>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</si>
  <si>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</si>
  <si>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</si>
  <si>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</si>
  <si>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</si>
  <si>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</si>
  <si>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</si>
  <si>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</si>
  <si>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</si>
  <si>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</si>
  <si>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</si>
  <si>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</si>
  <si>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</si>
  <si>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</si>
  <si>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</si>
  <si>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</si>
  <si>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</si>
  <si>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</si>
  <si>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</si>
  <si>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</si>
  <si>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</si>
  <si>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</si>
  <si>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</si>
  <si>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</si>
  <si>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</si>
  <si>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</si>
  <si>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</si>
  <si>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</si>
  <si>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</si>
  <si>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</si>
  <si>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</si>
  <si>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</si>
  <si>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</si>
  <si>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</si>
  <si>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</si>
  <si>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</si>
  <si>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</si>
  <si>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</si>
  <si>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</si>
  <si>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</si>
  <si>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</si>
  <si>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</si>
  <si>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</si>
  <si>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</si>
  <si>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</si>
  <si>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</si>
  <si>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</si>
  <si>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</si>
  <si>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</si>
  <si>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</si>
  <si>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</si>
  <si>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</si>
  <si>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</si>
  <si>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</si>
  <si>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</si>
  <si>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</si>
  <si>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</si>
  <si>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</si>
  <si>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</si>
  <si>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</si>
  <si>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</si>
  <si>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</si>
  <si>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</si>
  <si>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</si>
  <si>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</si>
  <si>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</si>
  <si>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</si>
  <si>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</si>
  <si>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</si>
  <si>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</si>
  <si>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</si>
  <si>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</si>
  <si>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</si>
  <si>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</si>
  <si>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</si>
  <si>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</si>
  <si>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</si>
  <si>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</si>
  <si>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</si>
  <si>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</si>
  <si>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</si>
  <si>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</si>
  <si>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</si>
  <si>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</si>
  <si>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</si>
  <si>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</si>
  <si>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</si>
  <si>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</si>
  <si>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</si>
  <si>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</si>
  <si>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</si>
  <si>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</si>
  <si>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</si>
  <si>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</si>
  <si>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</si>
  <si>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</si>
  <si>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</si>
  <si>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</si>
  <si>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</si>
  <si>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</si>
  <si>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</si>
  <si>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</si>
  <si>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</si>
  <si>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</si>
  <si>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</si>
  <si>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</si>
  <si>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</si>
  <si>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</si>
  <si>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</si>
  <si>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</si>
  <si>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</si>
  <si>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</si>
  <si>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</si>
  <si>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</si>
  <si>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</si>
  <si>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</si>
  <si>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</si>
  <si>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</si>
  <si>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</si>
  <si>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</si>
  <si>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</si>
  <si>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</si>
  <si>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</si>
  <si>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</si>
  <si>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</si>
  <si>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</si>
  <si>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</si>
  <si>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</si>
  <si>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</si>
  <si>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</si>
  <si>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</si>
  <si>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</si>
  <si>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</si>
  <si>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</si>
  <si>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</si>
  <si>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</si>
  <si>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</si>
  <si>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</si>
  <si>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</si>
  <si>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</si>
  <si>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</si>
  <si>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</si>
  <si>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</si>
  <si>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</si>
  <si>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</si>
  <si>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</si>
  <si>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</si>
  <si>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</si>
  <si>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</si>
  <si>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</si>
  <si>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</si>
  <si>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</si>
  <si>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</si>
  <si>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</si>
  <si>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</si>
  <si>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</si>
  <si>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</si>
  <si>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</si>
  <si>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</si>
  <si>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</si>
  <si>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</si>
  <si>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</si>
  <si>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</si>
  <si>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</si>
  <si>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</si>
  <si>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</si>
  <si>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</si>
  <si>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</si>
  <si>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</si>
  <si>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</si>
  <si>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</si>
  <si>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</si>
  <si>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</si>
  <si>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</si>
  <si>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</si>
  <si>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</si>
  <si>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</si>
  <si>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</si>
  <si>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</si>
  <si>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</si>
  <si>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</si>
  <si>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</si>
  <si>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</si>
  <si>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</si>
  <si>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</si>
  <si>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</si>
  <si>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</si>
  <si>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</si>
  <si>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</si>
  <si>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</si>
  <si>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</si>
  <si>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</si>
  <si>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</si>
  <si>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</si>
  <si>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</si>
  <si>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</si>
  <si>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</si>
  <si>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</si>
  <si>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</si>
  <si>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</si>
  <si>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</si>
  <si>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</si>
  <si>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</si>
  <si>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</si>
  <si>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</si>
  <si>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</si>
  <si>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</si>
  <si>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</si>
  <si>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</si>
  <si>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</si>
  <si>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</si>
  <si>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</si>
  <si>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</si>
  <si>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</si>
  <si>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</si>
  <si>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</si>
  <si>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</si>
  <si>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</si>
  <si>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</si>
  <si>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</si>
  <si>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</si>
  <si>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</si>
  <si>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</si>
  <si>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</si>
  <si>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</si>
  <si>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</si>
  <si>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</si>
  <si>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</si>
  <si>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</si>
  <si>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</si>
  <si>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</si>
  <si>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</si>
  <si>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</si>
  <si>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</si>
  <si>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</si>
  <si>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</si>
  <si>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</si>
  <si>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</si>
  <si>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</si>
  <si>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</si>
  <si>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</si>
  <si>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</si>
  <si>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</si>
  <si>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</si>
  <si>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</si>
  <si>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</si>
  <si>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</si>
  <si>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</si>
  <si>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</si>
  <si>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</si>
  <si>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</si>
  <si>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</si>
  <si>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</si>
  <si>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</si>
  <si>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</si>
  <si>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</si>
  <si>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</si>
  <si>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</si>
  <si>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</si>
  <si>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</si>
  <si>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</si>
  <si>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</si>
  <si>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</si>
  <si>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</si>
  <si>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</si>
  <si>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</si>
  <si>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</si>
  <si>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</si>
  <si>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</si>
  <si>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</si>
  <si>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</si>
  <si>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</si>
  <si>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</si>
  <si>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</si>
  <si>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</si>
  <si>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</si>
  <si>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</si>
  <si>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</si>
  <si>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</si>
  <si>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</si>
  <si>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</si>
  <si>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</si>
  <si>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</si>
  <si>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</si>
  <si>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</si>
  <si>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</si>
  <si>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</si>
  <si>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</si>
  <si>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</si>
  <si>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</si>
  <si>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</si>
  <si>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</si>
  <si>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</si>
  <si>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</si>
  <si>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</si>
  <si>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</si>
  <si>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</si>
  <si>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</si>
  <si>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</si>
  <si>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</si>
  <si>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</si>
  <si>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</si>
  <si>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</si>
  <si>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</si>
  <si>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</si>
  <si>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</si>
  <si>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</si>
  <si>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</si>
  <si>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</si>
  <si>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</si>
  <si>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</si>
  <si>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</si>
  <si>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</si>
  <si>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</si>
  <si>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</si>
  <si>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</si>
  <si>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</si>
  <si>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</si>
  <si>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</si>
  <si>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</si>
  <si>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</si>
  <si>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</si>
  <si>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</si>
  <si>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</si>
  <si>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</si>
  <si>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</si>
  <si>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</si>
  <si>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</si>
  <si>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</si>
  <si>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</si>
  <si>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</si>
  <si>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</si>
  <si>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</si>
  <si>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</si>
  <si>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</si>
  <si>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</si>
  <si>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</si>
  <si>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</si>
  <si>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</si>
  <si>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</si>
  <si>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</si>
  <si>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</si>
  <si>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</si>
  <si>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</si>
  <si>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</si>
  <si>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</si>
  <si>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</si>
  <si>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</si>
  <si>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</si>
  <si>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</si>
  <si>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</si>
  <si>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</si>
  <si>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</si>
  <si>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</si>
  <si>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</si>
  <si>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</si>
  <si>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</si>
  <si>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</si>
  <si>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</si>
  <si>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</si>
  <si>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</si>
  <si>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</si>
  <si>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</si>
  <si>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</si>
  <si>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</si>
  <si>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</si>
  <si>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</si>
  <si>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</si>
  <si>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</si>
  <si>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</si>
  <si>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</si>
  <si>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</si>
  <si>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</si>
  <si>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</si>
  <si>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</si>
  <si>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</si>
  <si>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</si>
  <si>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</si>
  <si>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</si>
  <si>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</si>
  <si>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</si>
  <si>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</si>
  <si>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</si>
  <si>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</si>
  <si>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</si>
  <si>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</si>
  <si>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</si>
  <si>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</si>
  <si>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</si>
  <si>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</si>
  <si>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</si>
  <si>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</si>
  <si>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</si>
  <si>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</si>
  <si>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</si>
  <si>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</si>
  <si>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</si>
  <si>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</si>
  <si>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</si>
  <si>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</si>
  <si>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</si>
  <si>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</si>
  <si>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</si>
  <si>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</si>
  <si>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</si>
  <si>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</si>
  <si>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</si>
  <si>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</si>
  <si>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</si>
  <si>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</si>
  <si>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</si>
  <si>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</si>
  <si>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</si>
  <si>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</si>
  <si>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</si>
  <si>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</si>
  <si>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</si>
  <si>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</si>
  <si>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</si>
  <si>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</si>
  <si>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</si>
  <si>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</si>
  <si>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</si>
  <si>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</si>
  <si>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</si>
  <si>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</si>
  <si>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</si>
  <si>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</si>
  <si>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</si>
  <si>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</si>
  <si>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</si>
  <si>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</si>
  <si>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</si>
  <si>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</si>
  <si>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</si>
  <si>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</si>
  <si>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</si>
  <si>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</si>
  <si>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</si>
  <si>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</si>
  <si>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</si>
  <si>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</si>
  <si>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</si>
  <si>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</si>
  <si>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</si>
  <si>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</si>
  <si>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</si>
  <si>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</si>
  <si>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</si>
  <si>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</si>
  <si>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</si>
  <si>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</si>
  <si>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</si>
  <si>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</si>
  <si>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</si>
  <si>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</si>
  <si>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</si>
  <si>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</si>
  <si>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</si>
  <si>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</si>
  <si>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</si>
  <si>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</si>
  <si>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</si>
  <si>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</si>
  <si>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</si>
  <si>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</si>
  <si>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</si>
  <si>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</si>
  <si>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</si>
  <si>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</si>
  <si>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</si>
  <si>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</si>
  <si>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</si>
  <si>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</si>
  <si>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</si>
  <si>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</si>
  <si>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</si>
  <si>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</si>
  <si>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</si>
  <si>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</si>
  <si>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</si>
  <si>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</si>
  <si>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</si>
  <si>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</si>
  <si>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</si>
  <si>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</si>
  <si>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</si>
  <si>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</si>
  <si>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</si>
  <si>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</si>
  <si>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</si>
  <si>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</si>
  <si>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</si>
  <si>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</si>
  <si>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</si>
  <si>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</si>
  <si>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</si>
  <si>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</si>
  <si>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</si>
  <si>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</si>
  <si>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</si>
  <si>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</si>
  <si>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</si>
  <si>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</si>
  <si>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</si>
  <si>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</si>
  <si>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</si>
  <si>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</si>
  <si>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</si>
  <si>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</si>
  <si>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</si>
  <si>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</si>
  <si>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</si>
  <si>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</si>
  <si>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</si>
  <si>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</si>
  <si>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</si>
  <si>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</si>
  <si>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</si>
  <si>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</si>
  <si>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</si>
  <si>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</si>
  <si>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</si>
  <si>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</si>
  <si>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</si>
  <si>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</si>
  <si>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</si>
  <si>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</si>
  <si>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</si>
  <si>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</si>
  <si>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</si>
  <si>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</si>
  <si>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</si>
  <si>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</si>
  <si>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</si>
  <si>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</si>
  <si>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</si>
  <si>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</si>
  <si>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</si>
  <si>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</si>
  <si>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</si>
  <si>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</si>
  <si>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</si>
  <si>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</si>
  <si>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</si>
  <si>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</si>
  <si>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</si>
  <si>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</si>
  <si>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</si>
  <si>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</si>
  <si>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</si>
  <si>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</si>
  <si>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</si>
  <si>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</si>
  <si>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</si>
  <si>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</si>
  <si>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</si>
  <si>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</si>
  <si>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</si>
  <si>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</si>
  <si>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</si>
  <si>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</si>
  <si>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</si>
  <si>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</si>
  <si>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</si>
  <si>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</si>
  <si>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</si>
  <si>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</si>
  <si>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</si>
  <si>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</si>
  <si>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</si>
  <si>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</si>
  <si>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</si>
  <si>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</si>
  <si>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</si>
  <si>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</si>
  <si>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</si>
  <si>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</si>
  <si>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</si>
  <si>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</si>
  <si>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</si>
  <si>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</si>
  <si>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</si>
  <si>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</si>
  <si>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</si>
  <si>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</si>
  <si>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</si>
  <si>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</si>
  <si>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</si>
  <si>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</si>
  <si>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</si>
  <si>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</si>
  <si>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</si>
  <si>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</si>
  <si>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</si>
  <si>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</si>
  <si>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</si>
  <si>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</si>
  <si>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</si>
  <si>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</si>
  <si>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</si>
  <si>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</si>
  <si>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</si>
  <si>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</si>
  <si>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</si>
  <si>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</si>
  <si>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</si>
  <si>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</si>
  <si>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</si>
  <si>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</si>
  <si>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</si>
  <si>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</si>
  <si>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</si>
  <si>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</si>
  <si>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</si>
  <si>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</si>
  <si>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</si>
  <si>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</si>
  <si>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</si>
  <si>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</si>
  <si>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</si>
  <si>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</si>
  <si>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</si>
  <si>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</si>
  <si>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</si>
  <si>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</si>
  <si>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</si>
  <si>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</si>
  <si>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</si>
  <si>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</si>
  <si>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</si>
  <si>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</si>
  <si>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</si>
  <si>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</si>
  <si>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</si>
  <si>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</si>
  <si>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</si>
  <si>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</si>
  <si>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</si>
  <si>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</si>
  <si>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</si>
  <si>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</si>
  <si>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</si>
  <si>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</si>
  <si>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</si>
  <si>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</si>
  <si>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</si>
  <si>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</si>
  <si>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</si>
  <si>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</si>
  <si>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</si>
  <si>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</si>
  <si>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</si>
  <si>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</si>
  <si>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</si>
  <si>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</si>
  <si>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</si>
  <si>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</si>
  <si>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</si>
  <si>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</si>
  <si>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</si>
  <si>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</si>
  <si>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</si>
  <si>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</si>
  <si>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</si>
  <si>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</si>
  <si>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</si>
  <si>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</si>
  <si>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</si>
  <si>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</si>
  <si>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</si>
  <si>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</si>
  <si>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</si>
  <si>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</si>
  <si>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</si>
  <si>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</si>
  <si>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</si>
  <si>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</si>
  <si>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</si>
  <si>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</si>
  <si>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</si>
  <si>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</si>
  <si>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</si>
  <si>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</si>
  <si>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</si>
  <si>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</si>
  <si>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</si>
  <si>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</si>
  <si>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</si>
  <si>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</si>
  <si>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</si>
  <si>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</si>
  <si>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</si>
  <si>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</si>
  <si>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</si>
  <si>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</si>
  <si>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</si>
  <si>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</si>
  <si>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</si>
  <si>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</si>
  <si>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</si>
  <si>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</si>
  <si>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</si>
  <si>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</si>
  <si>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</si>
  <si>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</si>
  <si>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</si>
  <si>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</si>
  <si>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</si>
  <si>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</si>
  <si>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</si>
  <si>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</si>
  <si>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</si>
  <si>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</si>
  <si>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</si>
  <si>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</si>
  <si>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</si>
  <si>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</si>
  <si>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</si>
  <si>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</si>
  <si>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</si>
  <si>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</si>
  <si>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</si>
  <si>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</si>
  <si>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</si>
  <si>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</si>
  <si>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</si>
  <si>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</si>
  <si>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</si>
  <si>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</si>
  <si>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</si>
  <si>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</si>
  <si>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</si>
  <si>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</si>
  <si>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</si>
  <si>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</si>
  <si>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</si>
  <si>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</si>
  <si>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</si>
  <si>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</si>
  <si>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</si>
  <si>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</si>
  <si>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</si>
  <si>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</si>
  <si>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</si>
  <si>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</si>
  <si>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</si>
  <si>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</si>
  <si>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</si>
  <si>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</si>
  <si>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</si>
  <si>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</si>
  <si>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</si>
  <si>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</si>
  <si>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</si>
  <si>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</si>
  <si>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</si>
  <si>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</si>
  <si>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</si>
  <si>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</si>
  <si>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</si>
  <si>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</si>
  <si>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</si>
  <si>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</si>
  <si>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</si>
  <si>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</si>
  <si>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</si>
  <si>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</si>
  <si>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</si>
  <si>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</si>
  <si>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</si>
  <si>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</si>
  <si>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</si>
  <si>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</si>
  <si>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</si>
  <si>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</si>
  <si>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</si>
  <si>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</si>
  <si>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</si>
  <si>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</si>
  <si>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</si>
  <si>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</si>
  <si>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</si>
  <si>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</si>
  <si>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</si>
  <si>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</si>
  <si>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</si>
  <si>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</si>
  <si>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</si>
  <si>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</si>
  <si>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</si>
  <si>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</si>
  <si>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</si>
  <si>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</si>
  <si>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</si>
  <si>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</si>
  <si>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</si>
  <si>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</si>
  <si>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</si>
  <si>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</si>
  <si>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</si>
  <si>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</si>
  <si>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</si>
  <si>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</si>
  <si>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</si>
  <si>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</si>
  <si>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</si>
  <si>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</si>
  <si>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</si>
  <si>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</si>
  <si>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</si>
  <si>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</si>
  <si>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</si>
  <si>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</si>
  <si>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</si>
  <si>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</si>
  <si>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</si>
  <si>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</si>
  <si>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</si>
  <si>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</si>
  <si>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</si>
  <si>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</si>
  <si>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</si>
  <si>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</si>
  <si>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</si>
  <si>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</si>
  <si>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</si>
  <si>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</si>
  <si>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</si>
  <si>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</si>
  <si>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</si>
  <si>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</si>
  <si>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</si>
  <si>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</si>
  <si>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</si>
  <si>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</si>
  <si>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</si>
  <si>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</si>
  <si>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</si>
  <si>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</si>
  <si>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</si>
  <si>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</si>
  <si>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</si>
  <si>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</si>
  <si>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</si>
  <si>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</si>
  <si>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</si>
  <si>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</si>
  <si>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</si>
  <si>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</si>
  <si>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</si>
  <si>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</si>
  <si>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</si>
  <si>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</si>
  <si>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</si>
  <si>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</si>
  <si>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</si>
  <si>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</si>
  <si>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</si>
  <si>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</si>
  <si>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</si>
  <si>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</si>
  <si>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</si>
  <si>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</si>
  <si>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</si>
  <si>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</si>
  <si>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</si>
  <si>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</si>
  <si>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</si>
  <si>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</si>
  <si>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</si>
  <si>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</si>
  <si>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</si>
  <si>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</si>
  <si>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</si>
  <si>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</si>
  <si>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</si>
  <si>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</si>
  <si>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</si>
  <si>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</si>
  <si>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</si>
  <si>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</si>
  <si>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</si>
  <si>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</si>
  <si>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</si>
  <si>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</si>
  <si>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</si>
  <si>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</si>
  <si>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</si>
  <si>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</si>
  <si>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</si>
  <si>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</si>
  <si>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</si>
  <si>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</si>
  <si>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</si>
  <si>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</si>
  <si>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</si>
  <si>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</si>
  <si>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</si>
  <si>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</si>
  <si>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</si>
  <si>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</si>
  <si>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</si>
  <si>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</si>
  <si>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</si>
  <si>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</si>
  <si>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</si>
  <si>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</si>
  <si>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</si>
  <si>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</si>
  <si>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</si>
  <si>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</si>
  <si>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</si>
  <si>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</si>
  <si>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</si>
  <si>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</si>
  <si>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</si>
  <si>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</si>
  <si>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</si>
  <si>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</si>
  <si>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</si>
  <si>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</si>
  <si>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</si>
  <si>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</si>
  <si>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</si>
  <si>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</si>
  <si>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</si>
  <si>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</si>
  <si>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</si>
  <si>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</si>
  <si>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</si>
  <si>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</si>
  <si>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</si>
  <si>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</si>
  <si>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</si>
  <si>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</si>
  <si>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</si>
  <si>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</si>
  <si>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</si>
  <si>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</si>
  <si>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</si>
  <si>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</si>
  <si>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</si>
  <si>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</si>
  <si>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</si>
  <si>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</si>
  <si>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</si>
  <si>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</si>
  <si>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</si>
  <si>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</si>
  <si>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</si>
  <si>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</si>
  <si>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</si>
  <si>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</si>
  <si>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</si>
  <si>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</si>
  <si>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</si>
  <si>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</si>
  <si>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</si>
  <si>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</si>
  <si>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</si>
  <si>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</si>
  <si>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</si>
  <si>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</si>
  <si>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</si>
  <si>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</si>
  <si>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</si>
  <si>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</si>
  <si>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</si>
  <si>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</si>
  <si>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</si>
  <si>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</si>
  <si>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</si>
  <si>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</si>
  <si>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</si>
  <si>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</si>
  <si>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</si>
  <si>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</si>
  <si>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</si>
  <si>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</si>
  <si>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</si>
  <si>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</si>
  <si>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</si>
  <si>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</si>
  <si>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</si>
  <si>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</si>
  <si>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</si>
  <si>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</si>
  <si>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</si>
  <si>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</si>
  <si>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</si>
  <si>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</si>
  <si>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</si>
  <si>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</si>
  <si>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</si>
  <si>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</si>
  <si>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</si>
  <si>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</si>
  <si>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</si>
  <si>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</si>
  <si>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</si>
  <si>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</si>
  <si>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</si>
  <si>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</si>
  <si>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</si>
  <si>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</si>
  <si>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</si>
  <si>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</si>
  <si>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</si>
  <si>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</si>
  <si>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</si>
  <si>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</si>
  <si>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</si>
  <si>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</si>
  <si>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</si>
  <si>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</si>
  <si>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</si>
  <si>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</si>
  <si>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</si>
  <si>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</si>
  <si>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</si>
  <si>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</si>
  <si>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</si>
  <si>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</si>
  <si>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</si>
  <si>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</si>
  <si>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</si>
  <si>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</si>
  <si>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</si>
  <si>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</si>
  <si>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</si>
  <si>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</si>
  <si>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</si>
  <si>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</si>
  <si>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</si>
  <si>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</si>
  <si>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</si>
  <si>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</si>
  <si>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</si>
  <si>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</si>
  <si>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</si>
  <si>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</si>
  <si>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</si>
  <si>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</si>
  <si>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</si>
  <si>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</si>
  <si>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</si>
  <si>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</si>
  <si>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</si>
  <si>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</si>
  <si>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</si>
  <si>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</si>
  <si>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</si>
  <si>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</si>
  <si>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</si>
  <si>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</si>
  <si>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</si>
  <si>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</si>
  <si>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</si>
  <si>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</si>
  <si>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</si>
  <si>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</si>
  <si>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</si>
  <si>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</si>
  <si>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</si>
  <si>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</si>
  <si>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</si>
  <si>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</si>
  <si>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</si>
  <si>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</si>
  <si>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</si>
  <si>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</si>
  <si>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</si>
  <si>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</si>
  <si>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</si>
  <si>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</si>
  <si>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</si>
  <si>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</si>
  <si>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</si>
  <si>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</si>
  <si>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</si>
  <si>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</si>
  <si>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</si>
  <si>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</si>
  <si>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</si>
  <si>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</si>
  <si>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</si>
  <si>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</si>
  <si>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</si>
  <si>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</si>
  <si>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</si>
  <si>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</si>
  <si>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</si>
  <si>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</si>
  <si>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</si>
  <si>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</si>
  <si>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</si>
  <si>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</si>
  <si>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</si>
  <si>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</si>
  <si>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</si>
  <si>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</si>
  <si>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</si>
  <si>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</si>
  <si>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</si>
  <si>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</si>
  <si>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</si>
  <si>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</si>
  <si>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</si>
  <si>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</si>
  <si>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</si>
  <si>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</si>
  <si>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</si>
  <si>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</si>
  <si>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</si>
  <si>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</si>
  <si>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</si>
  <si>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</si>
  <si>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</si>
  <si>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</si>
  <si>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</si>
  <si>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</si>
  <si>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</si>
  <si>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</si>
  <si>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</si>
  <si>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</si>
  <si>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</si>
  <si>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</si>
  <si>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</si>
  <si>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</si>
  <si>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</si>
  <si>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</si>
  <si>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</si>
  <si>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</si>
  <si>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</si>
  <si>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</si>
  <si>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</si>
  <si>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</si>
  <si>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</si>
  <si>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</si>
  <si>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</si>
  <si>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</si>
  <si>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</si>
  <si>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</si>
  <si>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</si>
  <si>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</si>
  <si>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</si>
  <si>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</si>
  <si>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</si>
  <si>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</si>
  <si>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</si>
  <si>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</si>
  <si>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</si>
  <si>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</si>
  <si>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</si>
  <si>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</si>
  <si>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</si>
  <si>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</si>
  <si>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</si>
  <si>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</si>
  <si>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</si>
  <si>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</si>
  <si>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</si>
  <si>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</si>
  <si>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</si>
  <si>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</si>
  <si>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</si>
  <si>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</si>
  <si>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</si>
  <si>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</si>
  <si>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</si>
  <si>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</si>
  <si>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</si>
  <si>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</si>
  <si>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</si>
  <si>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</si>
  <si>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</si>
  <si>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</si>
  <si>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</si>
  <si>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FICK, EGGEMEYER, AND WILLIAMSON CPAS</t>
  </si>
  <si>
    <t>PERRY</t>
  </si>
  <si>
    <t>200 W. MAIN ST</t>
  </si>
  <si>
    <t>TAMAROA</t>
  </si>
  <si>
    <t>314-845-7999</t>
  </si>
  <si>
    <t>314-845-7770</t>
  </si>
  <si>
    <t>AWRIGHT@TGS5.COM</t>
  </si>
  <si>
    <t>066-005025</t>
  </si>
  <si>
    <t>205 S. MAIN STREET</t>
  </si>
  <si>
    <t>COLUMBIA</t>
  </si>
  <si>
    <t>IL</t>
  </si>
  <si>
    <t>X</t>
  </si>
  <si>
    <t>jennifer@afewcpas.com</t>
  </si>
  <si>
    <t>JENNIFER HEIM</t>
  </si>
  <si>
    <t>Taxable General Obligation Bond Series 2013</t>
  </si>
  <si>
    <t>Taxable General Obligation Bonds Series 2016</t>
  </si>
  <si>
    <t>Fiscal SVC Other Ovject</t>
  </si>
  <si>
    <t>US Bankcorp</t>
  </si>
  <si>
    <t>Tri County Special Education</t>
  </si>
  <si>
    <t>Village of Tamaroa Community Center Rent (school activities)</t>
  </si>
  <si>
    <t>x</t>
  </si>
  <si>
    <t>Page 10, Line 107 - Misc Local Revenue</t>
  </si>
  <si>
    <t>Page 11, line 168 - Other state revenue</t>
  </si>
  <si>
    <t xml:space="preserve"> Tamaroa 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</si>
</sst>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1</xdr:row>
          <xdr:rowOff>104775</xdr:rowOff>
        </xdr:from>
        <xdr:to>
          <xdr:col>1</xdr:col>
          <xdr:colOff>1200150</xdr:colOff>
          <xdr:row>9</xdr:row>
          <xdr:rowOff>142875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2062</v>
      </c>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1159</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2062</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30073005002</v>
      </c>
      <c r="B13" s="2101"/>
      <c r="C13" s="2101"/>
      <c r="D13" s="2101"/>
      <c r="E13" s="2101"/>
      <c r="F13" s="2101"/>
      <c r="G13" s="2101"/>
      <c r="H13" s="2102"/>
      <c r="I13" s="31"/>
      <c r="J13" s="30"/>
      <c r="K13" s="28"/>
      <c r="L13" s="30"/>
      <c r="M13" s="30"/>
      <c r="N13" s="30"/>
      <c r="O13" s="30"/>
      <c r="P13" s="30"/>
      <c r="Q13" s="30"/>
      <c r="R13" s="30"/>
      <c r="S13" s="30"/>
      <c r="T13" s="2106" t="s">
        <v>2051</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2064</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2074</v>
      </c>
      <c r="B17" s="2074"/>
      <c r="C17" s="2074"/>
      <c r="D17" s="2074"/>
      <c r="E17" s="2074"/>
      <c r="F17" s="2074"/>
      <c r="G17" s="2074"/>
      <c r="H17" s="2099"/>
      <c r="T17" s="2117" t="s">
        <v>2059</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2053</v>
      </c>
      <c r="B19" s="2059"/>
      <c r="C19" s="2059"/>
      <c r="D19" s="2059"/>
      <c r="E19" s="2059"/>
      <c r="F19" s="2059"/>
      <c r="G19" s="2059"/>
      <c r="H19" s="2039"/>
      <c r="I19" s="30"/>
      <c r="J19" s="96"/>
      <c r="K19" s="40"/>
      <c r="L19" s="38"/>
      <c r="M19" s="109" t="s">
        <v>312</v>
      </c>
      <c r="P19" s="27"/>
      <c r="Q19" s="27"/>
      <c r="R19" s="27"/>
      <c r="S19" s="31"/>
      <c r="T19" s="2103" t="s">
        <v>2060</v>
      </c>
      <c r="U19" s="2038"/>
      <c r="V19" s="2038"/>
      <c r="W19" s="2039"/>
      <c r="X19" s="2115" t="s">
        <v>2061</v>
      </c>
      <c r="Y19" s="2116"/>
      <c r="Z19" s="2113">
        <v>62236</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2054</v>
      </c>
      <c r="B21" s="2038"/>
      <c r="C21" s="2038"/>
      <c r="D21" s="2038"/>
      <c r="E21" s="2038"/>
      <c r="F21" s="2038"/>
      <c r="G21" s="2038"/>
      <c r="H21" s="2039"/>
      <c r="I21" s="2093" t="s">
        <v>673</v>
      </c>
      <c r="J21" s="2088"/>
      <c r="K21" s="2088"/>
      <c r="L21" s="2088"/>
      <c r="M21" s="2088"/>
      <c r="N21" s="2088"/>
      <c r="O21" s="2088"/>
      <c r="P21" s="2088"/>
      <c r="Q21" s="2088"/>
      <c r="R21" s="2088"/>
      <c r="S21" s="2094"/>
      <c r="T21" s="2128" t="s">
        <v>2055</v>
      </c>
      <c r="U21" s="2129"/>
      <c r="V21" s="2129"/>
      <c r="W21" s="2129"/>
      <c r="X21" s="2134" t="s">
        <v>2056</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2057</v>
      </c>
      <c r="B23" s="2091"/>
      <c r="C23" s="2091"/>
      <c r="D23" s="2091"/>
      <c r="E23" s="2091"/>
      <c r="F23" s="2091"/>
      <c r="G23" s="2091"/>
      <c r="H23" s="2092"/>
      <c r="T23" s="2073" t="s">
        <v>2058</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c r="B25" s="2038"/>
      <c r="C25" s="2038"/>
      <c r="D25" s="2038"/>
      <c r="E25" s="2038"/>
      <c r="F25" s="2038"/>
      <c r="G25" s="2038"/>
      <c r="H25" s="2039"/>
      <c r="I25" s="110"/>
      <c r="J25" s="2062"/>
      <c r="K25" s="2062"/>
      <c r="L25" s="2062"/>
      <c r="M25" s="2062"/>
      <c r="N25" s="2062"/>
      <c r="O25" s="2062"/>
      <c r="P25" s="2062"/>
      <c r="Q25" s="2062"/>
      <c r="R25" s="2062"/>
      <c r="S25" s="2063"/>
      <c r="T25" s="2124" t="s">
        <v>2063</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2062</v>
      </c>
      <c r="F29" s="137" t="s">
        <v>1305</v>
      </c>
      <c r="G29" s="111"/>
      <c r="I29" s="51"/>
      <c r="J29" s="99"/>
      <c r="K29" s="28" t="s">
        <v>572</v>
      </c>
      <c r="L29" s="99" t="s">
        <v>2062</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99" t="s">
        <v>2062</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t="s">
        <v>2062</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c r="B42" s="2057"/>
      <c r="C42" s="2058"/>
      <c r="D42" s="2056"/>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14" sqref="D1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123410</v>
      </c>
      <c r="C4" s="1722"/>
      <c r="D4" s="1723">
        <f>B4-C4</f>
        <v>123410</v>
      </c>
      <c r="E4" s="1722">
        <v>123488</v>
      </c>
      <c r="F4" s="1723">
        <f>E4-C4</f>
        <v>123488</v>
      </c>
    </row>
    <row r="5" spans="1:8" ht="13.7" customHeight="1" x14ac:dyDescent="0.2">
      <c r="A5" s="579" t="s">
        <v>865</v>
      </c>
      <c r="B5" s="1724">
        <f>'Revenues 9-14'!D5</f>
        <v>28796</v>
      </c>
      <c r="C5" s="1664"/>
      <c r="D5" s="1725">
        <f t="shared" ref="D5:D18" si="0">B5-C5</f>
        <v>28796</v>
      </c>
      <c r="E5" s="1664">
        <v>28708</v>
      </c>
      <c r="F5" s="1725">
        <f>E5-C5</f>
        <v>28708</v>
      </c>
    </row>
    <row r="6" spans="1:8" ht="13.7" customHeight="1" x14ac:dyDescent="0.2">
      <c r="A6" s="579" t="s">
        <v>408</v>
      </c>
      <c r="B6" s="1724">
        <f>'Revenues 9-14'!E5</f>
        <v>13773</v>
      </c>
      <c r="C6" s="1664"/>
      <c r="D6" s="1725">
        <f t="shared" si="0"/>
        <v>13773</v>
      </c>
      <c r="E6" s="1664">
        <v>13267</v>
      </c>
      <c r="F6" s="1725">
        <f t="shared" ref="F6:F18" si="1">E6-C6</f>
        <v>13267</v>
      </c>
    </row>
    <row r="7" spans="1:8" ht="13.7" customHeight="1" x14ac:dyDescent="0.2">
      <c r="A7" s="579" t="s">
        <v>154</v>
      </c>
      <c r="B7" s="1724">
        <f>'Revenues 9-14'!F5</f>
        <v>16455</v>
      </c>
      <c r="C7" s="1664"/>
      <c r="D7" s="1725">
        <f t="shared" si="0"/>
        <v>16455</v>
      </c>
      <c r="E7" s="1664">
        <v>16384</v>
      </c>
      <c r="F7" s="1725">
        <f t="shared" si="1"/>
        <v>16384</v>
      </c>
    </row>
    <row r="8" spans="1:8" ht="13.7" customHeight="1" x14ac:dyDescent="0.2">
      <c r="A8" s="579" t="s">
        <v>1169</v>
      </c>
      <c r="B8" s="1724">
        <f>'Revenues 9-14'!G5</f>
        <v>16364</v>
      </c>
      <c r="C8" s="1664"/>
      <c r="D8" s="1725">
        <f t="shared" si="0"/>
        <v>16364</v>
      </c>
      <c r="E8" s="1664">
        <v>16331</v>
      </c>
      <c r="F8" s="1725">
        <f t="shared" si="1"/>
        <v>16331</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4114</v>
      </c>
      <c r="C10" s="1664"/>
      <c r="D10" s="1725">
        <f t="shared" si="0"/>
        <v>4114</v>
      </c>
      <c r="E10" s="1664">
        <v>4111</v>
      </c>
      <c r="F10" s="1725">
        <f t="shared" si="1"/>
        <v>4111</v>
      </c>
    </row>
    <row r="11" spans="1:8" x14ac:dyDescent="0.2">
      <c r="A11" s="579" t="s">
        <v>406</v>
      </c>
      <c r="B11" s="1724">
        <f>'Revenues 9-14'!J5</f>
        <v>60150</v>
      </c>
      <c r="C11" s="1664"/>
      <c r="D11" s="1725">
        <f t="shared" si="0"/>
        <v>60150</v>
      </c>
      <c r="E11" s="1664">
        <v>73651</v>
      </c>
      <c r="F11" s="1725">
        <f t="shared" si="1"/>
        <v>73651</v>
      </c>
    </row>
    <row r="12" spans="1:8" ht="13.7" customHeight="1" x14ac:dyDescent="0.2">
      <c r="A12" s="579" t="s">
        <v>156</v>
      </c>
      <c r="B12" s="1724">
        <f>'Revenues 9-14'!K5</f>
        <v>4114</v>
      </c>
      <c r="C12" s="1664"/>
      <c r="D12" s="1725">
        <f t="shared" si="0"/>
        <v>4114</v>
      </c>
      <c r="E12" s="1664">
        <v>4111</v>
      </c>
      <c r="F12" s="1725">
        <f t="shared" si="1"/>
        <v>4111</v>
      </c>
    </row>
    <row r="13" spans="1:8" ht="13.7" customHeight="1" x14ac:dyDescent="0.2">
      <c r="A13" s="579" t="s">
        <v>930</v>
      </c>
      <c r="B13" s="1724">
        <f>SUM('Revenues 9-14'!C6:D6)</f>
        <v>0</v>
      </c>
      <c r="C13" s="1664"/>
      <c r="D13" s="1725">
        <f t="shared" si="0"/>
        <v>0</v>
      </c>
      <c r="E13" s="1664">
        <v>0</v>
      </c>
      <c r="F13" s="1725">
        <f t="shared" si="1"/>
        <v>0</v>
      </c>
    </row>
    <row r="14" spans="1:8" ht="13.7" customHeight="1" x14ac:dyDescent="0.2">
      <c r="A14" s="579" t="s">
        <v>407</v>
      </c>
      <c r="B14" s="1724">
        <f>SUM('Revenues 9-14'!C7:D7,'Revenues 9-14'!F7:H7)</f>
        <v>1646</v>
      </c>
      <c r="C14" s="1664"/>
      <c r="D14" s="1725">
        <f t="shared" si="0"/>
        <v>1646</v>
      </c>
      <c r="E14" s="1664">
        <v>1648</v>
      </c>
      <c r="F14" s="1725">
        <f t="shared" si="1"/>
        <v>1648</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19606</v>
      </c>
      <c r="C16" s="1664"/>
      <c r="D16" s="1725">
        <f t="shared" si="0"/>
        <v>19606</v>
      </c>
      <c r="E16" s="1664">
        <v>19561</v>
      </c>
      <c r="F16" s="1725">
        <f t="shared" si="1"/>
        <v>19561</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4114</v>
      </c>
      <c r="C18" s="1664"/>
      <c r="D18" s="1725">
        <f t="shared" si="0"/>
        <v>4114</v>
      </c>
      <c r="E18" s="1664">
        <v>4049</v>
      </c>
      <c r="F18" s="1725">
        <f t="shared" si="1"/>
        <v>4049</v>
      </c>
    </row>
    <row r="19" spans="1:6" ht="13.7" customHeight="1" thickBot="1" x14ac:dyDescent="0.25">
      <c r="A19" s="1432" t="s">
        <v>1151</v>
      </c>
      <c r="B19" s="1726">
        <f>SUM(B4:B18)</f>
        <v>292542</v>
      </c>
      <c r="C19" s="1726">
        <f>SUM(C4:C18)</f>
        <v>0</v>
      </c>
      <c r="D19" s="1726">
        <f>SUM(D4:D18)</f>
        <v>292542</v>
      </c>
      <c r="E19" s="1726">
        <f>SUM(E4:E18)</f>
        <v>305309</v>
      </c>
      <c r="F19" s="1726">
        <f>SUM(F4:F18)</f>
        <v>305309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1" sqref="J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41334</v>
      </c>
      <c r="C31" s="1734">
        <v>110000</v>
      </c>
      <c r="D31" s="1735">
        <v>4</v>
      </c>
      <c r="E31" s="1734">
        <v>50000</v>
      </c>
      <c r="F31" s="1734"/>
      <c r="G31" s="1734"/>
      <c r="H31" s="1734">
        <v>12000</v>
      </c>
      <c r="I31" s="1736">
        <f>((E31+F31)-H31)+G31</f>
        <v>38000</v>
      </c>
      <c r="J31" s="1734">
        <v>36914</v>
      </c>
      <c r="K31" s="596"/>
    </row>
    <row r="32" spans="1:11" ht="12" customHeight="1" x14ac:dyDescent="0.2">
      <c r="A32" s="594" t="s">
        <v>2066</v>
      </c>
      <c r="B32" s="595">
        <v>43659</v>
      </c>
      <c r="C32" s="1734">
        <v>250000</v>
      </c>
      <c r="D32" s="1735">
        <v>6</v>
      </c>
      <c r="E32" s="1734">
        <v>206000</v>
      </c>
      <c r="F32" s="1734"/>
      <c r="G32" s="1734"/>
      <c r="H32" s="1734">
        <v>23000</v>
      </c>
      <c r="I32" s="1736">
        <f>((E32+F32)-H32)+G32</f>
        <v>183000</v>
      </c>
      <c r="J32" s="1734">
        <v>183000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360000</v>
      </c>
      <c r="D49" s="1742"/>
      <c r="E49" s="1736">
        <f t="shared" ref="E49:J49" si="2">SUM(E31:E48)</f>
        <v>256000</v>
      </c>
      <c r="F49" s="1736">
        <f t="shared" si="2"/>
        <v>0</v>
      </c>
      <c r="G49" s="1736">
        <f t="shared" si="2"/>
        <v>0</v>
      </c>
      <c r="H49" s="1736">
        <f t="shared" si="2"/>
        <v>35000</v>
      </c>
      <c r="I49" s="1736">
        <f t="shared" si="2"/>
        <v>221000</v>
      </c>
      <c r="J49" s="1736">
        <f t="shared" si="2"/>
        <v>219914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0" colorId="8" zoomScale="110" zoomScaleNormal="110" workbookViewId="0">
      <selection activeCell="H14" sqref="H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1646</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1646</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1646</v>
      </c>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1646</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2071</v>
      </c>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16" sqref="C16:F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1000</v>
      </c>
      <c r="D5" s="1770">
        <v>0</v>
      </c>
      <c r="E5" s="1770">
        <v>0</v>
      </c>
      <c r="F5" s="1765">
        <f>(C5+D5)-E5</f>
        <v>1000</v>
      </c>
      <c r="G5" s="676"/>
      <c r="H5" s="680"/>
      <c r="I5" s="680"/>
      <c r="J5" s="680"/>
      <c r="K5" s="637"/>
      <c r="L5" s="1442">
        <f>F5-K5</f>
        <v>1000</v>
      </c>
    </row>
    <row r="6" spans="1:14" ht="14.25" thickTop="1" thickBot="1" x14ac:dyDescent="0.25">
      <c r="A6" s="629" t="s">
        <v>1107</v>
      </c>
      <c r="B6" s="679">
        <v>222</v>
      </c>
      <c r="C6" s="1745">
        <v>0</v>
      </c>
      <c r="D6" s="1745">
        <v>0</v>
      </c>
      <c r="E6" s="1745">
        <v>0</v>
      </c>
      <c r="F6" s="1765">
        <f>(C6+D6)-E6</f>
        <v>0</v>
      </c>
      <c r="G6" s="676">
        <v>50</v>
      </c>
      <c r="H6" s="619">
        <v>0</v>
      </c>
      <c r="I6" s="619">
        <v>0</v>
      </c>
      <c r="J6" s="619">
        <v>0</v>
      </c>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913371</v>
      </c>
      <c r="D8" s="1771">
        <v>0</v>
      </c>
      <c r="E8" s="1771">
        <v>0</v>
      </c>
      <c r="F8" s="1765">
        <f>(C8+D8)-E8</f>
        <v>913371</v>
      </c>
      <c r="G8" s="681">
        <v>50</v>
      </c>
      <c r="H8" s="619">
        <v>507825</v>
      </c>
      <c r="I8" s="619">
        <v>18267</v>
      </c>
      <c r="J8" s="619">
        <v>0</v>
      </c>
      <c r="K8" s="1442">
        <f>(H8+I8)-J8</f>
        <v>526092</v>
      </c>
      <c r="L8" s="1442">
        <f>F8-K8</f>
        <v>387279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116833</v>
      </c>
      <c r="D10" s="1772">
        <v>0</v>
      </c>
      <c r="E10" s="1772">
        <v>0</v>
      </c>
      <c r="F10" s="1773">
        <f>(C10+D10)-E10</f>
        <v>116833</v>
      </c>
      <c r="G10" s="681">
        <v>20</v>
      </c>
      <c r="H10" s="683">
        <v>50795</v>
      </c>
      <c r="I10" s="683">
        <v>5842</v>
      </c>
      <c r="J10" s="683">
        <v>0</v>
      </c>
      <c r="K10" s="1442">
        <f>(H10+I10)-J10</f>
        <v>56637</v>
      </c>
      <c r="L10" s="1442">
        <f>F10-K10</f>
        <v>60196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211776</v>
      </c>
      <c r="D12" s="1771">
        <v>0</v>
      </c>
      <c r="E12" s="1771">
        <v>0</v>
      </c>
      <c r="F12" s="1765">
        <f>(C12+D12)-E12</f>
        <v>211776</v>
      </c>
      <c r="G12" s="681">
        <v>10</v>
      </c>
      <c r="H12" s="619">
        <v>184792</v>
      </c>
      <c r="I12" s="619">
        <v>21178</v>
      </c>
      <c r="J12" s="619"/>
      <c r="K12" s="1442">
        <f>(H12+I12)-J12</f>
        <v>205970</v>
      </c>
      <c r="L12" s="1442">
        <f>F12-K12</f>
        <v>5806</v>
      </c>
    </row>
    <row r="13" spans="1:14" ht="14.25" thickTop="1" thickBot="1" x14ac:dyDescent="0.25">
      <c r="A13" s="684" t="s">
        <v>1112</v>
      </c>
      <c r="B13" s="679">
        <v>252</v>
      </c>
      <c r="C13" s="1771">
        <v>46787</v>
      </c>
      <c r="D13" s="1771">
        <v>0</v>
      </c>
      <c r="E13" s="1771">
        <v>0</v>
      </c>
      <c r="F13" s="1765">
        <f>(C13+D13)-E13</f>
        <v>46787</v>
      </c>
      <c r="G13" s="681">
        <v>5</v>
      </c>
      <c r="H13" s="619">
        <v>22035</v>
      </c>
      <c r="I13" s="619">
        <v>9357</v>
      </c>
      <c r="J13" s="619"/>
      <c r="K13" s="1442">
        <f>(H13+I13)-J13</f>
        <v>31392</v>
      </c>
      <c r="L13" s="1442">
        <f>F13-K13</f>
        <v>15395</v>
      </c>
    </row>
    <row r="14" spans="1:14" ht="14.25" thickTop="1" thickBot="1" x14ac:dyDescent="0.25">
      <c r="A14" s="684" t="s">
        <v>1113</v>
      </c>
      <c r="B14" s="679">
        <v>253</v>
      </c>
      <c r="C14" s="1745">
        <v>98726</v>
      </c>
      <c r="D14" s="1745">
        <v>0</v>
      </c>
      <c r="E14" s="1745">
        <v>0</v>
      </c>
      <c r="F14" s="1765">
        <f>(C14+D14)-E14</f>
        <v>98726</v>
      </c>
      <c r="G14" s="681">
        <v>3</v>
      </c>
      <c r="H14" s="619">
        <v>98478</v>
      </c>
      <c r="I14" s="619">
        <v>248</v>
      </c>
      <c r="J14" s="619"/>
      <c r="K14" s="1442">
        <f>(H14+I14)-J14</f>
        <v>98726</v>
      </c>
      <c r="L14" s="1442">
        <f>F14-K14</f>
        <v>0</v>
      </c>
    </row>
    <row r="15" spans="1:14" ht="15" customHeight="1" thickTop="1" thickBot="1" x14ac:dyDescent="0.25">
      <c r="A15" s="1366" t="s">
        <v>525</v>
      </c>
      <c r="B15" s="1365">
        <v>260</v>
      </c>
      <c r="C15" s="1771">
        <v>0</v>
      </c>
      <c r="D15" s="1771">
        <v>9076</v>
      </c>
      <c r="E15" s="1771">
        <v>0</v>
      </c>
      <c r="F15" s="1765">
        <f>(C15+D15)-E15</f>
        <v>9076</v>
      </c>
      <c r="G15" s="685" t="s">
        <v>857</v>
      </c>
      <c r="H15" s="632"/>
      <c r="I15" s="632"/>
      <c r="J15" s="632"/>
      <c r="K15" s="632"/>
      <c r="L15" s="1442">
        <f>F15-K15</f>
        <v>9076</v>
      </c>
    </row>
    <row r="16" spans="1:14" ht="15" customHeight="1" thickTop="1" thickBot="1" x14ac:dyDescent="0.25">
      <c r="A16" s="1438" t="s">
        <v>638</v>
      </c>
      <c r="B16" s="1439">
        <v>200</v>
      </c>
      <c r="C16" s="1765">
        <f>SUM(C3,C5:C6,C8:C10,C12:C15)</f>
        <v>1388493</v>
      </c>
      <c r="D16" s="1765">
        <f>SUM(D3,D5:D6,D8:D10,D12:D15)</f>
        <v>9076</v>
      </c>
      <c r="E16" s="1765">
        <f>SUM(E3,E5:E6,E8:E10,E12:E15)</f>
        <v>0</v>
      </c>
      <c r="F16" s="1765">
        <f>SUM(F3,F5:F6,F8:F10,F12:F15)</f>
        <v>1397569</v>
      </c>
      <c r="G16" s="681"/>
      <c r="H16" s="1435">
        <f>SUM(H3,H6,H8:H10,H12:H14,)</f>
        <v>863925</v>
      </c>
      <c r="I16" s="1435">
        <f>SUM(I3,I6,I8:I10,I12:I14,)</f>
        <v>54892</v>
      </c>
      <c r="J16" s="1435">
        <f>SUM(J3,J6,J8:J10,J12:J14,)</f>
        <v>0</v>
      </c>
      <c r="K16" s="1435">
        <f>(H16+I16)-J16</f>
        <v>918817</v>
      </c>
      <c r="L16" s="1435">
        <f>F16-K16</f>
        <v>478752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54892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31" colorId="8" zoomScale="110" zoomScaleNormal="110" workbookViewId="0">
      <selection activeCell="C16" sqref="C16:F1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904548</v>
      </c>
      <c r="G8" s="701"/>
    </row>
    <row r="9" spans="1:9" x14ac:dyDescent="0.2">
      <c r="A9" s="705" t="s">
        <v>457</v>
      </c>
      <c r="B9" s="706" t="s">
        <v>1848</v>
      </c>
      <c r="C9" s="707"/>
      <c r="D9" s="705" t="s">
        <v>498</v>
      </c>
      <c r="E9" s="704"/>
      <c r="F9" s="1775">
        <f>'Expenditures 15-22'!K151</f>
        <v>91285</v>
      </c>
      <c r="G9" s="708"/>
    </row>
    <row r="10" spans="1:9" x14ac:dyDescent="0.2">
      <c r="A10" s="705" t="s">
        <v>496</v>
      </c>
      <c r="B10" s="706" t="s">
        <v>1849</v>
      </c>
      <c r="C10" s="707"/>
      <c r="D10" s="705" t="s">
        <v>498</v>
      </c>
      <c r="E10" s="704"/>
      <c r="F10" s="1775">
        <f>'Expenditures 15-22'!K174</f>
        <v>45876</v>
      </c>
      <c r="G10" s="708"/>
    </row>
    <row r="11" spans="1:9" x14ac:dyDescent="0.2">
      <c r="A11" s="705" t="s">
        <v>458</v>
      </c>
      <c r="B11" s="706" t="s">
        <v>1850</v>
      </c>
      <c r="C11" s="707"/>
      <c r="D11" s="705" t="s">
        <v>498</v>
      </c>
      <c r="E11" s="704"/>
      <c r="F11" s="1775">
        <f>'Expenditures 15-22'!K210</f>
        <v>82314</v>
      </c>
      <c r="G11" s="708"/>
    </row>
    <row r="12" spans="1:9" x14ac:dyDescent="0.2">
      <c r="A12" s="705" t="s">
        <v>459</v>
      </c>
      <c r="B12" s="706" t="s">
        <v>1851</v>
      </c>
      <c r="C12" s="707"/>
      <c r="D12" s="705" t="s">
        <v>498</v>
      </c>
      <c r="E12" s="704"/>
      <c r="F12" s="1775">
        <f>'Expenditures 15-22'!K295</f>
        <v>34800</v>
      </c>
      <c r="G12" s="708"/>
    </row>
    <row r="13" spans="1:9" x14ac:dyDescent="0.2">
      <c r="A13" s="705" t="s">
        <v>106</v>
      </c>
      <c r="B13" s="706" t="s">
        <v>1852</v>
      </c>
      <c r="C13" s="707"/>
      <c r="D13" s="705" t="s">
        <v>498</v>
      </c>
      <c r="E13" s="704"/>
      <c r="F13" s="1775">
        <f>'Expenditures 15-22'!K342</f>
        <v>107033</v>
      </c>
      <c r="G13" s="709"/>
    </row>
    <row r="14" spans="1:9" ht="12" customHeight="1" thickBot="1" x14ac:dyDescent="0.25">
      <c r="A14" s="1443"/>
      <c r="B14" s="1444"/>
      <c r="C14" s="1445"/>
      <c r="D14" s="1446" t="s">
        <v>498</v>
      </c>
      <c r="E14" s="1447" t="s">
        <v>952</v>
      </c>
      <c r="F14" s="1776">
        <f>SUM(F8:F13)</f>
        <v>1265856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116638</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9012</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160650</v>
      </c>
      <c r="G77" s="701"/>
    </row>
    <row r="78" spans="1:9" s="728" customFormat="1" ht="12" customHeight="1" thickTop="1" thickBot="1" x14ac:dyDescent="0.25">
      <c r="A78" s="1450"/>
      <c r="B78" s="1448"/>
      <c r="C78" s="1445"/>
      <c r="D78" s="1449" t="s">
        <v>2012</v>
      </c>
      <c r="E78" s="1447"/>
      <c r="F78" s="1788">
        <f>(F14-F77)</f>
        <v>1105206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65.772999999999996</v>
      </c>
      <c r="G79" s="733"/>
      <c r="H79" s="705"/>
      <c r="I79" s="705"/>
    </row>
    <row r="80" spans="1:9" s="728" customFormat="1" ht="12" customHeight="1" thickBot="1" x14ac:dyDescent="0.25">
      <c r="A80" s="1452"/>
      <c r="B80" s="1448"/>
      <c r="C80" s="1445"/>
      <c r="D80" s="1449" t="s">
        <v>2013</v>
      </c>
      <c r="E80" s="1447" t="s">
        <v>952</v>
      </c>
      <c r="F80" s="1790">
        <f>IF(F79&gt;0,F78/F79," Complete Line 79")</f>
        <v>16803.33875602451</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125</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1490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6143</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791</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62971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2250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58774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48392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6568</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27715</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5092</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16332</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236643</v>
      </c>
    </row>
    <row r="176" spans="1:7" ht="12" customHeight="1" x14ac:dyDescent="0.2">
      <c r="A176" s="1443"/>
      <c r="B176" s="1453"/>
      <c r="C176" s="1454"/>
      <c r="D176" s="1455" t="s">
        <v>2014</v>
      </c>
      <c r="E176" s="1456"/>
      <c r="F176" s="1793">
        <f>'PCTC-OEPP 27-28'!F78-F175</f>
        <v>868563</v>
      </c>
    </row>
    <row r="177" spans="1:9" ht="12" customHeight="1" x14ac:dyDescent="0.2">
      <c r="A177" s="1443"/>
      <c r="B177" s="1453"/>
      <c r="C177" s="1454"/>
      <c r="D177" s="1455" t="s">
        <v>1794</v>
      </c>
      <c r="E177" s="1456"/>
      <c r="F177" s="1793">
        <f>'Cap Outlay Deprec 26'!I18</f>
        <v>54892</v>
      </c>
    </row>
    <row r="178" spans="1:9" ht="12" customHeight="1" x14ac:dyDescent="0.2">
      <c r="A178" s="1443"/>
      <c r="B178" s="1453"/>
      <c r="C178" s="1454"/>
      <c r="D178" s="1455" t="s">
        <v>2015</v>
      </c>
      <c r="E178" s="1456"/>
      <c r="F178" s="1793">
        <f>F176+F177</f>
        <v>923455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65.772999999999996</v>
      </c>
      <c r="G179" s="763"/>
      <c r="I179" s="701"/>
    </row>
    <row r="180" spans="1:9" ht="12" customHeight="1" thickBot="1" x14ac:dyDescent="0.25">
      <c r="A180" s="1443"/>
      <c r="B180" s="1457"/>
      <c r="C180" s="1454"/>
      <c r="D180" s="1455" t="s">
        <v>2017</v>
      </c>
      <c r="E180" s="1456" t="s">
        <v>1528</v>
      </c>
      <c r="F180" s="1798">
        <f>F178/F179</f>
        <v>14040.03162391863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4" zoomScaleNormal="100" workbookViewId="0">
      <selection activeCell="C16" sqref="C16:F16"/>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1914" t="s">
        <v>2067</v>
      </c>
      <c r="B18" s="1908">
        <v>102520600</v>
      </c>
      <c r="C18" s="1915" t="s">
        <v>2068</v>
      </c>
      <c r="D18" s="1886">
        <v>6707</v>
      </c>
      <c r="E18" s="1906">
        <f t="shared" ref="E18:E81" si="0">IF(D18&lt;25000,D18,"25,000")</f>
        <v>6707</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6707</v>
      </c>
      <c r="E142" s="1893">
        <f>SUM(E18:E141)</f>
        <v>6707</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2"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f>+'Expenditures 15-22'!K60+'Expenditures 15-22'!K264</f>
        <v>63441</v>
      </c>
      <c r="F8" s="805"/>
      <c r="G8" s="806"/>
      <c r="H8" s="157"/>
      <c r="I8" s="157"/>
    </row>
    <row r="9" spans="1:13" s="542" customFormat="1" ht="12" customHeight="1" x14ac:dyDescent="0.2">
      <c r="A9" s="802" t="s">
        <v>130</v>
      </c>
      <c r="B9" s="803"/>
      <c r="C9" s="803"/>
      <c r="D9" s="804"/>
      <c r="E9" s="1800">
        <f>'Expenditures 15-22'!K266+'Expenditures 15-22'!K124+'Expenditures 15-22'!K61</f>
        <v>98270</v>
      </c>
      <c r="F9" s="805"/>
      <c r="G9" s="806"/>
      <c r="H9" s="157"/>
      <c r="I9" s="157"/>
    </row>
    <row r="10" spans="1:13" s="542" customFormat="1" ht="12" customHeight="1" x14ac:dyDescent="0.2">
      <c r="A10" s="802" t="s">
        <v>1894</v>
      </c>
      <c r="B10" s="803"/>
      <c r="C10" s="807"/>
      <c r="D10" s="804"/>
      <c r="E10" s="1800">
        <f>+'Expenditures 15-22'!K63</f>
        <v>56668</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5416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572001</v>
      </c>
      <c r="F19" s="1802"/>
      <c r="G19" s="1804">
        <f>'Expenditures 15-22'!K33-SUM('Expenditures 15-22'!G33,'Expenditures 15-22'!I33)+'Expenditures 15-22'!D229</f>
        <v>572001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27351</v>
      </c>
      <c r="F21" s="1805"/>
      <c r="G21" s="1808">
        <f>'Expenditures 15-22'!K42-SUM('Expenditures 15-22'!G42,'Expenditures 15-22'!I42)+'Expenditures 15-22'!K120-SUM('Expenditures 15-22'!G120,'Expenditures 15-22'!I120)+'Expenditures 15-22'!K180-SUM('Expenditures 15-22'!G180,'Expenditures 15-22'!I180)+'Expenditures 15-22'!D238</f>
        <v>27351</v>
      </c>
      <c r="H21" s="817"/>
      <c r="I21" s="157"/>
    </row>
    <row r="22" spans="1:9" s="542" customFormat="1" ht="12" customHeight="1" x14ac:dyDescent="0.2">
      <c r="A22" s="824" t="s">
        <v>560</v>
      </c>
      <c r="B22" s="825"/>
      <c r="C22" s="823">
        <v>2200</v>
      </c>
      <c r="D22" s="1805"/>
      <c r="E22" s="1807">
        <f>'Expenditures 15-22'!K47-SUM('Expenditures 15-22'!G47,'Expenditures 15-22'!I47)+'Expenditures 15-22'!D243</f>
        <v>0</v>
      </c>
      <c r="F22" s="1805"/>
      <c r="G22" s="1808">
        <f>'Expenditures 15-22'!K47-SUM('Expenditures 15-22'!G47,'Expenditures 15-22'!I47)+'Expenditures 15-22'!D243</f>
        <v>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197599</v>
      </c>
      <c r="F23" s="1805"/>
      <c r="G23" s="1807">
        <f>'Expenditures 15-22'!K53-SUM('Expenditures 15-22'!G53,'Expenditures 15-22'!I53)+'Expenditures 15-22'!D257+'Expenditures 15-22'!K330-SUM('Expenditures 15-22'!G330,'Expenditures 15-22'!I330)</f>
        <v>197599</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63441</v>
      </c>
      <c r="F27" s="1807">
        <f>'Expenditures 15-22'!K60-SUM('Expenditures 15-22'!G60,'Expenditures 15-22'!I60)+'Expenditures 15-22'!D264-E8</f>
        <v>0</v>
      </c>
      <c r="G27" s="1808">
        <f>E8</f>
        <v>63441</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98270</v>
      </c>
      <c r="F28" s="1809">
        <f>'Expenditures 15-22'!K61-SUM('Expenditures 15-22'!G61,'Expenditures 15-22'!I61)+'Expenditures 15-22'!K124-SUM('Expenditures 15-22'!G124,'Expenditures 15-22'!I124)+'Expenditures 15-22'!D266-E9</f>
        <v>0</v>
      </c>
      <c r="G28" s="1808">
        <f>E9</f>
        <v>98270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73302</v>
      </c>
      <c r="F29" s="1805"/>
      <c r="G29" s="1808">
        <f>'Expenditures 15-22'!K62-SUM('Expenditures 15-22'!G62,'Expenditures 15-22'!I62)+'Expenditures 15-22'!K125-SUM('Expenditures 15-22'!G125,'Expenditures 15-22'!I125)+'Expenditures 15-22'!K182-SUM('Expenditures 15-22'!G182,'Expenditures 15-22'!I182)+'Expenditures 15-22'!D267</f>
        <v>73302</v>
      </c>
      <c r="H29" s="815"/>
    </row>
    <row r="30" spans="1:9" ht="12" customHeight="1" x14ac:dyDescent="0.2">
      <c r="A30" s="824" t="s">
        <v>100</v>
      </c>
      <c r="B30" s="827"/>
      <c r="C30" s="823">
        <v>2560</v>
      </c>
      <c r="D30" s="1805"/>
      <c r="E30" s="1807">
        <f>'Expenditures 15-22'!K63-SUM('Expenditures 15-22'!G63,'Expenditures 15-22'!I63)+'Expenditures 15-22'!D268-E10</f>
        <v>5698</v>
      </c>
      <c r="F30" s="1805"/>
      <c r="G30" s="1807">
        <f>'Expenditures 15-22'!K63-SUM('Expenditures 15-22'!G63,'Expenditures 15-22'!I63)+'Expenditures 15-22'!D268-E10</f>
        <v>5698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1037662</v>
      </c>
      <c r="F41" s="1809">
        <f>SUM(F19:F39)</f>
        <v>0</v>
      </c>
      <c r="G41" s="1809">
        <f>SUM(G19:G40)</f>
        <v>1037662</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0</v>
      </c>
      <c r="F43" s="1458" t="s">
        <v>470</v>
      </c>
      <c r="G43" s="1810">
        <f>F41</f>
        <v>0</v>
      </c>
    </row>
    <row r="44" spans="1:7" ht="12" customHeight="1" x14ac:dyDescent="0.2">
      <c r="A44" s="817"/>
      <c r="B44" s="157"/>
      <c r="C44" s="831"/>
      <c r="D44" s="1458" t="s">
        <v>471</v>
      </c>
      <c r="E44" s="1810">
        <f>E41</f>
        <v>1037662</v>
      </c>
      <c r="F44" s="1458" t="s">
        <v>471</v>
      </c>
      <c r="G44" s="1810">
        <f>G41</f>
        <v>1037662</v>
      </c>
    </row>
    <row r="45" spans="1:7" ht="12" customHeight="1" x14ac:dyDescent="0.2">
      <c r="A45" s="817"/>
      <c r="B45" s="157"/>
      <c r="C45" s="157"/>
      <c r="D45" s="1459" t="s">
        <v>999</v>
      </c>
      <c r="E45" s="1811">
        <f>(E43/E44)</f>
        <v>0</v>
      </c>
      <c r="F45" s="1459" t="s">
        <v>999</v>
      </c>
      <c r="G45" s="1811">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C16" sqref="C16:F1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Tamaroa SD 5</v>
      </c>
      <c r="D6" s="2415"/>
      <c r="E6" s="2415"/>
      <c r="F6" s="1482"/>
      <c r="G6" s="1507"/>
      <c r="L6" s="1507"/>
      <c r="M6" s="1855"/>
      <c r="N6" s="1855"/>
      <c r="O6" s="1855"/>
    </row>
    <row r="7" spans="1:15" ht="11.25" customHeight="1" thickBot="1" x14ac:dyDescent="0.3">
      <c r="A7" s="1480"/>
      <c r="B7" s="1481"/>
      <c r="C7" s="2416">
        <f>COVER!A13</f>
        <v>30073005002</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2062</v>
      </c>
      <c r="D26" s="1495" t="s">
        <v>2062</v>
      </c>
      <c r="E26" s="1498" t="s">
        <v>2062</v>
      </c>
      <c r="F26" s="1497" t="s">
        <v>2069</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2062</v>
      </c>
      <c r="D32" s="1495" t="s">
        <v>2062</v>
      </c>
      <c r="E32" s="1498" t="s">
        <v>2062</v>
      </c>
      <c r="F32" s="1497" t="s">
        <v>2070</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C16" sqref="C16:F16"/>
    </sheetView>
  </sheetViews>
  <sheetFormatPr defaultColWidth="9.140625" defaultRowHeight="12.75" x14ac:dyDescent="0.2"/>
  <cols>
    <col min="1" max="1" width="2.85546875" style="1923" customWidth="1"/>
    <col min="2" max="2" width="3" style="1923" customWidth="1"/>
    <col min="3" max="3" width="48.5703125" style="1923" customWidth="1"/>
    <col min="4" max="4" width="7.42578125" style="1923" customWidth="1"/>
    <col min="5" max="5" width="11.28515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7109375" style="1923" customWidth="1"/>
    <col min="15" max="16384" width="9.140625" style="1923"/>
  </cols>
  <sheetData>
    <row r="1" spans="1:14" x14ac:dyDescent="0.2">
      <c r="A1" s="1981"/>
      <c r="B1" s="1982"/>
      <c r="C1" s="1982"/>
      <c r="D1" s="1982"/>
      <c r="E1" s="1982"/>
      <c r="F1" s="1982"/>
      <c r="G1" s="1997" t="s">
        <v>402</v>
      </c>
      <c r="H1" s="1998"/>
      <c r="I1" s="1982"/>
      <c r="J1" s="1982"/>
      <c r="K1" s="1982"/>
      <c r="L1" s="1982"/>
      <c r="M1" s="1982"/>
      <c r="N1" s="1983"/>
    </row>
    <row r="2" spans="1:14" x14ac:dyDescent="0.2">
      <c r="A2" s="1999"/>
      <c r="B2" s="838"/>
      <c r="C2" s="838"/>
      <c r="D2" s="838"/>
      <c r="E2" s="838"/>
      <c r="F2" s="838"/>
      <c r="G2" s="1925" t="s">
        <v>2002</v>
      </c>
      <c r="H2" s="1922"/>
      <c r="I2" s="838"/>
      <c r="J2" s="838"/>
      <c r="K2" s="838"/>
      <c r="L2" s="838"/>
      <c r="M2" s="838"/>
      <c r="N2" s="2000"/>
    </row>
    <row r="3" spans="1:14" x14ac:dyDescent="0.2">
      <c r="A3" s="1999"/>
      <c r="B3" s="838"/>
      <c r="C3" s="838"/>
      <c r="D3" s="838"/>
      <c r="E3" s="838"/>
      <c r="F3" s="838"/>
      <c r="G3" s="1925" t="s">
        <v>403</v>
      </c>
      <c r="H3" s="838"/>
      <c r="I3" s="838"/>
      <c r="J3" s="838"/>
      <c r="K3" s="838"/>
      <c r="L3" s="838"/>
      <c r="M3" s="838"/>
      <c r="N3" s="2000"/>
    </row>
    <row r="4" spans="1:14" x14ac:dyDescent="0.2">
      <c r="A4" s="1999"/>
      <c r="B4" s="838"/>
      <c r="C4" s="838"/>
      <c r="D4" s="838"/>
      <c r="E4" s="838"/>
      <c r="F4" s="838"/>
      <c r="G4" s="1925" t="s">
        <v>863</v>
      </c>
      <c r="H4" s="838"/>
      <c r="I4" s="838"/>
      <c r="J4" s="838"/>
      <c r="K4" s="838"/>
      <c r="L4" s="838"/>
      <c r="M4" s="838"/>
      <c r="N4" s="2000"/>
    </row>
    <row r="5" spans="1:14" x14ac:dyDescent="0.2">
      <c r="A5" s="1999"/>
      <c r="B5" s="838"/>
      <c r="C5" s="838"/>
      <c r="D5" s="838"/>
      <c r="E5" s="838"/>
      <c r="F5" s="1925"/>
      <c r="G5" s="1925"/>
      <c r="H5" s="838"/>
      <c r="I5" s="838"/>
      <c r="J5" s="838"/>
      <c r="K5" s="838"/>
      <c r="L5" s="838"/>
      <c r="M5" s="838"/>
      <c r="N5" s="2000"/>
    </row>
    <row r="6" spans="1:14" x14ac:dyDescent="0.2">
      <c r="A6" s="2001" t="s">
        <v>667</v>
      </c>
      <c r="B6" s="1377"/>
      <c r="C6" s="1377"/>
      <c r="D6" s="1377"/>
      <c r="E6" s="1378"/>
      <c r="F6" s="1924"/>
      <c r="G6" s="1925"/>
      <c r="H6" s="838"/>
      <c r="I6" s="1926" t="s">
        <v>1021</v>
      </c>
      <c r="J6" s="2437" t="str">
        <f>COVER!A17</f>
        <v xml:space="preserve"> Tamaroa SD 5</v>
      </c>
      <c r="K6" s="2437"/>
      <c r="L6" s="2451"/>
      <c r="M6" s="838"/>
      <c r="N6" s="2000"/>
    </row>
    <row r="7" spans="1:14" x14ac:dyDescent="0.2">
      <c r="A7" s="2452" t="s">
        <v>864</v>
      </c>
      <c r="B7" s="2453"/>
      <c r="C7" s="2453"/>
      <c r="D7" s="2453"/>
      <c r="E7" s="2454"/>
      <c r="F7" s="839"/>
      <c r="G7" s="838"/>
      <c r="H7" s="838"/>
      <c r="I7" s="1926" t="s">
        <v>369</v>
      </c>
      <c r="J7" s="2439">
        <f>COVER!A13</f>
        <v>30073005002</v>
      </c>
      <c r="K7" s="2439"/>
      <c r="L7" s="2439"/>
      <c r="M7" s="838"/>
      <c r="N7" s="2000"/>
    </row>
    <row r="8" spans="1:14" x14ac:dyDescent="0.2">
      <c r="A8" s="2002"/>
      <c r="B8" s="1927"/>
      <c r="C8" s="1927"/>
      <c r="D8" s="1927"/>
      <c r="E8" s="1928"/>
      <c r="F8" s="1929"/>
      <c r="G8" s="1912"/>
      <c r="H8" s="1912"/>
      <c r="I8" s="1912"/>
      <c r="J8" s="1912"/>
      <c r="K8" s="1912"/>
      <c r="L8" s="1912"/>
      <c r="M8" s="838"/>
      <c r="N8" s="2000"/>
    </row>
    <row r="9" spans="1:14" x14ac:dyDescent="0.2">
      <c r="A9" s="2003"/>
      <c r="B9" s="840"/>
      <c r="C9" s="840"/>
      <c r="D9" s="841"/>
      <c r="E9" s="1930" t="s">
        <v>2018</v>
      </c>
      <c r="F9" s="1857"/>
      <c r="G9" s="1857"/>
      <c r="H9" s="1857"/>
      <c r="I9" s="1931" t="s">
        <v>2019</v>
      </c>
      <c r="J9" s="1857"/>
      <c r="K9" s="1857"/>
      <c r="L9" s="1858"/>
      <c r="M9" s="838"/>
      <c r="N9" s="2000"/>
    </row>
    <row r="10" spans="1:14" x14ac:dyDescent="0.2">
      <c r="A10" s="2004"/>
      <c r="B10" s="1932"/>
      <c r="C10" s="1933"/>
      <c r="D10" s="1934"/>
      <c r="E10" s="1935" t="s">
        <v>422</v>
      </c>
      <c r="F10" s="1936" t="s">
        <v>423</v>
      </c>
      <c r="G10" s="1937" t="s">
        <v>429</v>
      </c>
      <c r="H10" s="1938"/>
      <c r="I10" s="1936" t="s">
        <v>422</v>
      </c>
      <c r="J10" s="1936" t="s">
        <v>423</v>
      </c>
      <c r="K10" s="1937" t="s">
        <v>429</v>
      </c>
      <c r="L10" s="1936"/>
      <c r="M10" s="838"/>
      <c r="N10" s="2000"/>
    </row>
    <row r="11" spans="1:14" ht="51" x14ac:dyDescent="0.2">
      <c r="A11" s="2455" t="s">
        <v>478</v>
      </c>
      <c r="B11" s="2456"/>
      <c r="C11" s="2457"/>
      <c r="D11" s="1939" t="s">
        <v>866</v>
      </c>
      <c r="E11" s="1939" t="s">
        <v>64</v>
      </c>
      <c r="F11" s="1939" t="s">
        <v>6</v>
      </c>
      <c r="G11" s="1940" t="s">
        <v>2020</v>
      </c>
      <c r="H11" s="1941" t="s">
        <v>155</v>
      </c>
      <c r="I11" s="1939" t="s">
        <v>64</v>
      </c>
      <c r="J11" s="1939" t="s">
        <v>6</v>
      </c>
      <c r="K11" s="1940" t="s">
        <v>2001</v>
      </c>
      <c r="L11" s="1941" t="s">
        <v>155</v>
      </c>
      <c r="M11" s="838"/>
      <c r="N11" s="2000"/>
    </row>
    <row r="12" spans="1:14" x14ac:dyDescent="0.2">
      <c r="A12" s="2005">
        <v>1</v>
      </c>
      <c r="B12" s="1942" t="s">
        <v>813</v>
      </c>
      <c r="C12" s="842"/>
      <c r="D12" s="1943">
        <v>2320</v>
      </c>
      <c r="E12" s="1946">
        <f>'Expenditures 15-22'!K50</f>
        <v>84857</v>
      </c>
      <c r="F12" s="1944"/>
      <c r="G12" s="1970">
        <f>G68</f>
        <v>0</v>
      </c>
      <c r="H12" s="1946">
        <f t="shared" ref="H12:H18" si="0">SUM(E12:G12)</f>
        <v>84857</v>
      </c>
      <c r="I12" s="1945">
        <f>'Expenditures 15-22'!L50</f>
        <v>82900</v>
      </c>
      <c r="J12" s="1944"/>
      <c r="K12" s="1945">
        <v>0</v>
      </c>
      <c r="L12" s="1946">
        <f t="shared" ref="L12:L18" si="1">SUM(I12:K12)</f>
        <v>82900</v>
      </c>
      <c r="M12" s="838"/>
      <c r="N12" s="2000"/>
    </row>
    <row r="13" spans="1:14" x14ac:dyDescent="0.2">
      <c r="A13" s="2005">
        <v>2</v>
      </c>
      <c r="B13" s="1942" t="s">
        <v>42</v>
      </c>
      <c r="C13" s="842"/>
      <c r="D13" s="1943">
        <v>2330</v>
      </c>
      <c r="E13" s="1946">
        <f>'Expenditures 15-22'!K51</f>
        <v>0</v>
      </c>
      <c r="F13" s="1944"/>
      <c r="G13" s="1970">
        <f>H68</f>
        <v>0</v>
      </c>
      <c r="H13" s="1946">
        <f t="shared" si="0"/>
        <v>0</v>
      </c>
      <c r="I13" s="1945">
        <v>0</v>
      </c>
      <c r="J13" s="1944"/>
      <c r="K13" s="1945">
        <v>0</v>
      </c>
      <c r="L13" s="1946">
        <f t="shared" si="1"/>
        <v>0</v>
      </c>
      <c r="M13" s="838"/>
      <c r="N13" s="2000"/>
    </row>
    <row r="14" spans="1:14" x14ac:dyDescent="0.2">
      <c r="A14" s="2005">
        <v>3</v>
      </c>
      <c r="B14" s="1942" t="s">
        <v>43</v>
      </c>
      <c r="C14" s="842"/>
      <c r="D14" s="1947">
        <v>2490</v>
      </c>
      <c r="E14" s="1946">
        <f>'Expenditures 15-22'!K56</f>
        <v>0</v>
      </c>
      <c r="F14" s="1944"/>
      <c r="G14" s="1970">
        <f>I68</f>
        <v>0</v>
      </c>
      <c r="H14" s="1946">
        <f t="shared" si="0"/>
        <v>0</v>
      </c>
      <c r="I14" s="1945">
        <v>0</v>
      </c>
      <c r="J14" s="1944"/>
      <c r="K14" s="1945">
        <v>0</v>
      </c>
      <c r="L14" s="1946">
        <f t="shared" si="1"/>
        <v>0</v>
      </c>
      <c r="M14" s="838"/>
      <c r="N14" s="2000"/>
    </row>
    <row r="15" spans="1:14" x14ac:dyDescent="0.2">
      <c r="A15" s="2005">
        <v>4</v>
      </c>
      <c r="B15" s="1942" t="s">
        <v>1059</v>
      </c>
      <c r="C15" s="842"/>
      <c r="D15" s="1943">
        <v>2510</v>
      </c>
      <c r="E15" s="1946">
        <f>'Expenditures 15-22'!K59</f>
        <v>0</v>
      </c>
      <c r="F15" s="1946">
        <f>'Expenditures 15-22'!K122</f>
        <v>0</v>
      </c>
      <c r="G15" s="1970">
        <f>J68</f>
        <v>0</v>
      </c>
      <c r="H15" s="1946">
        <f t="shared" si="0"/>
        <v>0</v>
      </c>
      <c r="I15" s="1945">
        <v>0</v>
      </c>
      <c r="J15" s="1945">
        <v>0</v>
      </c>
      <c r="K15" s="1945">
        <v>0</v>
      </c>
      <c r="L15" s="1946">
        <f t="shared" si="1"/>
        <v>0</v>
      </c>
      <c r="M15" s="838"/>
      <c r="N15" s="2000"/>
    </row>
    <row r="16" spans="1:14" x14ac:dyDescent="0.2">
      <c r="A16" s="2005">
        <v>5</v>
      </c>
      <c r="B16" s="1942" t="s">
        <v>101</v>
      </c>
      <c r="C16" s="842"/>
      <c r="D16" s="1943">
        <v>2570</v>
      </c>
      <c r="E16" s="1946">
        <f>'Expenditures 15-22'!K64</f>
        <v>0</v>
      </c>
      <c r="F16" s="1944"/>
      <c r="G16" s="1970">
        <f>K68</f>
        <v>0</v>
      </c>
      <c r="H16" s="1946">
        <f t="shared" si="0"/>
        <v>0</v>
      </c>
      <c r="I16" s="1945">
        <v>0</v>
      </c>
      <c r="J16" s="1944"/>
      <c r="K16" s="1945">
        <v>0</v>
      </c>
      <c r="L16" s="1946">
        <f t="shared" si="1"/>
        <v>0</v>
      </c>
      <c r="M16" s="838"/>
      <c r="N16" s="2000"/>
    </row>
    <row r="17" spans="1:14" x14ac:dyDescent="0.2">
      <c r="A17" s="2005">
        <v>6</v>
      </c>
      <c r="B17" s="1942" t="s">
        <v>1051</v>
      </c>
      <c r="C17" s="842"/>
      <c r="D17" s="1943">
        <v>2610</v>
      </c>
      <c r="E17" s="1946">
        <f>'Expenditures 15-22'!K67</f>
        <v>0</v>
      </c>
      <c r="F17" s="1944"/>
      <c r="G17" s="1970">
        <f>L68</f>
        <v>0</v>
      </c>
      <c r="H17" s="1946">
        <f t="shared" si="0"/>
        <v>0</v>
      </c>
      <c r="I17" s="1945">
        <v>0</v>
      </c>
      <c r="J17" s="1944"/>
      <c r="K17" s="1945">
        <v>0</v>
      </c>
      <c r="L17" s="1946">
        <f t="shared" si="1"/>
        <v>0</v>
      </c>
      <c r="M17" s="838"/>
      <c r="N17" s="2000"/>
    </row>
    <row r="18" spans="1:14" ht="26.25" customHeight="1" x14ac:dyDescent="0.2">
      <c r="A18" s="2006">
        <v>7</v>
      </c>
      <c r="B18" s="2458" t="s">
        <v>7</v>
      </c>
      <c r="C18" s="2459"/>
      <c r="D18" s="2460"/>
      <c r="E18" s="1948"/>
      <c r="F18" s="1948"/>
      <c r="G18" s="1945"/>
      <c r="H18" s="1949">
        <f t="shared" si="0"/>
        <v>0</v>
      </c>
      <c r="I18" s="1945"/>
      <c r="J18" s="1945"/>
      <c r="K18" s="1945"/>
      <c r="L18" s="1946">
        <f t="shared" si="1"/>
        <v>0</v>
      </c>
      <c r="M18" s="838"/>
      <c r="N18" s="2000"/>
    </row>
    <row r="19" spans="1:14" ht="13.5" thickBot="1" x14ac:dyDescent="0.25">
      <c r="A19" s="2005">
        <v>8</v>
      </c>
      <c r="B19" s="1950" t="s">
        <v>1151</v>
      </c>
      <c r="C19" s="838"/>
      <c r="D19" s="1951"/>
      <c r="E19" s="1952">
        <f t="shared" ref="E19:L19" si="2">SUM(E12:E17)-E18</f>
        <v>84857</v>
      </c>
      <c r="F19" s="1952">
        <f t="shared" si="2"/>
        <v>0</v>
      </c>
      <c r="G19" s="1952">
        <f t="shared" ref="G19" si="3">SUM(G12:G17)-G18</f>
        <v>0</v>
      </c>
      <c r="H19" s="1952">
        <f t="shared" si="2"/>
        <v>84857</v>
      </c>
      <c r="I19" s="1952">
        <f t="shared" si="2"/>
        <v>82900</v>
      </c>
      <c r="J19" s="1952">
        <f t="shared" si="2"/>
        <v>0</v>
      </c>
      <c r="K19" s="1952">
        <f t="shared" si="2"/>
        <v>0</v>
      </c>
      <c r="L19" s="1952">
        <f t="shared" si="2"/>
        <v>82900</v>
      </c>
      <c r="M19" s="838"/>
      <c r="N19" s="2000"/>
    </row>
    <row r="20" spans="1:14" ht="13.5" thickTop="1" x14ac:dyDescent="0.2">
      <c r="A20" s="2005">
        <v>9</v>
      </c>
      <c r="B20" s="2461" t="s">
        <v>2021</v>
      </c>
      <c r="C20" s="2461"/>
      <c r="D20" s="2462"/>
      <c r="E20" s="1953"/>
      <c r="F20" s="1953"/>
      <c r="G20" s="1953"/>
      <c r="H20" s="1953"/>
      <c r="I20" s="1953"/>
      <c r="J20" s="1953"/>
      <c r="K20" s="1953"/>
      <c r="L20" s="1954">
        <f>IF(AND(H19&gt;0,L19&gt;0),(((L19-H19)/H19)),"Enter Budget Data")</f>
        <v>-2.3062328387758228E-2</v>
      </c>
      <c r="M20" s="838"/>
      <c r="N20" s="2000"/>
    </row>
    <row r="21" spans="1:14" x14ac:dyDescent="0.2">
      <c r="A21" s="2007" t="s">
        <v>194</v>
      </c>
      <c r="B21" s="2008" t="s">
        <v>2046</v>
      </c>
      <c r="C21" s="838"/>
      <c r="D21" s="1955"/>
      <c r="E21" s="1956"/>
      <c r="F21" s="1957"/>
      <c r="G21" s="1957"/>
      <c r="H21" s="1957"/>
      <c r="I21" s="1957"/>
      <c r="J21" s="1957"/>
      <c r="K21" s="1957"/>
      <c r="L21" s="1958"/>
      <c r="M21" s="838"/>
      <c r="N21" s="2000"/>
    </row>
    <row r="22" spans="1:14" x14ac:dyDescent="0.2">
      <c r="A22" s="1999"/>
      <c r="B22" s="2009"/>
      <c r="C22" s="838"/>
      <c r="D22" s="838"/>
      <c r="E22" s="838"/>
      <c r="F22" s="838"/>
      <c r="G22" s="838"/>
      <c r="H22" s="838"/>
      <c r="I22" s="838"/>
      <c r="J22" s="838"/>
      <c r="K22" s="838"/>
      <c r="L22" s="838"/>
      <c r="M22" s="838"/>
      <c r="N22" s="2000"/>
    </row>
    <row r="23" spans="1:14" x14ac:dyDescent="0.2">
      <c r="A23" s="2010" t="s">
        <v>132</v>
      </c>
      <c r="B23" s="2009"/>
      <c r="C23" s="838"/>
      <c r="D23" s="838"/>
      <c r="E23" s="838"/>
      <c r="F23" s="838"/>
      <c r="G23" s="838"/>
      <c r="H23" s="838"/>
      <c r="I23" s="838"/>
      <c r="J23" s="838"/>
      <c r="K23" s="838"/>
      <c r="L23" s="838"/>
      <c r="M23" s="838"/>
      <c r="N23" s="2000"/>
    </row>
    <row r="24" spans="1:14" x14ac:dyDescent="0.2">
      <c r="A24" s="2011" t="s">
        <v>2022</v>
      </c>
      <c r="B24" s="2012"/>
      <c r="C24" s="2013"/>
      <c r="D24" s="2013"/>
      <c r="E24" s="2013"/>
      <c r="F24" s="2013"/>
      <c r="G24" s="2013"/>
      <c r="H24" s="2013"/>
      <c r="I24" s="2013"/>
      <c r="J24" s="2013"/>
      <c r="K24" s="2013"/>
      <c r="L24" s="838"/>
      <c r="M24" s="838"/>
      <c r="N24" s="2000"/>
    </row>
    <row r="25" spans="1:14" x14ac:dyDescent="0.2">
      <c r="A25" s="2011" t="s">
        <v>2023</v>
      </c>
      <c r="B25" s="2012"/>
      <c r="C25" s="2013"/>
      <c r="D25" s="2013"/>
      <c r="E25" s="2013"/>
      <c r="F25" s="2013"/>
      <c r="G25" s="2013"/>
      <c r="H25" s="2013"/>
      <c r="I25" s="2013"/>
      <c r="J25" s="2013"/>
      <c r="K25" s="2013"/>
      <c r="L25" s="838"/>
      <c r="M25" s="838"/>
      <c r="N25" s="2000"/>
    </row>
    <row r="26" spans="1:14" x14ac:dyDescent="0.2">
      <c r="A26" s="2014"/>
      <c r="B26" s="2009"/>
      <c r="C26" s="838"/>
      <c r="D26" s="838"/>
      <c r="E26" s="838"/>
      <c r="F26" s="838"/>
      <c r="G26" s="838"/>
      <c r="H26" s="838"/>
      <c r="I26" s="838"/>
      <c r="J26" s="838"/>
      <c r="K26" s="838"/>
      <c r="L26" s="838"/>
      <c r="M26" s="838"/>
      <c r="N26" s="2000"/>
    </row>
    <row r="27" spans="1:14" x14ac:dyDescent="0.2">
      <c r="A27" s="1999"/>
      <c r="B27" s="2009"/>
      <c r="C27" s="2463"/>
      <c r="D27" s="2463"/>
      <c r="E27" s="843"/>
      <c r="F27" s="2464"/>
      <c r="G27" s="2464"/>
      <c r="H27" s="2464"/>
      <c r="I27" s="838"/>
      <c r="J27" s="838"/>
      <c r="K27" s="838"/>
      <c r="L27" s="838"/>
      <c r="M27" s="838"/>
      <c r="N27" s="2000"/>
    </row>
    <row r="28" spans="1:14" x14ac:dyDescent="0.2">
      <c r="A28" s="1999"/>
      <c r="B28" s="2009"/>
      <c r="C28" s="1959" t="s">
        <v>1026</v>
      </c>
      <c r="D28" s="844"/>
      <c r="E28" s="1960"/>
      <c r="F28" s="2465" t="s">
        <v>1492</v>
      </c>
      <c r="G28" s="2465"/>
      <c r="H28" s="2465"/>
      <c r="I28" s="838"/>
      <c r="J28" s="838"/>
      <c r="K28" s="838"/>
      <c r="L28" s="838"/>
      <c r="M28" s="838"/>
      <c r="N28" s="2000"/>
    </row>
    <row r="29" spans="1:14" x14ac:dyDescent="0.2">
      <c r="A29" s="1999"/>
      <c r="B29" s="2009"/>
      <c r="C29" s="2466"/>
      <c r="D29" s="2466"/>
      <c r="E29" s="845"/>
      <c r="F29" s="2466"/>
      <c r="G29" s="2466"/>
      <c r="H29" s="2466"/>
      <c r="I29" s="838"/>
      <c r="J29" s="838"/>
      <c r="K29" s="838"/>
      <c r="L29" s="838"/>
      <c r="M29" s="838"/>
      <c r="N29" s="2000"/>
    </row>
    <row r="30" spans="1:14" x14ac:dyDescent="0.2">
      <c r="A30" s="1999"/>
      <c r="B30" s="2009"/>
      <c r="C30" s="1962" t="s">
        <v>1544</v>
      </c>
      <c r="D30" s="838"/>
      <c r="E30" s="1961"/>
      <c r="F30" s="2450" t="s">
        <v>1493</v>
      </c>
      <c r="G30" s="2450"/>
      <c r="H30" s="2450"/>
      <c r="I30" s="838"/>
      <c r="J30" s="838"/>
      <c r="K30" s="838"/>
      <c r="L30" s="838"/>
      <c r="M30" s="838"/>
      <c r="N30" s="2000"/>
    </row>
    <row r="31" spans="1:14" x14ac:dyDescent="0.2">
      <c r="A31" s="1999"/>
      <c r="B31" s="2009"/>
      <c r="C31" s="2015"/>
      <c r="D31" s="838"/>
      <c r="E31" s="1955"/>
      <c r="F31" s="1956"/>
      <c r="G31" s="1956"/>
      <c r="H31" s="1956"/>
      <c r="I31" s="838"/>
      <c r="J31" s="838"/>
      <c r="K31" s="838"/>
      <c r="L31" s="838"/>
      <c r="M31" s="838"/>
      <c r="N31" s="2000"/>
    </row>
    <row r="32" spans="1:14" x14ac:dyDescent="0.2">
      <c r="A32" s="1999"/>
      <c r="B32" s="2016" t="s">
        <v>1027</v>
      </c>
      <c r="C32" s="838"/>
      <c r="D32" s="838"/>
      <c r="E32" s="838"/>
      <c r="F32" s="838"/>
      <c r="G32" s="838"/>
      <c r="H32" s="838"/>
      <c r="I32" s="838"/>
      <c r="J32" s="838"/>
      <c r="K32" s="838"/>
      <c r="L32" s="838"/>
      <c r="M32" s="838"/>
      <c r="N32" s="2000"/>
    </row>
    <row r="33" spans="1:14" x14ac:dyDescent="0.2">
      <c r="A33" s="1999"/>
      <c r="B33" s="2017"/>
      <c r="C33" s="838"/>
      <c r="D33" s="838"/>
      <c r="E33" s="838"/>
      <c r="F33" s="838"/>
      <c r="G33" s="838"/>
      <c r="H33" s="838"/>
      <c r="I33" s="838"/>
      <c r="J33" s="838"/>
      <c r="K33" s="838"/>
      <c r="L33" s="838"/>
      <c r="M33" s="838"/>
      <c r="N33" s="2000"/>
    </row>
    <row r="34" spans="1:14" x14ac:dyDescent="0.2">
      <c r="A34" s="1999"/>
      <c r="B34" s="846"/>
      <c r="C34" s="2427" t="s">
        <v>2024</v>
      </c>
      <c r="D34" s="2428"/>
      <c r="E34" s="2428"/>
      <c r="F34" s="2428"/>
      <c r="G34" s="2428"/>
      <c r="H34" s="2428"/>
      <c r="I34" s="2428"/>
      <c r="J34" s="2428"/>
      <c r="K34" s="2018"/>
      <c r="L34" s="838"/>
      <c r="M34" s="838"/>
      <c r="N34" s="2000"/>
    </row>
    <row r="35" spans="1:14" x14ac:dyDescent="0.2">
      <c r="A35" s="1999"/>
      <c r="B35" s="838"/>
      <c r="C35" s="2428"/>
      <c r="D35" s="2428"/>
      <c r="E35" s="2428"/>
      <c r="F35" s="2428"/>
      <c r="G35" s="2428"/>
      <c r="H35" s="2428"/>
      <c r="I35" s="2428"/>
      <c r="J35" s="2428"/>
      <c r="K35" s="2018"/>
      <c r="L35" s="838"/>
      <c r="M35" s="838"/>
      <c r="N35" s="2000"/>
    </row>
    <row r="36" spans="1:14" x14ac:dyDescent="0.2">
      <c r="A36" s="1999"/>
      <c r="B36" s="838"/>
      <c r="C36" s="2019"/>
      <c r="D36" s="838"/>
      <c r="E36" s="838"/>
      <c r="F36" s="838"/>
      <c r="G36" s="838"/>
      <c r="H36" s="838"/>
      <c r="I36" s="838"/>
      <c r="J36" s="838"/>
      <c r="K36" s="838"/>
      <c r="L36" s="838"/>
      <c r="M36" s="838"/>
      <c r="N36" s="2000"/>
    </row>
    <row r="37" spans="1:14" x14ac:dyDescent="0.2">
      <c r="A37" s="1999"/>
      <c r="B37" s="846"/>
      <c r="C37" s="2427" t="s">
        <v>2025</v>
      </c>
      <c r="D37" s="2428"/>
      <c r="E37" s="2428"/>
      <c r="F37" s="2428"/>
      <c r="G37" s="2428"/>
      <c r="H37" s="2428"/>
      <c r="I37" s="2428"/>
      <c r="J37" s="2428"/>
      <c r="K37" s="2018"/>
      <c r="L37" s="2020"/>
      <c r="M37" s="838"/>
      <c r="N37" s="2000"/>
    </row>
    <row r="38" spans="1:14" x14ac:dyDescent="0.2">
      <c r="A38" s="1999"/>
      <c r="B38" s="838"/>
      <c r="C38" s="2428"/>
      <c r="D38" s="2428"/>
      <c r="E38" s="2428"/>
      <c r="F38" s="2428"/>
      <c r="G38" s="2428"/>
      <c r="H38" s="2428"/>
      <c r="I38" s="2428"/>
      <c r="J38" s="2428"/>
      <c r="K38" s="2018"/>
      <c r="L38" s="2020"/>
      <c r="M38" s="838"/>
      <c r="N38" s="2000"/>
    </row>
    <row r="39" spans="1:14" x14ac:dyDescent="0.2">
      <c r="A39" s="1999"/>
      <c r="B39" s="838"/>
      <c r="C39" s="2019"/>
      <c r="D39" s="838"/>
      <c r="E39" s="1963"/>
      <c r="F39" s="1964"/>
      <c r="G39" s="1964"/>
      <c r="H39" s="1963"/>
      <c r="I39" s="838"/>
      <c r="J39" s="838"/>
      <c r="K39" s="838"/>
      <c r="L39" s="838"/>
      <c r="M39" s="838"/>
      <c r="N39" s="2000"/>
    </row>
    <row r="40" spans="1:14" x14ac:dyDescent="0.2">
      <c r="A40" s="1999"/>
      <c r="B40" s="846"/>
      <c r="C40" s="2429" t="s">
        <v>2026</v>
      </c>
      <c r="D40" s="2430"/>
      <c r="E40" s="2430"/>
      <c r="F40" s="2430"/>
      <c r="G40" s="2430"/>
      <c r="H40" s="2430"/>
      <c r="I40" s="2430"/>
      <c r="J40" s="2430"/>
      <c r="K40" s="1965"/>
      <c r="L40" s="838"/>
      <c r="M40" s="838"/>
      <c r="N40" s="2000"/>
    </row>
    <row r="41" spans="1:14" x14ac:dyDescent="0.2">
      <c r="A41" s="1999"/>
      <c r="B41" s="838"/>
      <c r="C41" s="2021"/>
      <c r="D41" s="2021"/>
      <c r="E41" s="2021"/>
      <c r="F41" s="2021"/>
      <c r="G41" s="2021"/>
      <c r="H41" s="2021"/>
      <c r="I41" s="2021"/>
      <c r="J41" s="2021"/>
      <c r="K41" s="2021"/>
      <c r="L41" s="838"/>
      <c r="M41" s="838"/>
      <c r="N41" s="2000"/>
    </row>
    <row r="42" spans="1:14" ht="13.5" thickBot="1" x14ac:dyDescent="0.25">
      <c r="A42" s="2022"/>
      <c r="B42" s="2023"/>
      <c r="C42" s="2023"/>
      <c r="D42" s="2023"/>
      <c r="E42" s="2023"/>
      <c r="F42" s="2023"/>
      <c r="G42" s="2023"/>
      <c r="H42" s="2023"/>
      <c r="I42" s="2023"/>
      <c r="J42" s="2023"/>
      <c r="K42" s="2023"/>
      <c r="L42" s="2023"/>
      <c r="M42" s="2023"/>
      <c r="N42" s="2024"/>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4"/>
      <c r="B44" s="1985"/>
      <c r="C44" s="1985"/>
      <c r="D44" s="1985"/>
      <c r="E44" s="1985"/>
      <c r="F44" s="1985"/>
      <c r="G44" s="1985"/>
      <c r="H44" s="1985"/>
      <c r="I44" s="1985"/>
      <c r="J44" s="1985"/>
      <c r="K44" s="1985"/>
      <c r="L44" s="1985"/>
      <c r="M44" s="1985"/>
      <c r="N44" s="1986"/>
    </row>
    <row r="45" spans="1:14" x14ac:dyDescent="0.2">
      <c r="A45" s="1984" t="s">
        <v>2028</v>
      </c>
      <c r="B45" s="1985"/>
      <c r="C45" s="1985"/>
      <c r="D45" s="1985"/>
      <c r="E45" s="1985"/>
      <c r="F45" s="1985"/>
      <c r="G45" s="1985"/>
      <c r="H45" s="1985"/>
      <c r="I45" s="1985"/>
      <c r="J45" s="1985"/>
      <c r="K45" s="1985"/>
      <c r="L45" s="1985"/>
      <c r="M45" s="1985"/>
      <c r="N45" s="1986"/>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7"/>
      <c r="B48" s="1985"/>
      <c r="C48" s="1985"/>
      <c r="D48" s="1988"/>
      <c r="E48" s="1988"/>
      <c r="F48" s="1988"/>
      <c r="G48" s="1988"/>
      <c r="H48" s="1988"/>
      <c r="I48" s="1988"/>
      <c r="J48" s="1988"/>
      <c r="K48" s="1988"/>
      <c r="L48" s="1988"/>
      <c r="M48" s="1988"/>
      <c r="N48" s="1989"/>
    </row>
    <row r="49" spans="1:14" s="2029" customFormat="1" ht="15.75" x14ac:dyDescent="0.25">
      <c r="A49" s="2030" t="s">
        <v>2045</v>
      </c>
      <c r="B49" s="2026"/>
      <c r="C49" s="2026"/>
      <c r="D49" s="2027"/>
      <c r="E49" s="2027"/>
      <c r="F49" s="2027"/>
      <c r="G49" s="2027"/>
      <c r="H49" s="2027"/>
      <c r="I49" s="2027"/>
      <c r="J49" s="2027"/>
      <c r="K49" s="2027"/>
      <c r="L49" s="2027"/>
      <c r="M49" s="2027"/>
      <c r="N49" s="2028"/>
    </row>
    <row r="50" spans="1:14" ht="15" x14ac:dyDescent="0.25">
      <c r="A50" s="2030" t="s">
        <v>2044</v>
      </c>
      <c r="B50" s="1985"/>
      <c r="C50" s="1985"/>
      <c r="D50" s="1985"/>
      <c r="E50" s="1985"/>
      <c r="F50" s="1985"/>
      <c r="G50" s="1985"/>
      <c r="H50" s="1985"/>
      <c r="I50" s="1985"/>
      <c r="J50" s="1985"/>
      <c r="K50" s="1985"/>
      <c r="L50" s="1985"/>
      <c r="M50" s="1985"/>
      <c r="N50" s="1986"/>
    </row>
    <row r="51" spans="1:14" x14ac:dyDescent="0.2">
      <c r="A51" s="1984"/>
      <c r="B51" s="1985"/>
      <c r="C51" s="1985"/>
      <c r="D51" s="1985"/>
      <c r="E51" s="1985"/>
      <c r="F51" s="1985"/>
      <c r="G51" s="1985"/>
      <c r="H51" s="1985"/>
      <c r="I51" s="1985"/>
      <c r="J51" s="1985"/>
      <c r="K51" s="1985"/>
      <c r="L51" s="1985"/>
      <c r="M51" s="1985"/>
      <c r="N51" s="1986"/>
    </row>
    <row r="52" spans="1:14" x14ac:dyDescent="0.2">
      <c r="A52" s="1984"/>
      <c r="B52" s="1985"/>
      <c r="C52" s="1985"/>
      <c r="D52" s="1985"/>
      <c r="E52" s="1985"/>
      <c r="F52" s="1985"/>
      <c r="G52" s="1985"/>
      <c r="H52" s="1985"/>
      <c r="I52" s="1985"/>
      <c r="J52" s="1985"/>
      <c r="K52" s="1926" t="s">
        <v>1021</v>
      </c>
      <c r="L52" s="2437" t="str">
        <f>J6</f>
        <v xml:space="preserve"> Tamaroa SD 5</v>
      </c>
      <c r="M52" s="2437"/>
      <c r="N52" s="2438"/>
    </row>
    <row r="53" spans="1:14" x14ac:dyDescent="0.2">
      <c r="A53" s="1984"/>
      <c r="B53" s="1985"/>
      <c r="C53" s="1985"/>
      <c r="D53" s="1985"/>
      <c r="E53" s="1985"/>
      <c r="F53" s="1985"/>
      <c r="G53" s="1985"/>
      <c r="H53" s="1985"/>
      <c r="I53" s="1985"/>
      <c r="J53" s="1985"/>
      <c r="K53" s="1926" t="s">
        <v>369</v>
      </c>
      <c r="L53" s="2439">
        <f>J7</f>
        <v>30073005002</v>
      </c>
      <c r="M53" s="2439"/>
      <c r="N53" s="2440"/>
    </row>
    <row r="54" spans="1:14" ht="13.5" thickBot="1" x14ac:dyDescent="0.25">
      <c r="A54" s="1984"/>
      <c r="B54" s="1985"/>
      <c r="C54" s="1985"/>
      <c r="D54" s="1985"/>
      <c r="E54" s="1985"/>
      <c r="F54" s="1985"/>
      <c r="G54" s="1985"/>
      <c r="H54" s="1985"/>
      <c r="I54" s="1985"/>
      <c r="J54" s="1985"/>
      <c r="K54" s="1985"/>
      <c r="L54" s="1985"/>
      <c r="M54" s="1985"/>
      <c r="N54" s="1986"/>
    </row>
    <row r="55" spans="1:14" x14ac:dyDescent="0.2">
      <c r="A55" s="2441"/>
      <c r="B55" s="2442"/>
      <c r="C55" s="2442"/>
      <c r="D55" s="1972"/>
      <c r="E55" s="1972"/>
      <c r="F55" s="1972"/>
      <c r="G55" s="2443" t="s">
        <v>2030</v>
      </c>
      <c r="H55" s="2443"/>
      <c r="I55" s="2443"/>
      <c r="J55" s="2443"/>
      <c r="K55" s="2443"/>
      <c r="L55" s="2443"/>
      <c r="M55" s="2443"/>
      <c r="N55" s="2444"/>
    </row>
    <row r="56" spans="1:14" ht="63.75" x14ac:dyDescent="0.2">
      <c r="A56" s="2445" t="s">
        <v>2031</v>
      </c>
      <c r="B56" s="2446"/>
      <c r="C56" s="2447"/>
      <c r="D56" s="1966" t="s">
        <v>2032</v>
      </c>
      <c r="E56" s="1966" t="s">
        <v>2033</v>
      </c>
      <c r="F56" s="1973"/>
      <c r="G56" s="1966" t="s">
        <v>2034</v>
      </c>
      <c r="H56" s="1966" t="s">
        <v>2035</v>
      </c>
      <c r="I56" s="1966" t="s">
        <v>2036</v>
      </c>
      <c r="J56" s="1966" t="s">
        <v>2037</v>
      </c>
      <c r="K56" s="1966" t="s">
        <v>2038</v>
      </c>
      <c r="L56" s="1966" t="s">
        <v>2039</v>
      </c>
      <c r="M56" s="1966" t="s">
        <v>2040</v>
      </c>
      <c r="N56" s="1967" t="s">
        <v>2047</v>
      </c>
    </row>
    <row r="57" spans="1:14" ht="24.75" customHeight="1" x14ac:dyDescent="0.2">
      <c r="A57" s="2448" t="s">
        <v>296</v>
      </c>
      <c r="B57" s="2449"/>
      <c r="C57" s="2449"/>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x14ac:dyDescent="0.2">
      <c r="A58" s="2425" t="s">
        <v>2041</v>
      </c>
      <c r="B58" s="2426"/>
      <c r="C58" s="2426"/>
      <c r="D58" s="1969">
        <v>2362</v>
      </c>
      <c r="E58" s="1979">
        <f>'Expenditures 15-22'!K320</f>
        <v>0</v>
      </c>
      <c r="F58" s="1974"/>
      <c r="G58" s="2033"/>
      <c r="H58" s="2034"/>
      <c r="I58" s="2034"/>
      <c r="J58" s="2034"/>
      <c r="K58" s="2034"/>
      <c r="L58" s="2034"/>
      <c r="M58" s="2034"/>
      <c r="N58" s="1977">
        <f>IF((SUM(G58:M58))=E58,SUM(G58:M58),"Column N does not agree with Column E")</f>
        <v>0</v>
      </c>
    </row>
    <row r="59" spans="1:14" ht="24.75" customHeight="1" x14ac:dyDescent="0.2">
      <c r="A59" s="2419" t="s">
        <v>297</v>
      </c>
      <c r="B59" s="2420"/>
      <c r="C59" s="2420"/>
      <c r="D59" s="1969">
        <v>2363</v>
      </c>
      <c r="E59" s="1979">
        <f>'Expenditures 15-22'!K321</f>
        <v>0</v>
      </c>
      <c r="F59" s="1974"/>
      <c r="G59" s="2033"/>
      <c r="H59" s="2034"/>
      <c r="I59" s="2034"/>
      <c r="J59" s="2034"/>
      <c r="K59" s="2034"/>
      <c r="L59" s="2034"/>
      <c r="M59" s="2034"/>
      <c r="N59" s="1977">
        <f>IF((SUM(G59:M59))=E59,SUM(G59:M59),"Column N does not agree with Column E")</f>
        <v>0</v>
      </c>
    </row>
    <row r="60" spans="1:14" ht="24" customHeight="1" x14ac:dyDescent="0.2">
      <c r="A60" s="2419" t="s">
        <v>236</v>
      </c>
      <c r="B60" s="2420"/>
      <c r="C60" s="2420"/>
      <c r="D60" s="1969">
        <v>2364</v>
      </c>
      <c r="E60" s="1979">
        <f>'Expenditures 15-22'!K322</f>
        <v>19993</v>
      </c>
      <c r="F60" s="1974"/>
      <c r="G60" s="2033"/>
      <c r="H60" s="2034"/>
      <c r="I60" s="2034"/>
      <c r="J60" s="2034"/>
      <c r="K60" s="2034"/>
      <c r="L60" s="2034"/>
      <c r="M60" s="2034"/>
      <c r="N60" s="1977" t="str">
        <f t="shared" ref="N60:N67" si="4">IF((SUM(G60:M60))=E60,SUM(G60:M60),"Column N does not agree with Column E")</f>
        <v>Column N does not agree with Column E</v>
      </c>
    </row>
    <row r="61" spans="1:14" ht="24.75" customHeight="1" x14ac:dyDescent="0.2">
      <c r="A61" s="2419" t="s">
        <v>697</v>
      </c>
      <c r="B61" s="2420"/>
      <c r="C61" s="2420"/>
      <c r="D61" s="1969">
        <v>2365</v>
      </c>
      <c r="E61" s="1979">
        <f>'Expenditures 15-22'!K323</f>
        <v>0</v>
      </c>
      <c r="F61" s="1974"/>
      <c r="G61" s="2033"/>
      <c r="H61" s="2034"/>
      <c r="I61" s="2034"/>
      <c r="J61" s="2034"/>
      <c r="K61" s="2034"/>
      <c r="L61" s="2034"/>
      <c r="M61" s="2034"/>
      <c r="N61" s="1977">
        <f t="shared" si="4"/>
        <v>0</v>
      </c>
    </row>
    <row r="62" spans="1:14" ht="24" customHeight="1" x14ac:dyDescent="0.2">
      <c r="A62" s="2419" t="s">
        <v>237</v>
      </c>
      <c r="B62" s="2420"/>
      <c r="C62" s="2420"/>
      <c r="D62" s="1969">
        <v>2366</v>
      </c>
      <c r="E62" s="1979">
        <f>'Expenditures 15-22'!K324</f>
        <v>0</v>
      </c>
      <c r="F62" s="1974"/>
      <c r="G62" s="2033"/>
      <c r="H62" s="2034"/>
      <c r="I62" s="2034"/>
      <c r="J62" s="2034"/>
      <c r="K62" s="2034"/>
      <c r="L62" s="2034"/>
      <c r="M62" s="2034"/>
      <c r="N62" s="1977">
        <f t="shared" si="4"/>
        <v>0</v>
      </c>
    </row>
    <row r="63" spans="1:14" ht="24" customHeight="1" x14ac:dyDescent="0.2">
      <c r="A63" s="2425" t="s">
        <v>1022</v>
      </c>
      <c r="B63" s="2426"/>
      <c r="C63" s="2426"/>
      <c r="D63" s="1969">
        <v>2367</v>
      </c>
      <c r="E63" s="1979">
        <f>'Expenditures 15-22'!K325</f>
        <v>87040</v>
      </c>
      <c r="F63" s="1974"/>
      <c r="G63" s="2033"/>
      <c r="H63" s="2034"/>
      <c r="I63" s="2034"/>
      <c r="J63" s="2034"/>
      <c r="K63" s="2034"/>
      <c r="L63" s="2034"/>
      <c r="M63" s="2034"/>
      <c r="N63" s="1977" t="str">
        <f t="shared" si="4"/>
        <v>Column N does not agree with Column E</v>
      </c>
    </row>
    <row r="64" spans="1:14" ht="24" customHeight="1" x14ac:dyDescent="0.2">
      <c r="A64" s="2419" t="s">
        <v>1023</v>
      </c>
      <c r="B64" s="2420"/>
      <c r="C64" s="2420"/>
      <c r="D64" s="1969">
        <v>2368</v>
      </c>
      <c r="E64" s="1979">
        <f>'Expenditures 15-22'!K326</f>
        <v>0</v>
      </c>
      <c r="F64" s="1974"/>
      <c r="G64" s="2033"/>
      <c r="H64" s="2034"/>
      <c r="I64" s="2034"/>
      <c r="J64" s="2034"/>
      <c r="K64" s="2034"/>
      <c r="L64" s="2034"/>
      <c r="M64" s="2034"/>
      <c r="N64" s="1977">
        <f t="shared" si="4"/>
        <v>0</v>
      </c>
    </row>
    <row r="65" spans="1:14" ht="24" customHeight="1" x14ac:dyDescent="0.2">
      <c r="A65" s="2419" t="s">
        <v>965</v>
      </c>
      <c r="B65" s="2420"/>
      <c r="C65" s="2420"/>
      <c r="D65" s="1969">
        <v>2369</v>
      </c>
      <c r="E65" s="1979">
        <f>'Expenditures 15-22'!K327</f>
        <v>0</v>
      </c>
      <c r="F65" s="1974"/>
      <c r="G65" s="2033"/>
      <c r="H65" s="2034"/>
      <c r="I65" s="2034"/>
      <c r="J65" s="2034"/>
      <c r="K65" s="2034"/>
      <c r="L65" s="2034"/>
      <c r="M65" s="2034"/>
      <c r="N65" s="1977">
        <f t="shared" si="4"/>
        <v>0</v>
      </c>
    </row>
    <row r="66" spans="1:14" ht="24" customHeight="1" x14ac:dyDescent="0.2">
      <c r="A66" s="2419" t="s">
        <v>469</v>
      </c>
      <c r="B66" s="2420"/>
      <c r="C66" s="2420"/>
      <c r="D66" s="1969">
        <v>2371</v>
      </c>
      <c r="E66" s="1979">
        <f>'Expenditures 15-22'!K328</f>
        <v>0</v>
      </c>
      <c r="F66" s="1974"/>
      <c r="G66" s="2033"/>
      <c r="H66" s="2034"/>
      <c r="I66" s="2034"/>
      <c r="J66" s="2034"/>
      <c r="K66" s="2034"/>
      <c r="L66" s="2034"/>
      <c r="M66" s="2034"/>
      <c r="N66" s="1977">
        <f t="shared" si="4"/>
        <v>0</v>
      </c>
    </row>
    <row r="67" spans="1:14" ht="24.75" customHeight="1" x14ac:dyDescent="0.2">
      <c r="A67" s="2421" t="s">
        <v>2042</v>
      </c>
      <c r="B67" s="2422"/>
      <c r="C67" s="2422"/>
      <c r="D67" s="1971">
        <v>2372</v>
      </c>
      <c r="E67" s="1980">
        <f>'Expenditures 15-22'!K329</f>
        <v>0</v>
      </c>
      <c r="F67" s="1974"/>
      <c r="G67" s="2035"/>
      <c r="H67" s="2036"/>
      <c r="I67" s="2036"/>
      <c r="J67" s="2036"/>
      <c r="K67" s="2036"/>
      <c r="L67" s="2036"/>
      <c r="M67" s="2036"/>
      <c r="N67" s="1977">
        <f t="shared" si="4"/>
        <v>0</v>
      </c>
    </row>
    <row r="68" spans="1:14" x14ac:dyDescent="0.2">
      <c r="A68" s="2423" t="s">
        <v>1151</v>
      </c>
      <c r="B68" s="2424"/>
      <c r="C68" s="2424"/>
      <c r="D68" s="1972"/>
      <c r="E68" s="1976">
        <f>SUM(E57:E67)</f>
        <v>107033</v>
      </c>
      <c r="F68" s="1975"/>
      <c r="G68" s="1976">
        <f t="shared" ref="G68:N68" si="5">SUM(G57:G67)</f>
        <v>0</v>
      </c>
      <c r="H68" s="1976">
        <f t="shared" si="5"/>
        <v>0</v>
      </c>
      <c r="I68" s="1976">
        <f t="shared" si="5"/>
        <v>0</v>
      </c>
      <c r="J68" s="1976">
        <f t="shared" si="5"/>
        <v>0</v>
      </c>
      <c r="K68" s="1976">
        <f t="shared" si="5"/>
        <v>0</v>
      </c>
      <c r="L68" s="1976">
        <f t="shared" si="5"/>
        <v>0</v>
      </c>
      <c r="M68" s="1976">
        <f t="shared" si="5"/>
        <v>0</v>
      </c>
      <c r="N68" s="1990">
        <f t="shared" si="5"/>
        <v>0</v>
      </c>
    </row>
    <row r="69" spans="1:14" x14ac:dyDescent="0.2">
      <c r="A69" s="1991"/>
      <c r="B69" s="1992"/>
      <c r="C69" s="1992"/>
      <c r="D69" s="1992"/>
      <c r="E69" s="1992"/>
      <c r="F69" s="1992"/>
      <c r="G69" s="1992"/>
      <c r="H69" s="1992"/>
      <c r="I69" s="1992"/>
      <c r="J69" s="1992"/>
      <c r="K69" s="1992"/>
      <c r="L69" s="1992"/>
      <c r="M69" s="1992"/>
      <c r="N69" s="1993"/>
    </row>
    <row r="70" spans="1:14" ht="15.75" x14ac:dyDescent="0.25">
      <c r="A70" s="2025" t="s">
        <v>2043</v>
      </c>
      <c r="B70" s="1992"/>
      <c r="C70" s="1992"/>
      <c r="D70" s="1992"/>
      <c r="E70" s="1992"/>
      <c r="F70" s="1992"/>
      <c r="G70" s="1992"/>
      <c r="H70" s="1992"/>
      <c r="I70" s="1992"/>
      <c r="J70" s="1992"/>
      <c r="K70" s="1992"/>
      <c r="L70" s="1992"/>
      <c r="M70" s="1992"/>
      <c r="N70" s="1993"/>
    </row>
    <row r="71" spans="1:14" x14ac:dyDescent="0.2">
      <c r="A71" s="1991"/>
      <c r="B71" s="1992"/>
      <c r="C71" s="1992"/>
      <c r="D71" s="1992"/>
      <c r="E71" s="1992"/>
      <c r="F71" s="1992"/>
      <c r="G71" s="1992"/>
      <c r="H71" s="1992"/>
      <c r="I71" s="1992"/>
      <c r="J71" s="1992"/>
      <c r="K71" s="1992"/>
      <c r="L71" s="1992"/>
      <c r="M71" s="1992"/>
      <c r="N71" s="1993"/>
    </row>
    <row r="72" spans="1:14" x14ac:dyDescent="0.2">
      <c r="A72" s="1991"/>
      <c r="B72" s="1992"/>
      <c r="C72" s="1992"/>
      <c r="D72" s="1992"/>
      <c r="E72" s="1992"/>
      <c r="F72" s="1992"/>
      <c r="G72" s="1992"/>
      <c r="H72" s="1992"/>
      <c r="I72" s="1992"/>
      <c r="J72" s="1992"/>
      <c r="K72" s="1992"/>
      <c r="L72" s="1992"/>
      <c r="M72" s="1992"/>
      <c r="N72" s="1993"/>
    </row>
    <row r="73" spans="1:14" x14ac:dyDescent="0.2">
      <c r="A73" s="1991"/>
      <c r="B73" s="1992"/>
      <c r="C73" s="1992"/>
      <c r="D73" s="1992"/>
      <c r="E73" s="1992"/>
      <c r="F73" s="1992"/>
      <c r="G73" s="1992"/>
      <c r="H73" s="1992"/>
      <c r="I73" s="1992"/>
      <c r="J73" s="1992"/>
      <c r="K73" s="1992"/>
      <c r="L73" s="1992"/>
      <c r="M73" s="1992"/>
      <c r="N73" s="1993"/>
    </row>
    <row r="74" spans="1:14" x14ac:dyDescent="0.2">
      <c r="A74" s="1991"/>
      <c r="B74" s="1992"/>
      <c r="C74" s="1992"/>
      <c r="D74" s="1992"/>
      <c r="E74" s="1992"/>
      <c r="F74" s="1992"/>
      <c r="G74" s="1992"/>
      <c r="H74" s="1992"/>
      <c r="I74" s="1992"/>
      <c r="J74" s="1992"/>
      <c r="K74" s="1992"/>
      <c r="L74" s="1992"/>
      <c r="M74" s="1992"/>
      <c r="N74" s="1993"/>
    </row>
    <row r="75" spans="1:14" x14ac:dyDescent="0.2">
      <c r="A75" s="1991"/>
      <c r="B75" s="1992"/>
      <c r="C75" s="1992"/>
      <c r="D75" s="1992"/>
      <c r="E75" s="1992"/>
      <c r="F75" s="1992"/>
      <c r="G75" s="1992"/>
      <c r="H75" s="1992"/>
      <c r="I75" s="1992"/>
      <c r="J75" s="1992"/>
      <c r="K75" s="1992"/>
      <c r="L75" s="1992"/>
      <c r="M75" s="1992"/>
      <c r="N75" s="1993"/>
    </row>
    <row r="76" spans="1:14" x14ac:dyDescent="0.2">
      <c r="A76" s="1991"/>
      <c r="B76" s="1992"/>
      <c r="C76" s="1992"/>
      <c r="D76" s="1992"/>
      <c r="E76" s="1992"/>
      <c r="F76" s="1992"/>
      <c r="G76" s="1992"/>
      <c r="H76" s="1992"/>
      <c r="I76" s="1992"/>
      <c r="J76" s="1992"/>
      <c r="K76" s="1992"/>
      <c r="L76" s="1992"/>
      <c r="M76" s="1992"/>
      <c r="N76" s="1993"/>
    </row>
    <row r="77" spans="1:14" x14ac:dyDescent="0.2">
      <c r="A77" s="1991"/>
      <c r="B77" s="1992"/>
      <c r="C77" s="1992"/>
      <c r="D77" s="1992"/>
      <c r="E77" s="1992"/>
      <c r="F77" s="1992"/>
      <c r="G77" s="1992"/>
      <c r="H77" s="1992"/>
      <c r="I77" s="1992"/>
      <c r="J77" s="1992"/>
      <c r="K77" s="1992"/>
      <c r="L77" s="1992"/>
      <c r="M77" s="1992"/>
      <c r="N77" s="1993"/>
    </row>
    <row r="78" spans="1:14" x14ac:dyDescent="0.2">
      <c r="A78" s="1991"/>
      <c r="B78" s="1992"/>
      <c r="C78" s="1992"/>
      <c r="D78" s="1992"/>
      <c r="E78" s="1992"/>
      <c r="F78" s="1992"/>
      <c r="G78" s="1992"/>
      <c r="H78" s="1992"/>
      <c r="I78" s="1992"/>
      <c r="J78" s="1992"/>
      <c r="K78" s="1992"/>
      <c r="L78" s="1992"/>
      <c r="M78" s="1992"/>
      <c r="N78" s="1993"/>
    </row>
    <row r="79" spans="1:14" x14ac:dyDescent="0.2">
      <c r="A79" s="1991"/>
      <c r="B79" s="1992"/>
      <c r="C79" s="1992"/>
      <c r="D79" s="1992"/>
      <c r="E79" s="1992"/>
      <c r="F79" s="1992"/>
      <c r="G79" s="1992"/>
      <c r="H79" s="1992"/>
      <c r="I79" s="1992"/>
      <c r="J79" s="1992"/>
      <c r="K79" s="1992"/>
      <c r="L79" s="1992"/>
      <c r="M79" s="1992"/>
      <c r="N79" s="1993"/>
    </row>
    <row r="80" spans="1:14" x14ac:dyDescent="0.2">
      <c r="A80" s="1991"/>
      <c r="B80" s="1992"/>
      <c r="C80" s="1992"/>
      <c r="D80" s="1992"/>
      <c r="E80" s="1992"/>
      <c r="F80" s="1992"/>
      <c r="G80" s="1992"/>
      <c r="H80" s="1992"/>
      <c r="I80" s="1992"/>
      <c r="J80" s="1992"/>
      <c r="K80" s="1992"/>
      <c r="L80" s="1992"/>
      <c r="M80" s="1992"/>
      <c r="N80" s="1993"/>
    </row>
    <row r="81" spans="1:14" x14ac:dyDescent="0.2">
      <c r="A81" s="1991"/>
      <c r="B81" s="1992"/>
      <c r="C81" s="1992"/>
      <c r="D81" s="1992"/>
      <c r="E81" s="1992"/>
      <c r="F81" s="1992"/>
      <c r="G81" s="1992"/>
      <c r="H81" s="1992"/>
      <c r="I81" s="1992"/>
      <c r="J81" s="1992"/>
      <c r="K81" s="1992"/>
      <c r="L81" s="1992"/>
      <c r="M81" s="1992"/>
      <c r="N81" s="1993"/>
    </row>
    <row r="82" spans="1:14" x14ac:dyDescent="0.2">
      <c r="A82" s="1991"/>
      <c r="B82" s="1992"/>
      <c r="C82" s="1992"/>
      <c r="D82" s="1992"/>
      <c r="E82" s="1992"/>
      <c r="F82" s="1992"/>
      <c r="G82" s="1992"/>
      <c r="H82" s="1992"/>
      <c r="I82" s="1992"/>
      <c r="J82" s="1992"/>
      <c r="K82" s="1992"/>
      <c r="L82" s="1992"/>
      <c r="M82" s="1992"/>
      <c r="N82" s="1993"/>
    </row>
    <row r="83" spans="1:14" ht="13.5" thickBot="1" x14ac:dyDescent="0.25">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2072</v>
      </c>
    </row>
    <row r="6" spans="1:2" x14ac:dyDescent="0.2">
      <c r="A6" s="847">
        <v>2</v>
      </c>
      <c r="B6" s="307" t="s">
        <v>2073</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Tamaroa SD 5</v>
      </c>
    </row>
    <row r="65" spans="2:2" x14ac:dyDescent="0.2">
      <c r="B65" s="849">
        <f>COVER!A13</f>
        <v>30073005002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C16" sqref="C16:F1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6" sqref="G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11" shapeId="43009" r:id="rId4">
          <objectPr defaultSize="0" autoPict="0" r:id="rId5">
            <anchor moveWithCells="1">
              <from>
                <xdr:col>1</xdr:col>
                <xdr:colOff>171450</xdr:colOff>
                <xdr:row>1</xdr:row>
                <xdr:rowOff>104775</xdr:rowOff>
              </from>
              <to>
                <xdr:col>1</xdr:col>
                <xdr:colOff>1200150</xdr:colOff>
                <xdr:row>9</xdr:row>
                <xdr:rowOff>142875</xdr:rowOff>
              </to>
            </anchor>
          </objectPr>
        </oleObject>
      </mc:Choice>
      <mc:Fallback>
        <oleObject progId="Acrobat.Document.11"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965361</v>
      </c>
      <c r="C8" s="1813">
        <f>'Acct Summary 7-8'!D8</f>
        <v>97631</v>
      </c>
      <c r="D8" s="1813">
        <f>'Acct Summary 7-8'!F8</f>
        <v>89426</v>
      </c>
      <c r="E8" s="1813">
        <f>'Acct Summary 7-8'!I8</f>
        <v>4114</v>
      </c>
      <c r="F8" s="1813">
        <f>SUM(B8:E8)</f>
        <v>1156532</v>
      </c>
    </row>
    <row r="9" spans="1:8" s="858" customFormat="1" ht="14.25" customHeight="1" thickBot="1" x14ac:dyDescent="0.25">
      <c r="A9" s="857" t="s">
        <v>1353</v>
      </c>
      <c r="B9" s="1814">
        <f>'Acct Summary 7-8'!C17</f>
        <v>904548</v>
      </c>
      <c r="C9" s="1814">
        <f>'Acct Summary 7-8'!D17</f>
        <v>91285</v>
      </c>
      <c r="D9" s="1814">
        <f>'Acct Summary 7-8'!F17</f>
        <v>82314</v>
      </c>
      <c r="E9" s="1813"/>
      <c r="F9" s="1813">
        <f>SUM(B9:E9)</f>
        <v>1078147</v>
      </c>
    </row>
    <row r="10" spans="1:8" s="858" customFormat="1" ht="14.25" thickTop="1" thickBot="1" x14ac:dyDescent="0.25">
      <c r="A10" s="859" t="s">
        <v>1354</v>
      </c>
      <c r="B10" s="1815">
        <f>(B8-B9)</f>
        <v>60813</v>
      </c>
      <c r="C10" s="1815">
        <f>(C8-C9)</f>
        <v>6346</v>
      </c>
      <c r="D10" s="1815">
        <f>(D8-D9)</f>
        <v>7112</v>
      </c>
      <c r="E10" s="1814">
        <f>(E8-E9)</f>
        <v>4114</v>
      </c>
      <c r="F10" s="1816">
        <f>SUM(F8-F9)</f>
        <v>78385</v>
      </c>
    </row>
    <row r="11" spans="1:8" s="858" customFormat="1" ht="14.25" thickTop="1" thickBot="1" x14ac:dyDescent="0.25">
      <c r="A11" s="860" t="s">
        <v>1903</v>
      </c>
      <c r="B11" s="1817">
        <f>'Acct Summary 7-8'!C81</f>
        <v>219601</v>
      </c>
      <c r="C11" s="1817">
        <f>'Acct Summary 7-8'!D81</f>
        <v>14453</v>
      </c>
      <c r="D11" s="1817">
        <f>'Acct Summary 7-8'!F81</f>
        <v>37702</v>
      </c>
      <c r="E11" s="1817">
        <f>'Acct Summary 7-8'!I81</f>
        <v>0</v>
      </c>
      <c r="F11" s="1818">
        <f>SUM(B11:E11)</f>
        <v>271756</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8" colorId="8" zoomScale="110" zoomScaleNormal="110" workbookViewId="0">
      <selection activeCell="D32" sqref="D3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30073005002</v>
      </c>
      <c r="E2" s="1542">
        <v>2020</v>
      </c>
      <c r="F2" s="1542">
        <v>1</v>
      </c>
      <c r="G2" s="1899">
        <v>101000300</v>
      </c>
    </row>
    <row r="3" spans="1:7" ht="15" x14ac:dyDescent="0.25">
      <c r="A3" t="s">
        <v>950</v>
      </c>
      <c r="B3" s="135" t="str">
        <f>COVER!A15</f>
        <v>PERRY</v>
      </c>
      <c r="E3" s="1830" t="s">
        <v>1971</v>
      </c>
      <c r="F3" s="1830" t="s">
        <v>1970</v>
      </c>
      <c r="G3" s="1899">
        <v>101000400</v>
      </c>
    </row>
    <row r="4" spans="1:7" ht="15" x14ac:dyDescent="0.25">
      <c r="A4" t="s">
        <v>1000</v>
      </c>
      <c r="B4" s="135" t="str">
        <f>COVER!A17</f>
        <v xml:space="preserve"> Tamaroa SD 5</v>
      </c>
      <c r="E4" s="1828">
        <v>44119</v>
      </c>
      <c r="F4" s="1829">
        <v>44151</v>
      </c>
      <c r="G4" s="1899">
        <v>101000600</v>
      </c>
    </row>
    <row r="5" spans="1:7" ht="15" x14ac:dyDescent="0.25">
      <c r="A5" t="s">
        <v>699</v>
      </c>
      <c r="B5" s="135">
        <f>COVER!A38</f>
        <v>0</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t="str">
        <f>COVER!B6</f>
        <v xml:space="preserve"> </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066-005025</v>
      </c>
      <c r="G15" s="1899">
        <v>402100400</v>
      </c>
    </row>
    <row r="16" spans="1:7" ht="15" x14ac:dyDescent="0.25">
      <c r="A16" t="s">
        <v>419</v>
      </c>
      <c r="B16" s="135" t="str">
        <f>COVER!T13</f>
        <v>FICK, EGGEMEYER, AND WILLIAMSON CPAS</v>
      </c>
      <c r="G16" s="1899">
        <v>402100600</v>
      </c>
    </row>
    <row r="17" spans="1:7" ht="15" x14ac:dyDescent="0.25">
      <c r="A17" t="s">
        <v>878</v>
      </c>
      <c r="B17" s="135" t="str">
        <f>COVER!T15</f>
        <v>JENNIFER HEIM</v>
      </c>
      <c r="G17" s="1899">
        <v>402100800</v>
      </c>
    </row>
    <row r="18" spans="1:7" ht="15" x14ac:dyDescent="0.25">
      <c r="A18" t="s">
        <v>1140</v>
      </c>
      <c r="B18" s="135" t="str">
        <f>COVER!T17</f>
        <v>205 S. MAIN STREET</v>
      </c>
      <c r="G18" s="1899">
        <v>102200300</v>
      </c>
    </row>
    <row r="19" spans="1:7" ht="15" x14ac:dyDescent="0.25">
      <c r="A19" t="s">
        <v>880</v>
      </c>
      <c r="B19" s="135" t="str">
        <f>COVER!T25</f>
        <v>jennifer@afewcpas.com</v>
      </c>
      <c r="G19" s="1899">
        <v>102200400</v>
      </c>
    </row>
    <row r="20" spans="1:7" ht="15" x14ac:dyDescent="0.25">
      <c r="A20" t="s">
        <v>881</v>
      </c>
      <c r="B20" s="135" t="str">
        <f>COVER!T19</f>
        <v>COLUMBIA</v>
      </c>
      <c r="G20" s="1899">
        <v>102200600</v>
      </c>
    </row>
    <row r="21" spans="1:7" ht="15" x14ac:dyDescent="0.25">
      <c r="A21" t="s">
        <v>476</v>
      </c>
      <c r="B21" s="135" t="str">
        <f>COVER!X19</f>
        <v>IL</v>
      </c>
      <c r="G21" s="1899">
        <v>102200800</v>
      </c>
    </row>
    <row r="22" spans="1:7" ht="15" x14ac:dyDescent="0.25">
      <c r="A22" t="s">
        <v>882</v>
      </c>
      <c r="B22" s="135">
        <f>COVER!Z19</f>
        <v>62236</v>
      </c>
      <c r="G22" s="1899">
        <v>102300300</v>
      </c>
    </row>
    <row r="23" spans="1:7" ht="15" x14ac:dyDescent="0.25">
      <c r="A23" t="s">
        <v>1142</v>
      </c>
      <c r="B23" s="135" t="str">
        <f>COVER!T21</f>
        <v>314-845-7999</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219601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219601</v>
      </c>
      <c r="D92" s="2" t="str">
        <f t="shared" si="0"/>
        <v>Error?</v>
      </c>
      <c r="G92" s="1899">
        <v>102640600</v>
      </c>
    </row>
    <row r="93" spans="1:7" ht="15" x14ac:dyDescent="0.25">
      <c r="A93" s="5">
        <v>32</v>
      </c>
      <c r="B93" s="1832">
        <f>'Assets-Liab 5-6'!C41</f>
        <v>219601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20461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6008</v>
      </c>
      <c r="C122" s="2" t="s">
        <v>569</v>
      </c>
      <c r="D122" s="2" t="str">
        <f t="shared" si="0"/>
        <v>Error?</v>
      </c>
      <c r="G122" s="1899">
        <v>203000300</v>
      </c>
    </row>
    <row r="123" spans="1:7" ht="15" x14ac:dyDescent="0.25">
      <c r="A123" s="5">
        <v>62</v>
      </c>
      <c r="B123" s="1832">
        <f>'Assets-Liab 5-6'!D39</f>
        <v>14453</v>
      </c>
      <c r="D123" s="2" t="str">
        <f t="shared" si="0"/>
        <v>Error?</v>
      </c>
      <c r="G123" s="1899">
        <v>203000400</v>
      </c>
    </row>
    <row r="124" spans="1:7" ht="15" x14ac:dyDescent="0.25">
      <c r="A124" s="5">
        <v>63</v>
      </c>
      <c r="B124" s="1832">
        <f>'Assets-Liab 5-6'!D41</f>
        <v>20461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1086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1086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37702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37702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18585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6472</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18585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23029</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23029</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1000</v>
      </c>
      <c r="D273" s="2" t="str">
        <f t="shared" si="3"/>
        <v>Error?</v>
      </c>
    </row>
    <row r="274" spans="1:4" x14ac:dyDescent="0.2">
      <c r="A274" s="5">
        <v>213</v>
      </c>
      <c r="B274" s="1832">
        <f>'Assets-Liab 5-6'!M17</f>
        <v>447475</v>
      </c>
      <c r="D274" s="2" t="str">
        <f t="shared" si="3"/>
        <v>Error?</v>
      </c>
    </row>
    <row r="275" spans="1:4" x14ac:dyDescent="0.2">
      <c r="A275" s="5">
        <v>214</v>
      </c>
      <c r="B275" s="1832">
        <f>'Assets-Liab 5-6'!M18</f>
        <v>0</v>
      </c>
      <c r="D275" s="2" t="str">
        <f t="shared" si="3"/>
        <v>Error?</v>
      </c>
    </row>
    <row r="276" spans="1:4" x14ac:dyDescent="0.2">
      <c r="A276" s="5">
        <v>215</v>
      </c>
      <c r="B276" s="1832">
        <f>'Assets-Liab 5-6'!M19</f>
        <v>21201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478752</v>
      </c>
      <c r="C279" s="2" t="s">
        <v>569</v>
      </c>
      <c r="D279" s="2" t="str">
        <f t="shared" si="3"/>
        <v>Error?</v>
      </c>
    </row>
    <row r="280" spans="1:4" x14ac:dyDescent="0.2">
      <c r="A280" s="5">
        <v>219</v>
      </c>
      <c r="B280" s="1832">
        <f>'Assets-Liab 5-6'!M40</f>
        <v>478752</v>
      </c>
      <c r="D280" s="2" t="str">
        <f t="shared" si="3"/>
        <v>Error?</v>
      </c>
    </row>
    <row r="281" spans="1:4" x14ac:dyDescent="0.2">
      <c r="A281" s="5">
        <v>220</v>
      </c>
      <c r="B281" s="1832">
        <f>'Assets-Liab 5-6'!M41</f>
        <v>478752</v>
      </c>
      <c r="C281" s="2" t="s">
        <v>569</v>
      </c>
      <c r="D281" s="2" t="str">
        <f t="shared" si="3"/>
        <v>Error?</v>
      </c>
    </row>
    <row r="282" spans="1:4" x14ac:dyDescent="0.2">
      <c r="A282" s="5">
        <v>221</v>
      </c>
      <c r="B282" s="1832">
        <f>'Assets-Liab 5-6'!N21</f>
        <v>1086</v>
      </c>
      <c r="D282" s="2" t="str">
        <f t="shared" si="3"/>
        <v>Error?</v>
      </c>
    </row>
    <row r="283" spans="1:4" x14ac:dyDescent="0.2">
      <c r="A283" s="5">
        <v>222</v>
      </c>
      <c r="B283" s="1832">
        <f>'Assets-Liab 5-6'!N22</f>
        <v>219914</v>
      </c>
      <c r="D283" s="2" t="str">
        <f t="shared" si="3"/>
        <v>Error?</v>
      </c>
    </row>
    <row r="284" spans="1:4" x14ac:dyDescent="0.2">
      <c r="A284" s="5">
        <v>223</v>
      </c>
      <c r="B284" s="1832">
        <f>'Assets-Liab 5-6'!N23</f>
        <v>221000</v>
      </c>
      <c r="C284" s="2" t="s">
        <v>569</v>
      </c>
      <c r="D284" s="2" t="str">
        <f t="shared" si="3"/>
        <v>Error?</v>
      </c>
    </row>
    <row r="285" spans="1:4" x14ac:dyDescent="0.2">
      <c r="A285" s="5">
        <v>224</v>
      </c>
      <c r="B285" s="1832">
        <f>'Assets-Liab 5-6'!N36</f>
        <v>221000</v>
      </c>
      <c r="D285" s="2" t="str">
        <f t="shared" si="3"/>
        <v>Error?</v>
      </c>
    </row>
    <row r="286" spans="1:4" x14ac:dyDescent="0.2">
      <c r="A286" s="10">
        <v>225</v>
      </c>
      <c r="B286" s="1832"/>
      <c r="D286" s="2" t="str">
        <f t="shared" si="3"/>
        <v>OK</v>
      </c>
    </row>
    <row r="287" spans="1:4" x14ac:dyDescent="0.2">
      <c r="A287" s="5">
        <v>226</v>
      </c>
      <c r="B287" s="1832">
        <f>'Assets-Liab 5-6'!N37</f>
        <v>221000</v>
      </c>
      <c r="C287" s="2" t="s">
        <v>569</v>
      </c>
      <c r="D287" s="2" t="str">
        <f t="shared" si="3"/>
        <v>Error?</v>
      </c>
    </row>
    <row r="288" spans="1:4" x14ac:dyDescent="0.2">
      <c r="A288" s="5">
        <v>227</v>
      </c>
      <c r="B288" s="1832">
        <f>'Assets-Liab 5-6'!N41</f>
        <v>221000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22529</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364617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421555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23381</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23381</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70400</v>
      </c>
      <c r="D733" s="2" t="str">
        <f t="shared" si="10"/>
        <v>Error?</v>
      </c>
    </row>
    <row r="734" spans="1:4" x14ac:dyDescent="0.2">
      <c r="A734" s="5">
        <v>673</v>
      </c>
      <c r="B734" s="1832">
        <f>'Expenditures 15-22'!C53</f>
        <v>70400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27609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23584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51193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144974</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566529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78492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6295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94000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2258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2258</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9826</v>
      </c>
      <c r="D791" s="2" t="str">
        <f t="shared" si="11"/>
        <v>Error?</v>
      </c>
    </row>
    <row r="792" spans="1:4" x14ac:dyDescent="0.2">
      <c r="A792" s="5">
        <v>731</v>
      </c>
      <c r="B792" s="1832">
        <f>'Expenditures 15-22'!D53</f>
        <v>9826</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12084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106084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3295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768</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768</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4433</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4433</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396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396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5597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121291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9042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23801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604</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604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132</v>
      </c>
      <c r="D907" s="2" t="str">
        <f t="shared" si="13"/>
        <v>Error?</v>
      </c>
    </row>
    <row r="908" spans="1:4" x14ac:dyDescent="0.2">
      <c r="A908" s="5">
        <v>847</v>
      </c>
      <c r="B908" s="1832">
        <f>'Expenditures 15-22'!F53</f>
        <v>132</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3430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32789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36219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36955</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60756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14675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14675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4499</v>
      </c>
      <c r="D1023" s="2" t="str">
        <f t="shared" ref="D1023:D1086" si="15">IF(ISBLANK(B1023),"OK",IF(A1023-B1023=0,"OK","Error?"))</f>
        <v>Error?</v>
      </c>
    </row>
    <row r="1024" spans="1:4" x14ac:dyDescent="0.2">
      <c r="A1024" s="5">
        <v>963</v>
      </c>
      <c r="B1024" s="1832">
        <f>'Expenditures 15-22'!H53</f>
        <v>4499</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26180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295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26475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30974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4239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49888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466826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6295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557326</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24149</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2862</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27011</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0</v>
      </c>
      <c r="C1119" s="2" t="s">
        <v>569</v>
      </c>
      <c r="D1119" s="2" t="str">
        <f t="shared" si="16"/>
        <v>Error?</v>
      </c>
    </row>
    <row r="1120" spans="1:4" x14ac:dyDescent="0.2">
      <c r="A1120" s="5">
        <v>1059</v>
      </c>
      <c r="B1120" s="1832">
        <f>'Expenditures 15-22'!K49</f>
        <v>4433</v>
      </c>
      <c r="C1120" s="2" t="s">
        <v>569</v>
      </c>
      <c r="D1120" s="2" t="str">
        <f t="shared" si="16"/>
        <v>Error?</v>
      </c>
    </row>
    <row r="1121" spans="1:4" x14ac:dyDescent="0.2">
      <c r="A1121" s="5">
        <v>1060</v>
      </c>
      <c r="B1121" s="1832">
        <f>'Expenditures 15-22'!K50</f>
        <v>84857</v>
      </c>
      <c r="C1121" s="2" t="s">
        <v>569</v>
      </c>
      <c r="D1121" s="2" t="str">
        <f t="shared" si="16"/>
        <v>Error?</v>
      </c>
    </row>
    <row r="1122" spans="1:4" x14ac:dyDescent="0.2">
      <c r="A1122" s="5">
        <v>1061</v>
      </c>
      <c r="B1122" s="1832">
        <f>'Expenditures 15-22'!K53</f>
        <v>89290</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57615</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56668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114283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230584</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116638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904548</v>
      </c>
      <c r="C1152" s="2" t="s">
        <v>569</v>
      </c>
      <c r="D1152" s="2" t="str">
        <f t="shared" si="17"/>
        <v>Error?</v>
      </c>
    </row>
    <row r="1153" spans="1:4" x14ac:dyDescent="0.2">
      <c r="A1153" s="5">
        <v>1092</v>
      </c>
      <c r="B1153" s="1832">
        <f>'Expenditures 15-22'!K115</f>
        <v>60813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20866</v>
      </c>
      <c r="D1221" s="2" t="str">
        <f t="shared" si="18"/>
        <v>Error?</v>
      </c>
    </row>
    <row r="1222" spans="1:4" x14ac:dyDescent="0.2">
      <c r="A1222" s="10">
        <v>1161</v>
      </c>
      <c r="B1222" s="1832"/>
      <c r="D1222" s="2" t="str">
        <f t="shared" si="18"/>
        <v>OK</v>
      </c>
    </row>
    <row r="1223" spans="1:4" x14ac:dyDescent="0.2">
      <c r="A1223" s="5">
        <v>1162</v>
      </c>
      <c r="B1223" s="1832">
        <f>'Expenditures 15-22'!C127</f>
        <v>20866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20866</v>
      </c>
      <c r="C1225" s="2" t="s">
        <v>569</v>
      </c>
      <c r="D1225" s="2" t="str">
        <f t="shared" si="18"/>
        <v>Error?</v>
      </c>
    </row>
    <row r="1226" spans="1:4" x14ac:dyDescent="0.2">
      <c r="A1226" s="5">
        <v>1165</v>
      </c>
      <c r="B1226" s="1832">
        <f>'Expenditures 15-22'!C151</f>
        <v>20866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62251</v>
      </c>
      <c r="D1237" s="2" t="str">
        <f t="shared" si="18"/>
        <v>Error?</v>
      </c>
    </row>
    <row r="1238" spans="1:4" x14ac:dyDescent="0.2">
      <c r="A1238" s="10">
        <v>1177</v>
      </c>
      <c r="B1238" s="1832"/>
      <c r="D1238" s="2" t="str">
        <f t="shared" si="18"/>
        <v>OK</v>
      </c>
    </row>
    <row r="1239" spans="1:4" x14ac:dyDescent="0.2">
      <c r="A1239" s="5">
        <v>1178</v>
      </c>
      <c r="B1239" s="1832">
        <f>'Expenditures 15-22'!E127</f>
        <v>62251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62251</v>
      </c>
      <c r="C1241" s="2" t="s">
        <v>569</v>
      </c>
      <c r="D1241" s="2" t="str">
        <f t="shared" si="18"/>
        <v>Error?</v>
      </c>
    </row>
    <row r="1242" spans="1:4" x14ac:dyDescent="0.2">
      <c r="A1242" s="5">
        <v>1181</v>
      </c>
      <c r="B1242" s="1832">
        <f>'Expenditures 15-22'!E151</f>
        <v>62251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8168</v>
      </c>
      <c r="D1245" s="2" t="str">
        <f t="shared" si="18"/>
        <v>Error?</v>
      </c>
    </row>
    <row r="1246" spans="1:4" x14ac:dyDescent="0.2">
      <c r="A1246" s="10">
        <v>1185</v>
      </c>
      <c r="B1246" s="1832"/>
      <c r="D1246" s="2" t="str">
        <f t="shared" si="18"/>
        <v>OK</v>
      </c>
    </row>
    <row r="1247" spans="1:4" x14ac:dyDescent="0.2">
      <c r="A1247" s="5">
        <v>1186</v>
      </c>
      <c r="B1247" s="1832">
        <f>'Expenditures 15-22'!F127</f>
        <v>8168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8168</v>
      </c>
      <c r="C1249" s="2" t="s">
        <v>569</v>
      </c>
      <c r="D1249" s="2" t="str">
        <f t="shared" si="18"/>
        <v>Error?</v>
      </c>
    </row>
    <row r="1250" spans="1:4" x14ac:dyDescent="0.2">
      <c r="A1250" s="5">
        <v>1189</v>
      </c>
      <c r="B1250" s="1832">
        <f>'Expenditures 15-22'!F151</f>
        <v>8168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91285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91285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91285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91285</v>
      </c>
      <c r="C1288" s="2" t="s">
        <v>569</v>
      </c>
      <c r="D1288" s="2" t="str">
        <f t="shared" si="19"/>
        <v>Error?</v>
      </c>
    </row>
    <row r="1289" spans="1:4" x14ac:dyDescent="0.2">
      <c r="A1289" s="5">
        <v>1228</v>
      </c>
      <c r="B1289" s="1832">
        <f>'Expenditures 15-22'!K152</f>
        <v>6346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10876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45876</v>
      </c>
      <c r="C1317" s="2" t="s">
        <v>569</v>
      </c>
      <c r="D1317" s="2" t="str">
        <f t="shared" si="19"/>
        <v>Error?</v>
      </c>
    </row>
    <row r="1318" spans="1:4" x14ac:dyDescent="0.2">
      <c r="A1318" s="5">
        <v>1257</v>
      </c>
      <c r="B1318" s="1832">
        <f>'Expenditures 15-22'!H174</f>
        <v>45876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10876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35000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45876</v>
      </c>
      <c r="C1331" s="2" t="s">
        <v>569</v>
      </c>
      <c r="D1331" s="2" t="str">
        <f t="shared" si="19"/>
        <v>Error?</v>
      </c>
    </row>
    <row r="1332" spans="1:4" x14ac:dyDescent="0.2">
      <c r="A1332" s="5">
        <v>1271</v>
      </c>
      <c r="B1332" s="1832">
        <f>'Expenditures 15-22'!K174</f>
        <v>45876</v>
      </c>
      <c r="C1332" s="2" t="s">
        <v>569</v>
      </c>
      <c r="D1332" s="2" t="str">
        <f t="shared" si="19"/>
        <v>Error?</v>
      </c>
    </row>
    <row r="1333" spans="1:4" x14ac:dyDescent="0.2">
      <c r="A1333" s="5">
        <v>1272</v>
      </c>
      <c r="B1333" s="1832">
        <f>'Expenditures 15-22'!K175</f>
        <v>1086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73302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73302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73302</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9012</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9012</v>
      </c>
      <c r="C1364" s="2" t="s">
        <v>569</v>
      </c>
      <c r="D1364" s="2" t="str">
        <f t="shared" si="20"/>
        <v>Error?</v>
      </c>
    </row>
    <row r="1365" spans="1:4" x14ac:dyDescent="0.2">
      <c r="A1365" s="5">
        <v>1304</v>
      </c>
      <c r="B1365" s="1832">
        <f>'Expenditures 15-22'!G210</f>
        <v>9012</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82314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82314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82314</v>
      </c>
      <c r="C1388" s="2" t="s">
        <v>569</v>
      </c>
      <c r="D1388" s="2" t="str">
        <f t="shared" si="20"/>
        <v>Error?</v>
      </c>
    </row>
    <row r="1389" spans="1:4" x14ac:dyDescent="0.2">
      <c r="A1389" s="5">
        <v>1328</v>
      </c>
      <c r="B1389" s="1832">
        <f>'Expenditures 15-22'!K211</f>
        <v>7112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14675</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340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340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1276</v>
      </c>
      <c r="D1423" s="2" t="str">
        <f t="shared" si="21"/>
        <v>Error?</v>
      </c>
    </row>
    <row r="1424" spans="1:4" x14ac:dyDescent="0.2">
      <c r="A1424" s="5">
        <v>1363</v>
      </c>
      <c r="B1424" s="1832">
        <f>'Expenditures 15-22'!D257</f>
        <v>1276</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5826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6985</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5698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18509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20125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34800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14675</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340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340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1276</v>
      </c>
      <c r="C1487" s="2" t="s">
        <v>569</v>
      </c>
      <c r="D1487" s="2" t="str">
        <f t="shared" si="22"/>
        <v>Error?</v>
      </c>
    </row>
    <row r="1488" spans="1:4" x14ac:dyDescent="0.2">
      <c r="A1488" s="5">
        <v>1427</v>
      </c>
      <c r="B1488" s="1832">
        <f>'Expenditures 15-22'!K257</f>
        <v>1276</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5826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6985</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5698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18509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20125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34800</v>
      </c>
      <c r="C1517" s="2" t="s">
        <v>569</v>
      </c>
      <c r="D1517" s="2" t="str">
        <f t="shared" si="22"/>
        <v>Error?</v>
      </c>
    </row>
    <row r="1518" spans="1:4" x14ac:dyDescent="0.2">
      <c r="A1518" s="5">
        <v>1457</v>
      </c>
      <c r="B1518" s="1832">
        <f>'Expenditures 15-22'!K296</f>
        <v>1170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6998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136259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219601</v>
      </c>
      <c r="C1630" s="2" t="s">
        <v>569</v>
      </c>
      <c r="D1630" s="2" t="str">
        <f t="shared" si="24"/>
        <v>Error?</v>
      </c>
    </row>
    <row r="1631" spans="1:4" x14ac:dyDescent="0.2">
      <c r="A1631" s="5">
        <v>1570</v>
      </c>
      <c r="B1631" s="1832">
        <f>'Acct Summary 7-8'!D79</f>
        <v>8107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14453</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1086</v>
      </c>
      <c r="C1658" s="2" t="s">
        <v>569</v>
      </c>
      <c r="D1658" s="2" t="str">
        <f t="shared" si="24"/>
        <v>Error?</v>
      </c>
    </row>
    <row r="1659" spans="1:4" x14ac:dyDescent="0.2">
      <c r="A1659" s="5">
        <v>1598</v>
      </c>
      <c r="B1659" s="1832">
        <f>'Acct Summary 7-8'!F79</f>
        <v>30590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37702</v>
      </c>
      <c r="C1672" s="2" t="s">
        <v>569</v>
      </c>
      <c r="D1672" s="2" t="str">
        <f t="shared" si="25"/>
        <v>Error?</v>
      </c>
    </row>
    <row r="1673" spans="1:4" x14ac:dyDescent="0.2">
      <c r="A1673" s="5">
        <v>1612</v>
      </c>
      <c r="B1673" s="1832">
        <f>'Acct Summary 7-8'!G79</f>
        <v>10943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12113</v>
      </c>
      <c r="C1686" s="2" t="s">
        <v>569</v>
      </c>
      <c r="D1686" s="2" t="str">
        <f t="shared" si="25"/>
        <v>Error?</v>
      </c>
    </row>
    <row r="1687" spans="1:4" x14ac:dyDescent="0.2">
      <c r="A1687" s="5">
        <v>1626</v>
      </c>
      <c r="B1687" s="1832">
        <f>'Acct Summary 7-8'!H79</f>
        <v>16031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23029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123410</v>
      </c>
      <c r="C1744" s="2" t="s">
        <v>569</v>
      </c>
      <c r="D1744" s="2" t="str">
        <f t="shared" si="26"/>
        <v>Error?</v>
      </c>
    </row>
    <row r="1745" spans="1:5" x14ac:dyDescent="0.2">
      <c r="A1745" s="5">
        <v>1684</v>
      </c>
      <c r="B1745" s="1832">
        <f>'Tax Sched 23'!B5</f>
        <v>28796</v>
      </c>
      <c r="C1745" s="2" t="s">
        <v>569</v>
      </c>
      <c r="D1745" s="2" t="str">
        <f t="shared" si="26"/>
        <v>Error?</v>
      </c>
    </row>
    <row r="1746" spans="1:5" x14ac:dyDescent="0.2">
      <c r="A1746" s="5">
        <v>1685</v>
      </c>
      <c r="B1746" s="1832">
        <f>'Tax Sched 23'!B6</f>
        <v>13773</v>
      </c>
      <c r="C1746" s="2" t="s">
        <v>569</v>
      </c>
      <c r="D1746" s="2" t="str">
        <f t="shared" si="26"/>
        <v>Error?</v>
      </c>
    </row>
    <row r="1747" spans="1:5" x14ac:dyDescent="0.2">
      <c r="A1747" s="5">
        <v>1686</v>
      </c>
      <c r="B1747" s="1832">
        <f>'Tax Sched 23'!B7</f>
        <v>16455</v>
      </c>
      <c r="C1747" s="2" t="s">
        <v>569</v>
      </c>
      <c r="D1747" s="2" t="str">
        <f t="shared" si="26"/>
        <v>Error?</v>
      </c>
    </row>
    <row r="1748" spans="1:5" x14ac:dyDescent="0.2">
      <c r="A1748" s="5">
        <v>1687</v>
      </c>
      <c r="B1748" s="1832">
        <f>'Tax Sched 23'!B8</f>
        <v>16364</v>
      </c>
      <c r="C1748" s="2" t="s">
        <v>569</v>
      </c>
      <c r="D1748" s="2" t="str">
        <f t="shared" si="26"/>
        <v>Error?</v>
      </c>
    </row>
    <row r="1749" spans="1:5" x14ac:dyDescent="0.2">
      <c r="A1749" s="5">
        <v>1688</v>
      </c>
      <c r="B1749" s="1832">
        <f>'Tax Sched 23'!B10</f>
        <v>4114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60150</v>
      </c>
      <c r="C1752" s="2" t="s">
        <v>569</v>
      </c>
      <c r="D1752" s="2" t="str">
        <f t="shared" si="26"/>
        <v>Error?</v>
      </c>
    </row>
    <row r="1753" spans="1:5" x14ac:dyDescent="0.2">
      <c r="A1753" s="5">
        <v>1692</v>
      </c>
      <c r="B1753" s="1832">
        <f>'Tax Sched 23'!B12</f>
        <v>4114</v>
      </c>
      <c r="C1753" s="2" t="s">
        <v>569</v>
      </c>
      <c r="D1753" s="2" t="str">
        <f t="shared" si="26"/>
        <v>Error?</v>
      </c>
    </row>
    <row r="1754" spans="1:5" x14ac:dyDescent="0.2">
      <c r="A1754" s="5">
        <v>1693</v>
      </c>
      <c r="B1754" s="1832">
        <f>'Tax Sched 23'!B14</f>
        <v>1646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292542</v>
      </c>
      <c r="C1759" s="2" t="s">
        <v>569</v>
      </c>
      <c r="D1759" s="2" t="str">
        <f t="shared" si="26"/>
        <v>Error?</v>
      </c>
    </row>
    <row r="1760" spans="1:5" x14ac:dyDescent="0.2">
      <c r="A1760" s="5">
        <v>1699</v>
      </c>
      <c r="B1760" s="1832">
        <f>'Tax Sched 23'!D4</f>
        <v>123410</v>
      </c>
      <c r="C1760" s="2" t="s">
        <v>569</v>
      </c>
      <c r="D1760" s="2" t="str">
        <f t="shared" si="26"/>
        <v>Error?</v>
      </c>
    </row>
    <row r="1761" spans="1:7" x14ac:dyDescent="0.2">
      <c r="A1761" s="5">
        <v>1700</v>
      </c>
      <c r="B1761" s="1832">
        <f>'Tax Sched 23'!D5</f>
        <v>28796</v>
      </c>
      <c r="C1761" s="2" t="s">
        <v>569</v>
      </c>
      <c r="D1761" s="2" t="str">
        <f t="shared" si="26"/>
        <v>Error?</v>
      </c>
    </row>
    <row r="1762" spans="1:7" s="8" customFormat="1" x14ac:dyDescent="0.2">
      <c r="A1762" s="5">
        <v>1701</v>
      </c>
      <c r="B1762" s="1832">
        <f>'Tax Sched 23'!D6</f>
        <v>13773</v>
      </c>
      <c r="C1762" s="2" t="s">
        <v>569</v>
      </c>
      <c r="D1762" s="2" t="str">
        <f t="shared" si="26"/>
        <v>Error?</v>
      </c>
      <c r="E1762" s="9"/>
      <c r="G1762"/>
    </row>
    <row r="1763" spans="1:7" x14ac:dyDescent="0.2">
      <c r="A1763" s="5">
        <v>1702</v>
      </c>
      <c r="B1763" s="1832">
        <f>'Tax Sched 23'!D7</f>
        <v>16455</v>
      </c>
      <c r="C1763" s="2" t="s">
        <v>569</v>
      </c>
      <c r="D1763" s="2" t="str">
        <f t="shared" si="26"/>
        <v>Error?</v>
      </c>
    </row>
    <row r="1764" spans="1:7" x14ac:dyDescent="0.2">
      <c r="A1764" s="5">
        <v>1703</v>
      </c>
      <c r="B1764" s="1832">
        <f>'Tax Sched 23'!D8</f>
        <v>16364</v>
      </c>
      <c r="C1764" s="2" t="s">
        <v>569</v>
      </c>
      <c r="D1764" s="2" t="str">
        <f t="shared" si="26"/>
        <v>Error?</v>
      </c>
    </row>
    <row r="1765" spans="1:7" x14ac:dyDescent="0.2">
      <c r="A1765" s="5">
        <v>1704</v>
      </c>
      <c r="B1765" s="1832">
        <f>'Tax Sched 23'!D10</f>
        <v>4114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60150</v>
      </c>
      <c r="C1768" s="2" t="s">
        <v>569</v>
      </c>
      <c r="D1768" s="2" t="str">
        <f t="shared" si="26"/>
        <v>Error?</v>
      </c>
    </row>
    <row r="1769" spans="1:7" x14ac:dyDescent="0.2">
      <c r="A1769" s="5">
        <v>1708</v>
      </c>
      <c r="B1769" s="1832">
        <f>'Tax Sched 23'!D12</f>
        <v>4114</v>
      </c>
      <c r="C1769" s="2" t="s">
        <v>569</v>
      </c>
      <c r="D1769" s="2" t="str">
        <f t="shared" si="26"/>
        <v>Error?</v>
      </c>
    </row>
    <row r="1770" spans="1:7" x14ac:dyDescent="0.2">
      <c r="A1770" s="5">
        <v>1709</v>
      </c>
      <c r="B1770" s="1832">
        <f>'Tax Sched 23'!D14</f>
        <v>1646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292542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123488</v>
      </c>
      <c r="C1792" s="2" t="s">
        <v>569</v>
      </c>
      <c r="D1792" s="2" t="str">
        <f t="shared" si="27"/>
        <v>Error?</v>
      </c>
    </row>
    <row r="1793" spans="1:4" x14ac:dyDescent="0.2">
      <c r="A1793" s="5">
        <v>1732</v>
      </c>
      <c r="B1793" s="1832">
        <f>'Tax Sched 23'!F5</f>
        <v>28708</v>
      </c>
      <c r="C1793" s="2" t="s">
        <v>569</v>
      </c>
      <c r="D1793" s="2" t="str">
        <f t="shared" si="27"/>
        <v>Error?</v>
      </c>
    </row>
    <row r="1794" spans="1:4" x14ac:dyDescent="0.2">
      <c r="A1794" s="5">
        <v>1733</v>
      </c>
      <c r="B1794" s="1832">
        <f>'Tax Sched 23'!F6</f>
        <v>13267</v>
      </c>
      <c r="C1794" s="2" t="s">
        <v>569</v>
      </c>
      <c r="D1794" s="2" t="str">
        <f t="shared" si="27"/>
        <v>Error?</v>
      </c>
    </row>
    <row r="1795" spans="1:4" x14ac:dyDescent="0.2">
      <c r="A1795" s="5">
        <v>1734</v>
      </c>
      <c r="B1795" s="1832">
        <f>'Tax Sched 23'!F7</f>
        <v>16384</v>
      </c>
      <c r="C1795" s="2" t="s">
        <v>569</v>
      </c>
      <c r="D1795" s="2" t="str">
        <f t="shared" si="27"/>
        <v>Error?</v>
      </c>
    </row>
    <row r="1796" spans="1:4" x14ac:dyDescent="0.2">
      <c r="A1796" s="5">
        <v>1735</v>
      </c>
      <c r="B1796" s="1832">
        <f>'Tax Sched 23'!F8</f>
        <v>16331</v>
      </c>
      <c r="C1796" s="2" t="s">
        <v>569</v>
      </c>
      <c r="D1796" s="2" t="str">
        <f t="shared" si="27"/>
        <v>Error?</v>
      </c>
    </row>
    <row r="1797" spans="1:4" x14ac:dyDescent="0.2">
      <c r="A1797" s="5">
        <v>1736</v>
      </c>
      <c r="B1797" s="1832">
        <f>'Tax Sched 23'!F10</f>
        <v>4111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73651</v>
      </c>
      <c r="C1800" s="2" t="s">
        <v>569</v>
      </c>
      <c r="D1800" s="2" t="str">
        <f t="shared" si="27"/>
        <v>Error?</v>
      </c>
    </row>
    <row r="1801" spans="1:4" x14ac:dyDescent="0.2">
      <c r="A1801" s="5">
        <v>1740</v>
      </c>
      <c r="B1801" s="1832">
        <f>'Tax Sched 23'!F12</f>
        <v>4111</v>
      </c>
      <c r="C1801" s="2" t="s">
        <v>569</v>
      </c>
      <c r="D1801" s="2" t="str">
        <f t="shared" si="27"/>
        <v>Error?</v>
      </c>
    </row>
    <row r="1802" spans="1:4" x14ac:dyDescent="0.2">
      <c r="A1802" s="5">
        <v>1741</v>
      </c>
      <c r="B1802" s="1832">
        <f>'Tax Sched 23'!F14</f>
        <v>1648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305309</v>
      </c>
      <c r="C1807" s="2" t="s">
        <v>569</v>
      </c>
      <c r="D1807" s="2" t="str">
        <f t="shared" si="27"/>
        <v>Error?</v>
      </c>
    </row>
    <row r="1808" spans="1:4" x14ac:dyDescent="0.2">
      <c r="A1808" s="5">
        <v>1747</v>
      </c>
      <c r="B1808" s="1832">
        <f>'Tax Sched 23'!E4</f>
        <v>123488</v>
      </c>
      <c r="D1808" s="2" t="str">
        <f t="shared" si="27"/>
        <v>Error?</v>
      </c>
    </row>
    <row r="1809" spans="1:4" x14ac:dyDescent="0.2">
      <c r="A1809" s="5">
        <v>1748</v>
      </c>
      <c r="B1809" s="1832">
        <f>'Tax Sched 23'!E5</f>
        <v>28708</v>
      </c>
      <c r="D1809" s="2" t="str">
        <f t="shared" si="27"/>
        <v>Error?</v>
      </c>
    </row>
    <row r="1810" spans="1:4" x14ac:dyDescent="0.2">
      <c r="A1810" s="5">
        <v>1749</v>
      </c>
      <c r="B1810" s="1832">
        <f>'Tax Sched 23'!E6</f>
        <v>13267</v>
      </c>
      <c r="D1810" s="2" t="str">
        <f t="shared" si="27"/>
        <v>Error?</v>
      </c>
    </row>
    <row r="1811" spans="1:4" x14ac:dyDescent="0.2">
      <c r="A1811" s="5">
        <v>1750</v>
      </c>
      <c r="B1811" s="1832">
        <f>'Tax Sched 23'!E7</f>
        <v>16384</v>
      </c>
      <c r="D1811" s="2" t="str">
        <f t="shared" si="27"/>
        <v>Error?</v>
      </c>
    </row>
    <row r="1812" spans="1:4" x14ac:dyDescent="0.2">
      <c r="A1812" s="5">
        <v>1751</v>
      </c>
      <c r="B1812" s="1832">
        <f>'Tax Sched 23'!E8</f>
        <v>16331</v>
      </c>
      <c r="D1812" s="2" t="str">
        <f t="shared" si="27"/>
        <v>Error?</v>
      </c>
    </row>
    <row r="1813" spans="1:4" x14ac:dyDescent="0.2">
      <c r="A1813" s="5">
        <v>1752</v>
      </c>
      <c r="B1813" s="1832">
        <f>'Tax Sched 23'!E10</f>
        <v>4111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73651</v>
      </c>
      <c r="D1816" s="2" t="str">
        <f t="shared" si="27"/>
        <v>Error?</v>
      </c>
    </row>
    <row r="1817" spans="1:4" x14ac:dyDescent="0.2">
      <c r="A1817" s="5">
        <v>1756</v>
      </c>
      <c r="B1817" s="1832">
        <f>'Tax Sched 23'!E12</f>
        <v>4111</v>
      </c>
      <c r="D1817" s="2" t="str">
        <f t="shared" si="27"/>
        <v>Error?</v>
      </c>
    </row>
    <row r="1818" spans="1:4" x14ac:dyDescent="0.2">
      <c r="A1818" s="5">
        <v>1757</v>
      </c>
      <c r="B1818" s="1832">
        <f>'Tax Sched 23'!E14</f>
        <v>1648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305309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256000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1646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1646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1646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1000</v>
      </c>
      <c r="D2008" s="2" t="str">
        <f t="shared" si="30"/>
        <v>Error?</v>
      </c>
    </row>
    <row r="2009" spans="1:4" x14ac:dyDescent="0.2">
      <c r="A2009" s="5">
        <v>1948</v>
      </c>
      <c r="B2009" s="1832">
        <f>'Cap Outlay Deprec 26'!C8</f>
        <v>913371</v>
      </c>
      <c r="D2009" s="2" t="str">
        <f t="shared" si="30"/>
        <v>Error?</v>
      </c>
    </row>
    <row r="2010" spans="1:4" x14ac:dyDescent="0.2">
      <c r="A2010" s="5">
        <v>1949</v>
      </c>
      <c r="B2010" s="1832">
        <f>'Cap Outlay Deprec 26'!C10</f>
        <v>116833</v>
      </c>
      <c r="D2010" s="2" t="str">
        <f t="shared" si="30"/>
        <v>Error?</v>
      </c>
    </row>
    <row r="2011" spans="1:4" x14ac:dyDescent="0.2">
      <c r="A2011" s="5">
        <v>1950</v>
      </c>
      <c r="B2011" s="1832">
        <f>'Cap Outlay Deprec 26'!C12</f>
        <v>211776</v>
      </c>
      <c r="D2011" s="2" t="str">
        <f t="shared" si="30"/>
        <v>Error?</v>
      </c>
    </row>
    <row r="2012" spans="1:4" x14ac:dyDescent="0.2">
      <c r="A2012" s="5">
        <v>1951</v>
      </c>
      <c r="B2012" s="1832">
        <f>'Cap Outlay Deprec 26'!C13</f>
        <v>46787</v>
      </c>
      <c r="D2012" s="2" t="str">
        <f t="shared" si="30"/>
        <v>Error?</v>
      </c>
    </row>
    <row r="2013" spans="1:4" x14ac:dyDescent="0.2">
      <c r="A2013" s="5">
        <v>1952</v>
      </c>
      <c r="B2013" s="1832">
        <f>'Cap Outlay Deprec 26'!C16</f>
        <v>1388493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9076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1000</v>
      </c>
      <c r="C2026" s="2" t="s">
        <v>569</v>
      </c>
      <c r="D2026" s="2" t="str">
        <f t="shared" si="30"/>
        <v>Error?</v>
      </c>
    </row>
    <row r="2027" spans="1:4" x14ac:dyDescent="0.2">
      <c r="A2027" s="5">
        <v>1966</v>
      </c>
      <c r="B2027" s="1832">
        <f>'Cap Outlay Deprec 26'!F8</f>
        <v>913371</v>
      </c>
      <c r="C2027" s="2" t="s">
        <v>569</v>
      </c>
      <c r="D2027" s="2" t="str">
        <f t="shared" si="30"/>
        <v>Error?</v>
      </c>
    </row>
    <row r="2028" spans="1:4" x14ac:dyDescent="0.2">
      <c r="A2028" s="5">
        <v>1967</v>
      </c>
      <c r="B2028" s="1832">
        <f>'Cap Outlay Deprec 26'!F10</f>
        <v>116833</v>
      </c>
      <c r="C2028" s="2" t="s">
        <v>569</v>
      </c>
      <c r="D2028" s="2" t="str">
        <f t="shared" si="30"/>
        <v>Error?</v>
      </c>
    </row>
    <row r="2029" spans="1:4" x14ac:dyDescent="0.2">
      <c r="A2029" s="5">
        <v>1968</v>
      </c>
      <c r="B2029" s="1832">
        <f>'Cap Outlay Deprec 26'!F12</f>
        <v>211776</v>
      </c>
      <c r="C2029" s="2" t="s">
        <v>569</v>
      </c>
      <c r="D2029" s="2" t="str">
        <f t="shared" si="30"/>
        <v>Error?</v>
      </c>
    </row>
    <row r="2030" spans="1:4" x14ac:dyDescent="0.2">
      <c r="A2030" s="5">
        <v>1969</v>
      </c>
      <c r="B2030" s="1832">
        <f>'Cap Outlay Deprec 26'!F13</f>
        <v>46787</v>
      </c>
      <c r="C2030" s="2" t="s">
        <v>569</v>
      </c>
      <c r="D2030" s="2" t="str">
        <f t="shared" si="30"/>
        <v>Error?</v>
      </c>
    </row>
    <row r="2031" spans="1:4" x14ac:dyDescent="0.2">
      <c r="A2031" s="5">
        <v>1970</v>
      </c>
      <c r="B2031" s="1832">
        <f>'Cap Outlay Deprec 26'!F16</f>
        <v>1397569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507825</v>
      </c>
      <c r="D2033" s="2" t="str">
        <f t="shared" si="30"/>
        <v>Error?</v>
      </c>
    </row>
    <row r="2034" spans="1:4" x14ac:dyDescent="0.2">
      <c r="A2034" s="5">
        <v>1973</v>
      </c>
      <c r="B2034" s="1832">
        <f>'Cap Outlay Deprec 26'!H10</f>
        <v>50795</v>
      </c>
      <c r="D2034" s="2" t="str">
        <f t="shared" si="30"/>
        <v>Error?</v>
      </c>
    </row>
    <row r="2035" spans="1:4" x14ac:dyDescent="0.2">
      <c r="A2035" s="5">
        <v>1974</v>
      </c>
      <c r="B2035" s="1832">
        <f>'Cap Outlay Deprec 26'!H12</f>
        <v>184792</v>
      </c>
      <c r="D2035" s="2" t="str">
        <f t="shared" si="30"/>
        <v>Error?</v>
      </c>
    </row>
    <row r="2036" spans="1:4" x14ac:dyDescent="0.2">
      <c r="A2036" s="5">
        <v>1975</v>
      </c>
      <c r="B2036" s="1832">
        <f>'Cap Outlay Deprec 26'!H13</f>
        <v>22035</v>
      </c>
      <c r="D2036" s="2" t="str">
        <f t="shared" si="30"/>
        <v>Error?</v>
      </c>
    </row>
    <row r="2037" spans="1:4" x14ac:dyDescent="0.2">
      <c r="A2037" s="5">
        <v>1976</v>
      </c>
      <c r="B2037" s="1832">
        <f>'Cap Outlay Deprec 26'!H16</f>
        <v>863925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18267</v>
      </c>
      <c r="D2039" s="2" t="str">
        <f t="shared" si="30"/>
        <v>Error?</v>
      </c>
    </row>
    <row r="2040" spans="1:4" x14ac:dyDescent="0.2">
      <c r="A2040" s="5">
        <v>1979</v>
      </c>
      <c r="B2040" s="1832">
        <f>'Cap Outlay Deprec 26'!I10</f>
        <v>5842</v>
      </c>
      <c r="D2040" s="2" t="str">
        <f t="shared" si="30"/>
        <v>Error?</v>
      </c>
    </row>
    <row r="2041" spans="1:4" x14ac:dyDescent="0.2">
      <c r="A2041" s="5">
        <v>1980</v>
      </c>
      <c r="B2041" s="1832">
        <f>'Cap Outlay Deprec 26'!I12</f>
        <v>21178</v>
      </c>
      <c r="D2041" s="2" t="str">
        <f t="shared" si="30"/>
        <v>Error?</v>
      </c>
    </row>
    <row r="2042" spans="1:4" x14ac:dyDescent="0.2">
      <c r="A2042" s="5">
        <v>1981</v>
      </c>
      <c r="B2042" s="1832">
        <f>'Cap Outlay Deprec 26'!I13</f>
        <v>9357</v>
      </c>
      <c r="D2042" s="2" t="str">
        <f t="shared" si="30"/>
        <v>Error?</v>
      </c>
    </row>
    <row r="2043" spans="1:4" x14ac:dyDescent="0.2">
      <c r="A2043" s="5">
        <v>1982</v>
      </c>
      <c r="B2043" s="1832">
        <f>'Cap Outlay Deprec 26'!I16</f>
        <v>54892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526092</v>
      </c>
      <c r="C2051" s="2" t="s">
        <v>569</v>
      </c>
      <c r="D2051" s="2" t="str">
        <f t="shared" si="31"/>
        <v>Error?</v>
      </c>
    </row>
    <row r="2052" spans="1:4" x14ac:dyDescent="0.2">
      <c r="A2052" s="5">
        <v>1991</v>
      </c>
      <c r="B2052" s="1832">
        <f>'Cap Outlay Deprec 26'!K10</f>
        <v>56637</v>
      </c>
      <c r="C2052" s="2" t="s">
        <v>569</v>
      </c>
      <c r="D2052" s="2" t="str">
        <f t="shared" si="31"/>
        <v>Error?</v>
      </c>
    </row>
    <row r="2053" spans="1:4" x14ac:dyDescent="0.2">
      <c r="A2053" s="5">
        <v>1992</v>
      </c>
      <c r="B2053" s="1832">
        <f>'Cap Outlay Deprec 26'!K12</f>
        <v>205970</v>
      </c>
      <c r="C2053" s="2" t="s">
        <v>569</v>
      </c>
      <c r="D2053" s="2" t="str">
        <f t="shared" si="31"/>
        <v>Error?</v>
      </c>
    </row>
    <row r="2054" spans="1:4" x14ac:dyDescent="0.2">
      <c r="A2054" s="5">
        <v>1993</v>
      </c>
      <c r="B2054" s="1832">
        <f>'Cap Outlay Deprec 26'!K13</f>
        <v>31392</v>
      </c>
      <c r="C2054" s="2" t="s">
        <v>569</v>
      </c>
      <c r="D2054" s="2" t="str">
        <f t="shared" si="31"/>
        <v>Error?</v>
      </c>
    </row>
    <row r="2055" spans="1:4" x14ac:dyDescent="0.2">
      <c r="A2055" s="5">
        <v>1994</v>
      </c>
      <c r="B2055" s="1832">
        <f>'Cap Outlay Deprec 26'!K16</f>
        <v>918817</v>
      </c>
      <c r="C2055" s="2" t="s">
        <v>569</v>
      </c>
      <c r="D2055" s="2" t="str">
        <f t="shared" si="31"/>
        <v>Error?</v>
      </c>
    </row>
    <row r="2056" spans="1:4" x14ac:dyDescent="0.2">
      <c r="A2056" s="5">
        <v>1995</v>
      </c>
      <c r="B2056" s="1832">
        <f>'Cap Outlay Deprec 26'!L5</f>
        <v>1000</v>
      </c>
      <c r="C2056" s="2" t="s">
        <v>569</v>
      </c>
      <c r="D2056" s="2" t="str">
        <f t="shared" si="31"/>
        <v>Error?</v>
      </c>
    </row>
    <row r="2057" spans="1:4" x14ac:dyDescent="0.2">
      <c r="A2057" s="5">
        <v>1996</v>
      </c>
      <c r="B2057" s="1832">
        <f>'Cap Outlay Deprec 26'!L8</f>
        <v>387279</v>
      </c>
      <c r="C2057" s="2" t="s">
        <v>569</v>
      </c>
      <c r="D2057" s="2" t="str">
        <f t="shared" si="31"/>
        <v>Error?</v>
      </c>
    </row>
    <row r="2058" spans="1:4" x14ac:dyDescent="0.2">
      <c r="A2058" s="5">
        <v>1997</v>
      </c>
      <c r="B2058" s="1832">
        <f>'Cap Outlay Deprec 26'!L10</f>
        <v>60196</v>
      </c>
      <c r="C2058" s="2" t="s">
        <v>569</v>
      </c>
      <c r="D2058" s="2" t="str">
        <f t="shared" si="31"/>
        <v>Error?</v>
      </c>
    </row>
    <row r="2059" spans="1:4" x14ac:dyDescent="0.2">
      <c r="A2059" s="5">
        <v>1998</v>
      </c>
      <c r="B2059" s="1832">
        <f>'Cap Outlay Deprec 26'!L12</f>
        <v>5806</v>
      </c>
      <c r="C2059" s="2" t="s">
        <v>569</v>
      </c>
      <c r="D2059" s="2" t="str">
        <f t="shared" si="31"/>
        <v>Error?</v>
      </c>
    </row>
    <row r="2060" spans="1:4" x14ac:dyDescent="0.2">
      <c r="A2060" s="5">
        <v>1999</v>
      </c>
      <c r="B2060" s="1832">
        <f>'Cap Outlay Deprec 26'!L13</f>
        <v>15395</v>
      </c>
      <c r="C2060" s="2" t="s">
        <v>569</v>
      </c>
      <c r="D2060" s="2" t="str">
        <f t="shared" si="31"/>
        <v>Error?</v>
      </c>
    </row>
    <row r="2061" spans="1:4" x14ac:dyDescent="0.2">
      <c r="A2061" s="5">
        <v>2000</v>
      </c>
      <c r="B2061" s="1832">
        <f>'Cap Outlay Deprec 26'!L16</f>
        <v>478752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109333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22529</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37702</v>
      </c>
      <c r="D2475" s="2" t="str">
        <f t="shared" si="37"/>
        <v>Error?</v>
      </c>
    </row>
    <row r="2476" spans="1:4" x14ac:dyDescent="0.2">
      <c r="A2476" s="10">
        <v>2415</v>
      </c>
      <c r="B2476" s="1832"/>
      <c r="D2476" s="2" t="str">
        <f t="shared" si="37"/>
        <v>OK</v>
      </c>
    </row>
    <row r="2477" spans="1:4" x14ac:dyDescent="0.2">
      <c r="A2477" s="5">
        <v>2416</v>
      </c>
      <c r="B2477" s="1832">
        <f>'Assets-Liab 5-6'!G38</f>
        <v>12113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1086</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23029</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167576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614724</v>
      </c>
      <c r="C2553" s="2" t="s">
        <v>569</v>
      </c>
      <c r="D2553" s="2" t="str">
        <f t="shared" si="38"/>
        <v>Error?</v>
      </c>
    </row>
    <row r="2554" spans="1:4" x14ac:dyDescent="0.2">
      <c r="A2554" s="5">
        <v>2493</v>
      </c>
      <c r="B2554" s="1832">
        <f>'Acct Summary 7-8'!C7</f>
        <v>183061</v>
      </c>
      <c r="C2554" s="2" t="s">
        <v>569</v>
      </c>
      <c r="D2554" s="2" t="str">
        <f t="shared" si="38"/>
        <v>Error?</v>
      </c>
    </row>
    <row r="2555" spans="1:4" x14ac:dyDescent="0.2">
      <c r="A2555" s="5">
        <v>2494</v>
      </c>
      <c r="B2555" s="1832">
        <f>'Acct Summary 7-8'!C8</f>
        <v>965361</v>
      </c>
      <c r="C2555" s="2" t="s">
        <v>569</v>
      </c>
      <c r="D2555" s="2" t="str">
        <f t="shared" si="38"/>
        <v>Error?</v>
      </c>
    </row>
    <row r="2556" spans="1:4" x14ac:dyDescent="0.2">
      <c r="A2556" s="5">
        <v>2495</v>
      </c>
      <c r="B2556" s="1832">
        <f>'Acct Summary 7-8'!C12</f>
        <v>557326</v>
      </c>
      <c r="C2556" s="2" t="s">
        <v>569</v>
      </c>
      <c r="D2556" s="2" t="str">
        <f t="shared" si="38"/>
        <v>Error?</v>
      </c>
    </row>
    <row r="2557" spans="1:4" x14ac:dyDescent="0.2">
      <c r="A2557" s="5">
        <v>2496</v>
      </c>
      <c r="B2557" s="1832">
        <f>'Acct Summary 7-8'!C13</f>
        <v>230584</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116638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904548</v>
      </c>
      <c r="C2561" s="2" t="s">
        <v>569</v>
      </c>
      <c r="D2561" s="2" t="str">
        <f t="shared" si="39"/>
        <v>Error?</v>
      </c>
    </row>
    <row r="2562" spans="1:4" x14ac:dyDescent="0.2">
      <c r="A2562" s="5">
        <v>2501</v>
      </c>
      <c r="B2562" s="1832">
        <f>'Acct Summary 7-8'!C20</f>
        <v>60813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39631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58000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97631</v>
      </c>
      <c r="C2568" s="2" t="s">
        <v>569</v>
      </c>
      <c r="D2568" s="2" t="str">
        <f t="shared" si="39"/>
        <v>Error?</v>
      </c>
    </row>
    <row r="2569" spans="1:4" x14ac:dyDescent="0.2">
      <c r="A2569" s="5">
        <v>2508</v>
      </c>
      <c r="B2569" s="1832">
        <f>'Acct Summary 7-8'!D13</f>
        <v>91285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91285</v>
      </c>
      <c r="C2573" s="2" t="s">
        <v>569</v>
      </c>
      <c r="D2573" s="2" t="str">
        <f t="shared" si="39"/>
        <v>Error?</v>
      </c>
    </row>
    <row r="2574" spans="1:4" x14ac:dyDescent="0.2">
      <c r="A2574" s="5">
        <v>2513</v>
      </c>
      <c r="B2574" s="1832">
        <f>'Acct Summary 7-8'!D20</f>
        <v>6346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16455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72971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89426</v>
      </c>
      <c r="C2595" s="2" t="s">
        <v>569</v>
      </c>
      <c r="D2595" s="2" t="str">
        <f t="shared" si="39"/>
        <v>Error?</v>
      </c>
    </row>
    <row r="2596" spans="1:4" x14ac:dyDescent="0.2">
      <c r="A2596" s="5">
        <v>2535</v>
      </c>
      <c r="B2596" s="1832">
        <f>'Acct Summary 7-8'!F13</f>
        <v>82314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82314</v>
      </c>
      <c r="C2600" s="2" t="s">
        <v>569</v>
      </c>
      <c r="D2600" s="2" t="str">
        <f t="shared" si="39"/>
        <v>Error?</v>
      </c>
    </row>
    <row r="2601" spans="1:4" x14ac:dyDescent="0.2">
      <c r="A2601" s="5">
        <v>2540</v>
      </c>
      <c r="B2601" s="1832">
        <f>'Acct Summary 7-8'!F20</f>
        <v>7112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35970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35970</v>
      </c>
      <c r="C2606" s="2" t="s">
        <v>569</v>
      </c>
      <c r="D2606" s="2" t="str">
        <f t="shared" si="39"/>
        <v>Error?</v>
      </c>
    </row>
    <row r="2607" spans="1:4" x14ac:dyDescent="0.2">
      <c r="A2607" s="5">
        <v>2546</v>
      </c>
      <c r="B2607" s="1832">
        <f>'Acct Summary 7-8'!G12</f>
        <v>14675</v>
      </c>
      <c r="C2607" s="2" t="s">
        <v>569</v>
      </c>
      <c r="D2607" s="2" t="str">
        <f t="shared" si="39"/>
        <v>Error?</v>
      </c>
    </row>
    <row r="2608" spans="1:4" x14ac:dyDescent="0.2">
      <c r="A2608" s="5">
        <v>2547</v>
      </c>
      <c r="B2608" s="1832">
        <f>'Acct Summary 7-8'!G13</f>
        <v>20125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34800</v>
      </c>
      <c r="C2612" s="2" t="s">
        <v>569</v>
      </c>
      <c r="D2612" s="2" t="str">
        <f t="shared" si="39"/>
        <v>Error?</v>
      </c>
    </row>
    <row r="2613" spans="1:4" x14ac:dyDescent="0.2">
      <c r="A2613" s="5">
        <v>2552</v>
      </c>
      <c r="B2613" s="1832">
        <f>'Acct Summary 7-8'!G20</f>
        <v>1170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46962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46962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45876</v>
      </c>
      <c r="C2634" s="2" t="s">
        <v>569</v>
      </c>
      <c r="D2634" s="2" t="str">
        <f t="shared" si="40"/>
        <v>Error?</v>
      </c>
    </row>
    <row r="2635" spans="1:4" x14ac:dyDescent="0.2">
      <c r="A2635" s="5">
        <v>2574</v>
      </c>
      <c r="B2635" s="1832">
        <f>'Acct Summary 7-8'!E17</f>
        <v>45876</v>
      </c>
      <c r="C2635" s="2" t="s">
        <v>569</v>
      </c>
      <c r="D2635" s="2" t="str">
        <f t="shared" si="40"/>
        <v>Error?</v>
      </c>
    </row>
    <row r="2636" spans="1:4" x14ac:dyDescent="0.2">
      <c r="A2636" s="5">
        <v>2575</v>
      </c>
      <c r="B2636" s="1832">
        <f>'Acct Summary 7-8'!E20</f>
        <v>1086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6998</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6998</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6998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109333</v>
      </c>
      <c r="C2789" s="2" t="s">
        <v>569</v>
      </c>
      <c r="D2789" s="2" t="str">
        <f t="shared" si="42"/>
        <v>Error?</v>
      </c>
    </row>
    <row r="2790" spans="1:4" x14ac:dyDescent="0.2">
      <c r="A2790" s="5">
        <v>2729</v>
      </c>
      <c r="B2790" s="1832">
        <f>'Expenditures 15-22'!E102</f>
        <v>112399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63441</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98270</v>
      </c>
      <c r="D2862" s="2" t="str">
        <f t="shared" si="43"/>
        <v>Error?</v>
      </c>
    </row>
    <row r="2863" spans="1:4" x14ac:dyDescent="0.2">
      <c r="A2863" s="10">
        <v>2802</v>
      </c>
      <c r="B2863" s="1832"/>
      <c r="D2863" s="2" t="str">
        <f t="shared" si="43"/>
        <v>OK</v>
      </c>
    </row>
    <row r="2864" spans="1:4" x14ac:dyDescent="0.2">
      <c r="A2864" s="5">
        <v>2803</v>
      </c>
      <c r="B2864" s="1832">
        <f>'Assets-Liab 5-6'!M20</f>
        <v>9076</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8127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8127</v>
      </c>
      <c r="D2914" s="2" t="str">
        <f t="shared" si="44"/>
        <v>Error?</v>
      </c>
    </row>
    <row r="2915" spans="1:4" x14ac:dyDescent="0.2">
      <c r="A2915" s="10">
        <v>2854</v>
      </c>
      <c r="B2915" s="1832"/>
      <c r="D2915" s="2" t="str">
        <f t="shared" si="44"/>
        <v>OK</v>
      </c>
    </row>
    <row r="2916" spans="1:4" x14ac:dyDescent="0.2">
      <c r="A2916" s="5">
        <v>2855</v>
      </c>
      <c r="B2916" s="1832">
        <f>'Assets-Liab 5-6'!L34</f>
        <v>8127</v>
      </c>
      <c r="C2916" s="2" t="s">
        <v>569</v>
      </c>
      <c r="D2916" s="2" t="str">
        <f t="shared" si="44"/>
        <v>Error?</v>
      </c>
    </row>
    <row r="2917" spans="1:4" x14ac:dyDescent="0.2">
      <c r="A2917" s="5">
        <v>2856</v>
      </c>
      <c r="B2917" s="1832">
        <f>'Assets-Liab 5-6'!L41</f>
        <v>8127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3066</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109333</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109333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37424</v>
      </c>
      <c r="D3055" s="2" t="str">
        <f t="shared" si="46"/>
        <v>Error?</v>
      </c>
    </row>
    <row r="3056" spans="1:4" x14ac:dyDescent="0.2">
      <c r="A3056" s="5">
        <v>2995</v>
      </c>
      <c r="B3056" s="1832">
        <f>'Expenditures 15-22'!D10</f>
        <v>1927</v>
      </c>
      <c r="D3056" s="2" t="str">
        <f t="shared" si="46"/>
        <v>Error?</v>
      </c>
    </row>
    <row r="3057" spans="1:4" x14ac:dyDescent="0.2">
      <c r="A3057" s="5">
        <v>2996</v>
      </c>
      <c r="B3057" s="1832">
        <f>'Expenditures 15-22'!E10</f>
        <v>3295</v>
      </c>
      <c r="D3057" s="2" t="str">
        <f t="shared" si="46"/>
        <v>Error?</v>
      </c>
    </row>
    <row r="3058" spans="1:4" x14ac:dyDescent="0.2">
      <c r="A3058" s="5">
        <v>2997</v>
      </c>
      <c r="B3058" s="1832">
        <f>'Expenditures 15-22'!F10</f>
        <v>9866</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52512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2705</v>
      </c>
      <c r="D3064" s="2" t="str">
        <f t="shared" si="46"/>
        <v>Error?</v>
      </c>
    </row>
    <row r="3065" spans="1:4" x14ac:dyDescent="0.2">
      <c r="A3065" s="5">
        <v>3004</v>
      </c>
      <c r="B3065" s="1832">
        <f>'Expenditures 15-22'!K219</f>
        <v>2705</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4114</v>
      </c>
      <c r="C3225" s="2" t="s">
        <v>569</v>
      </c>
      <c r="D3225" s="2" t="str">
        <f t="shared" si="49"/>
        <v>Error?</v>
      </c>
    </row>
    <row r="3226" spans="1:4" x14ac:dyDescent="0.2">
      <c r="A3226" s="5">
        <v>3165</v>
      </c>
      <c r="B3226" s="1832">
        <f>'Acct Summary 7-8'!I8</f>
        <v>4114</v>
      </c>
      <c r="C3226" s="2" t="s">
        <v>569</v>
      </c>
      <c r="D3226" s="2" t="str">
        <f t="shared" si="49"/>
        <v>Error?</v>
      </c>
    </row>
    <row r="3227" spans="1:4" x14ac:dyDescent="0.2">
      <c r="A3227" s="5">
        <v>3166</v>
      </c>
      <c r="B3227" s="1832">
        <f>'Acct Summary 7-8'!I20</f>
        <v>4114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22529</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22529</v>
      </c>
      <c r="C3232" s="2" t="s">
        <v>569</v>
      </c>
      <c r="D3232" s="2" t="str">
        <f t="shared" si="49"/>
        <v>Error?</v>
      </c>
    </row>
    <row r="3233" spans="1:4" x14ac:dyDescent="0.2">
      <c r="A3233" s="5">
        <v>3172</v>
      </c>
      <c r="B3233" s="1832">
        <f>'Acct Summary 7-8'!C78</f>
        <v>83342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6346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7112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1170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1086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6998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22529</v>
      </c>
      <c r="C3318" s="2" t="s">
        <v>569</v>
      </c>
      <c r="D3318" s="2" t="str">
        <f t="shared" si="50"/>
        <v>Error?</v>
      </c>
    </row>
    <row r="3319" spans="1:4" x14ac:dyDescent="0.2">
      <c r="A3319" s="5">
        <v>3258</v>
      </c>
      <c r="B3319" s="1832">
        <f>'Acct Summary 7-8'!I77</f>
        <v>-22529</v>
      </c>
      <c r="C3319" s="2" t="s">
        <v>569</v>
      </c>
      <c r="D3319" s="2" t="str">
        <f t="shared" si="50"/>
        <v>Error?</v>
      </c>
    </row>
    <row r="3320" spans="1:4" x14ac:dyDescent="0.2">
      <c r="A3320" s="5">
        <v>3259</v>
      </c>
      <c r="B3320" s="1832">
        <f>'Acct Summary 7-8'!I78</f>
        <v>-18415</v>
      </c>
      <c r="C3320" s="2" t="s">
        <v>569</v>
      </c>
      <c r="D3320" s="2" t="str">
        <f t="shared" si="50"/>
        <v>Error?</v>
      </c>
    </row>
    <row r="3321" spans="1:4" x14ac:dyDescent="0.2">
      <c r="A3321" s="5">
        <v>3260</v>
      </c>
      <c r="B3321" s="1832">
        <f>'Acct Summary 7-8'!I79</f>
        <v>18415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19514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7286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4893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31693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7595</v>
      </c>
      <c r="D3387" s="2" t="str">
        <f t="shared" si="51"/>
        <v>Error?</v>
      </c>
    </row>
    <row r="3388" spans="1:4" x14ac:dyDescent="0.2">
      <c r="A3388" s="5">
        <v>3327</v>
      </c>
      <c r="B3388" s="1832">
        <f>'Expenditures 15-22'!D217</f>
        <v>4375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7595</v>
      </c>
      <c r="C3390" s="2" t="s">
        <v>569</v>
      </c>
      <c r="D3390" s="2" t="str">
        <f t="shared" si="51"/>
        <v>Error?</v>
      </c>
    </row>
    <row r="3391" spans="1:4" x14ac:dyDescent="0.2">
      <c r="A3391" s="5">
        <v>3330</v>
      </c>
      <c r="B3391" s="1832">
        <f>'Expenditures 15-22'!K217</f>
        <v>4375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213129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20461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1086</v>
      </c>
      <c r="D3417" s="2" t="str">
        <f t="shared" si="52"/>
        <v>Error?</v>
      </c>
    </row>
    <row r="3418" spans="1:4" x14ac:dyDescent="0.2">
      <c r="A3418" s="10">
        <v>3357</v>
      </c>
      <c r="B3418" s="1832"/>
      <c r="D3418" s="2" t="str">
        <f t="shared" si="52"/>
        <v>OK</v>
      </c>
    </row>
    <row r="3419" spans="1:4" x14ac:dyDescent="0.2">
      <c r="A3419" s="5">
        <v>3358</v>
      </c>
      <c r="B3419" s="1832">
        <f>'Assets-Liab 5-6'!F4</f>
        <v>37702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18585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17021</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8127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19606</v>
      </c>
      <c r="C3446" s="2" t="s">
        <v>569</v>
      </c>
      <c r="D3446" s="2" t="str">
        <f t="shared" si="52"/>
        <v>Error?</v>
      </c>
    </row>
    <row r="3447" spans="1:4" x14ac:dyDescent="0.2">
      <c r="A3447" s="5">
        <v>3386</v>
      </c>
      <c r="B3447" s="1832">
        <f>'Tax Sched 23'!D16</f>
        <v>19606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19561</v>
      </c>
      <c r="C3449" s="2" t="s">
        <v>569</v>
      </c>
      <c r="D3449" s="2" t="str">
        <f t="shared" si="52"/>
        <v>Error?</v>
      </c>
    </row>
    <row r="3450" spans="1:4" x14ac:dyDescent="0.2">
      <c r="A3450" s="5">
        <v>3389</v>
      </c>
      <c r="B3450" s="1832">
        <f>'Tax Sched 23'!E16</f>
        <v>19561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9076</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9076</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9076</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12049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12049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12049</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12049</v>
      </c>
      <c r="C3568" s="2" t="s">
        <v>569</v>
      </c>
      <c r="D3568" s="2" t="str">
        <f t="shared" si="54"/>
        <v>Error?</v>
      </c>
    </row>
    <row r="3569" spans="1:4" x14ac:dyDescent="0.2">
      <c r="A3569" s="5">
        <v>3508</v>
      </c>
      <c r="B3569" s="1832">
        <f>'Acct Summary 7-8'!K4</f>
        <v>4114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4114</v>
      </c>
      <c r="C3571" s="2" t="s">
        <v>569</v>
      </c>
      <c r="D3571" s="2" t="str">
        <f t="shared" si="54"/>
        <v>Error?</v>
      </c>
    </row>
    <row r="3572" spans="1:4" x14ac:dyDescent="0.2">
      <c r="A3572" s="5">
        <v>3511</v>
      </c>
      <c r="B3572" s="1832">
        <f>'Acct Summary 7-8'!K13</f>
        <v>779</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779</v>
      </c>
      <c r="C3575" s="2" t="s">
        <v>569</v>
      </c>
      <c r="D3575" s="2" t="str">
        <f t="shared" si="54"/>
        <v>Error?</v>
      </c>
    </row>
    <row r="3576" spans="1:4" x14ac:dyDescent="0.2">
      <c r="A3576" s="5">
        <v>3515</v>
      </c>
      <c r="B3576" s="1832">
        <f>'Acct Summary 7-8'!K20</f>
        <v>3335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3335</v>
      </c>
      <c r="C3588" s="2" t="s">
        <v>569</v>
      </c>
      <c r="D3588" s="2" t="str">
        <f t="shared" si="55"/>
        <v>Error?</v>
      </c>
    </row>
    <row r="3589" spans="1:4" x14ac:dyDescent="0.2">
      <c r="A3589" s="5">
        <v>3528</v>
      </c>
      <c r="B3589" s="1832">
        <f>'Acct Summary 7-8'!K79</f>
        <v>8714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12049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779</v>
      </c>
      <c r="D3653" s="2" t="str">
        <f t="shared" si="56"/>
        <v>Error?</v>
      </c>
    </row>
    <row r="3654" spans="1:4" x14ac:dyDescent="0.2">
      <c r="A3654" s="5">
        <v>3593</v>
      </c>
      <c r="B3654" s="1832">
        <f>'Expenditures 15-22'!H350</f>
        <v>779</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779</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779</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779</v>
      </c>
      <c r="C3669" s="2" t="s">
        <v>569</v>
      </c>
      <c r="D3669" s="2" t="str">
        <f t="shared" si="56"/>
        <v>Error?</v>
      </c>
    </row>
    <row r="3670" spans="1:4" x14ac:dyDescent="0.2">
      <c r="A3670" s="5">
        <v>3609</v>
      </c>
      <c r="B3670" s="1832">
        <f>'Expenditures 15-22'!K350</f>
        <v>779</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779</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779</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3335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56668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4114</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4114</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4049</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4049</v>
      </c>
      <c r="D4111" s="2" t="str">
        <f t="shared" si="63"/>
        <v>Error?</v>
      </c>
    </row>
    <row r="4112" spans="1:4" x14ac:dyDescent="0.2">
      <c r="A4112" s="10">
        <v>4051</v>
      </c>
      <c r="B4112" s="1832"/>
      <c r="D4112" s="2" t="str">
        <f t="shared" si="63"/>
        <v>OK</v>
      </c>
    </row>
    <row r="4113" spans="1:4" x14ac:dyDescent="0.2">
      <c r="A4113" s="5">
        <v>4052</v>
      </c>
      <c r="B4113" s="1832">
        <f>'Acct Summary 7-8'!C9</f>
        <v>477719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1443080</v>
      </c>
      <c r="C4122" s="2" t="s">
        <v>569</v>
      </c>
      <c r="D4122" s="2" t="str">
        <f t="shared" si="63"/>
        <v>Error?</v>
      </c>
    </row>
    <row r="4123" spans="1:4" x14ac:dyDescent="0.2">
      <c r="A4123" s="5">
        <v>4062</v>
      </c>
      <c r="B4123" s="1832">
        <f>'Acct Summary 7-8'!D10</f>
        <v>97631</v>
      </c>
      <c r="C4123" s="2" t="s">
        <v>569</v>
      </c>
      <c r="D4123" s="2" t="str">
        <f t="shared" si="63"/>
        <v>Error?</v>
      </c>
    </row>
    <row r="4124" spans="1:4" x14ac:dyDescent="0.2">
      <c r="A4124" s="5">
        <v>4063</v>
      </c>
      <c r="B4124" s="1832">
        <f>'Acct Summary 7-8'!E10</f>
        <v>46962</v>
      </c>
      <c r="C4124" s="2" t="s">
        <v>569</v>
      </c>
      <c r="D4124" s="2" t="str">
        <f t="shared" si="63"/>
        <v>Error?</v>
      </c>
    </row>
    <row r="4125" spans="1:4" x14ac:dyDescent="0.2">
      <c r="A4125" s="5">
        <v>4064</v>
      </c>
      <c r="B4125" s="1832">
        <f>'Acct Summary 7-8'!F10</f>
        <v>89426</v>
      </c>
      <c r="C4125" s="2" t="s">
        <v>569</v>
      </c>
      <c r="D4125" s="2" t="str">
        <f t="shared" si="63"/>
        <v>Error?</v>
      </c>
    </row>
    <row r="4126" spans="1:4" x14ac:dyDescent="0.2">
      <c r="A4126" s="5">
        <v>4065</v>
      </c>
      <c r="B4126" s="1832">
        <f>'Acct Summary 7-8'!G10</f>
        <v>35970</v>
      </c>
      <c r="C4126" s="2" t="s">
        <v>569</v>
      </c>
      <c r="D4126" s="2" t="str">
        <f t="shared" si="63"/>
        <v>Error?</v>
      </c>
    </row>
    <row r="4127" spans="1:4" x14ac:dyDescent="0.2">
      <c r="A4127" s="5">
        <v>4066</v>
      </c>
      <c r="B4127" s="1832">
        <f>'Acct Summary 7-8'!H10</f>
        <v>6998</v>
      </c>
      <c r="C4127" s="2" t="s">
        <v>569</v>
      </c>
      <c r="D4127" s="2" t="str">
        <f t="shared" si="63"/>
        <v>Error?</v>
      </c>
    </row>
    <row r="4128" spans="1:4" x14ac:dyDescent="0.2">
      <c r="A4128" s="5">
        <v>4067</v>
      </c>
      <c r="B4128" s="1832">
        <f>'Acct Summary 7-8'!I10</f>
        <v>4114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4114</v>
      </c>
      <c r="C4130" s="2" t="s">
        <v>569</v>
      </c>
      <c r="D4130" s="2" t="str">
        <f t="shared" si="63"/>
        <v>Error?</v>
      </c>
    </row>
    <row r="4131" spans="1:4" x14ac:dyDescent="0.2">
      <c r="A4131" s="5">
        <v>4070</v>
      </c>
      <c r="B4131" s="1832">
        <f>'Acct Summary 7-8'!C18</f>
        <v>477719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1382267</v>
      </c>
      <c r="C4136" s="2" t="s">
        <v>569</v>
      </c>
      <c r="D4136" s="2" t="str">
        <f t="shared" si="63"/>
        <v>Error?</v>
      </c>
    </row>
    <row r="4137" spans="1:4" x14ac:dyDescent="0.2">
      <c r="A4137" s="5">
        <v>4076</v>
      </c>
      <c r="B4137" s="1832">
        <f>'Acct Summary 7-8'!D19</f>
        <v>91285</v>
      </c>
      <c r="C4137" s="2" t="s">
        <v>569</v>
      </c>
      <c r="D4137" s="2" t="str">
        <f t="shared" si="63"/>
        <v>Error?</v>
      </c>
    </row>
    <row r="4138" spans="1:4" x14ac:dyDescent="0.2">
      <c r="A4138" s="5">
        <v>4077</v>
      </c>
      <c r="B4138" s="1832">
        <f>'Acct Summary 7-8'!E19</f>
        <v>45876</v>
      </c>
      <c r="C4138" s="2" t="s">
        <v>569</v>
      </c>
      <c r="D4138" s="2" t="str">
        <f t="shared" si="63"/>
        <v>Error?</v>
      </c>
    </row>
    <row r="4139" spans="1:4" x14ac:dyDescent="0.2">
      <c r="A4139" s="5">
        <v>4078</v>
      </c>
      <c r="B4139" s="1832">
        <f>'Acct Summary 7-8'!F19</f>
        <v>82314</v>
      </c>
      <c r="C4139" s="2" t="s">
        <v>569</v>
      </c>
      <c r="D4139" s="2" t="str">
        <f t="shared" si="63"/>
        <v>Error?</v>
      </c>
    </row>
    <row r="4140" spans="1:4" x14ac:dyDescent="0.2">
      <c r="A4140" s="5">
        <v>4079</v>
      </c>
      <c r="B4140" s="1832">
        <f>'Acct Summary 7-8'!G19</f>
        <v>34800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779</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221000</v>
      </c>
      <c r="C4171" s="2" t="s">
        <v>569</v>
      </c>
      <c r="D4171" s="2" t="str">
        <f t="shared" si="64"/>
        <v>Error?</v>
      </c>
    </row>
    <row r="4172" spans="1:4" x14ac:dyDescent="0.2">
      <c r="A4172" s="5">
        <v>4111</v>
      </c>
      <c r="B4172" s="1832">
        <f>'Short-Term Long-Term Debt 24'!J49</f>
        <v>219914</v>
      </c>
      <c r="C4172" s="2" t="s">
        <v>569</v>
      </c>
      <c r="D4172" s="2" t="str">
        <f t="shared" si="64"/>
        <v>Error?</v>
      </c>
    </row>
    <row r="4173" spans="1:4" x14ac:dyDescent="0.2">
      <c r="A4173" s="5">
        <v>4112</v>
      </c>
      <c r="B4173" s="1832">
        <f>'Short-Term Long-Term Debt 24'!H49</f>
        <v>35000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1402.7</v>
      </c>
      <c r="C4265" s="2" t="s">
        <v>569</v>
      </c>
      <c r="D4265" s="2" t="str">
        <f t="shared" si="65"/>
        <v>Error?</v>
      </c>
      <c r="E4265" s="125"/>
    </row>
    <row r="4266" spans="1:5" x14ac:dyDescent="0.2">
      <c r="A4266" s="12">
        <v>4205</v>
      </c>
      <c r="B4266" s="1832">
        <f>('FP Info 3'!F10)*100000</f>
        <v>326.10000000000002</v>
      </c>
      <c r="C4266" s="2" t="s">
        <v>569</v>
      </c>
      <c r="D4266" s="2" t="str">
        <f t="shared" si="65"/>
        <v>Error?</v>
      </c>
      <c r="E4266" s="125"/>
    </row>
    <row r="4267" spans="1:5" x14ac:dyDescent="0.2">
      <c r="A4267" s="12">
        <v>4206</v>
      </c>
      <c r="B4267" s="1832">
        <f>('FP Info 3'!H10)*100000</f>
        <v>186.1</v>
      </c>
      <c r="C4267" s="2" t="s">
        <v>569</v>
      </c>
      <c r="D4267" s="2" t="str">
        <f t="shared" si="65"/>
        <v>Error?</v>
      </c>
      <c r="E4267" s="125"/>
    </row>
    <row r="4268" spans="1:5" x14ac:dyDescent="0.2">
      <c r="A4268" s="12">
        <v>4207</v>
      </c>
      <c r="B4268" s="1832">
        <f>('FP Info 3'!J10)*100000</f>
        <v>1915</v>
      </c>
      <c r="C4268" s="2" t="s">
        <v>569</v>
      </c>
      <c r="D4268" s="2" t="str">
        <f t="shared" si="65"/>
        <v>Error?</v>
      </c>
    </row>
    <row r="4269" spans="1:5" x14ac:dyDescent="0.2">
      <c r="A4269" s="12">
        <v>4208</v>
      </c>
      <c r="B4269" s="1832">
        <f>'FP Info 3'!J16</f>
        <v>271756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16332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6568</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5092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46.7</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2250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20188</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8803610</v>
      </c>
      <c r="D4995" s="2" t="str">
        <f t="shared" si="77"/>
        <v>Error?</v>
      </c>
    </row>
    <row r="4996" spans="1:4" x14ac:dyDescent="0.2">
      <c r="A4996" s="12">
        <v>4935</v>
      </c>
      <c r="B4996" s="1832">
        <f>'FP Info 3'!H31</f>
        <v>607449.09000000008</v>
      </c>
      <c r="D4996" s="2" t="str">
        <f t="shared" si="77"/>
        <v>Error?</v>
      </c>
    </row>
    <row r="4997" spans="1:4" x14ac:dyDescent="0.2">
      <c r="A4997" s="12">
        <v>4936</v>
      </c>
      <c r="B4997" s="1832">
        <f>'FP Info 3'!H37</f>
        <v>221000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123410</v>
      </c>
      <c r="D5061" s="2" t="str">
        <f t="shared" si="78"/>
        <v>Error?</v>
      </c>
    </row>
    <row r="5062" spans="1:4" x14ac:dyDescent="0.2">
      <c r="A5062" s="10">
        <v>5001</v>
      </c>
      <c r="B5062" s="1832"/>
      <c r="D5062" s="2" t="str">
        <f t="shared" si="78"/>
        <v>OK</v>
      </c>
    </row>
    <row r="5063" spans="1:4" x14ac:dyDescent="0.2">
      <c r="A5063" s="5">
        <v>5002</v>
      </c>
      <c r="B5063" s="1832">
        <f>'Revenues 9-14'!C7</f>
        <v>1646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125056</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2444</v>
      </c>
      <c r="D5068" s="2" t="str">
        <f t="shared" si="78"/>
        <v>Error?</v>
      </c>
    </row>
    <row r="5069" spans="1:4" x14ac:dyDescent="0.2">
      <c r="A5069" s="5">
        <v>5008</v>
      </c>
      <c r="B5069" s="1832">
        <f>'Revenues 9-14'!C16</f>
        <v>18783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21227</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249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249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125</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1490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1490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19429</v>
      </c>
      <c r="D5119" s="2" t="str">
        <f t="shared" ref="D5119:D5182" si="79">IF(ISBLANK(B5119),"OK",IF(A5119-B5119=0,"OK","Error?"))</f>
        <v>Error?</v>
      </c>
    </row>
    <row r="5120" spans="1:4" x14ac:dyDescent="0.2">
      <c r="A5120" s="5">
        <v>5059</v>
      </c>
      <c r="B5120" s="1832">
        <f>'Revenues 9-14'!C108</f>
        <v>19429</v>
      </c>
      <c r="C5120" s="2" t="s">
        <v>569</v>
      </c>
      <c r="D5120" s="2" t="str">
        <f t="shared" si="79"/>
        <v>Error?</v>
      </c>
    </row>
    <row r="5121" spans="1:4" x14ac:dyDescent="0.2">
      <c r="A5121" s="5">
        <v>5060</v>
      </c>
      <c r="B5121" s="1832">
        <f>'Revenues 9-14'!C109</f>
        <v>167576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605540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605540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6143</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6143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791</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9184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614724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20188</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35336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16740</v>
      </c>
      <c r="D5241" s="2" t="str">
        <f t="shared" si="80"/>
        <v>Error?</v>
      </c>
    </row>
    <row r="5242" spans="1:4" x14ac:dyDescent="0.2">
      <c r="A5242" s="5">
        <v>5181</v>
      </c>
      <c r="B5242" s="1832">
        <f>'Revenues 9-14'!C194</f>
        <v>6698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58774</v>
      </c>
      <c r="C5246" s="2" t="s">
        <v>569</v>
      </c>
      <c r="D5246" s="2" t="str">
        <f t="shared" si="80"/>
        <v>Error?</v>
      </c>
    </row>
    <row r="5247" spans="1:4" x14ac:dyDescent="0.2">
      <c r="A5247" s="5">
        <v>5186</v>
      </c>
      <c r="B5247" s="1832">
        <f>'Revenues 9-14'!C200</f>
        <v>48392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6568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48392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27715</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27715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162873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183061</v>
      </c>
      <c r="C5326" s="2" t="s">
        <v>569</v>
      </c>
      <c r="D5326" s="2" t="str">
        <f t="shared" si="82"/>
        <v>Error?</v>
      </c>
    </row>
    <row r="5327" spans="1:5" x14ac:dyDescent="0.2">
      <c r="A5327" s="5">
        <v>5266</v>
      </c>
      <c r="B5327" s="1832">
        <f>'Revenues 9-14'!C268</f>
        <v>965361</v>
      </c>
      <c r="C5327" s="2" t="s">
        <v>569</v>
      </c>
      <c r="D5327" s="2" t="str">
        <f t="shared" si="82"/>
        <v>Error?</v>
      </c>
    </row>
    <row r="5328" spans="1:5" x14ac:dyDescent="0.2">
      <c r="A5328" s="5">
        <v>5267</v>
      </c>
      <c r="B5328" s="1832">
        <f>'Revenues 9-14'!D5</f>
        <v>28796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28796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10835</v>
      </c>
      <c r="D5354" s="2" t="str">
        <f t="shared" si="82"/>
        <v>Error?</v>
      </c>
    </row>
    <row r="5355" spans="1:4" x14ac:dyDescent="0.2">
      <c r="A5355" s="5">
        <v>5294</v>
      </c>
      <c r="B5355" s="1832">
        <f>'Revenues 9-14'!D108</f>
        <v>10835</v>
      </c>
      <c r="C5355" s="2" t="s">
        <v>569</v>
      </c>
      <c r="D5355" s="2" t="str">
        <f t="shared" si="82"/>
        <v>Error?</v>
      </c>
    </row>
    <row r="5356" spans="1:4" x14ac:dyDescent="0.2">
      <c r="A5356" s="5">
        <v>5295</v>
      </c>
      <c r="B5356" s="1832">
        <f>'Revenues 9-14'!D109</f>
        <v>39631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58000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58000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58000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97631</v>
      </c>
      <c r="C5508" s="2" t="s">
        <v>569</v>
      </c>
      <c r="D5508" s="2" t="str">
        <f t="shared" si="85"/>
        <v>Error?</v>
      </c>
    </row>
    <row r="5509" spans="1:4" x14ac:dyDescent="0.2">
      <c r="A5509" s="5">
        <v>5448</v>
      </c>
      <c r="B5509" s="1832">
        <f>'Revenues 9-14'!E5</f>
        <v>13773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13773</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33189</v>
      </c>
      <c r="C5526" s="2" t="s">
        <v>569</v>
      </c>
      <c r="D5526" s="2" t="str">
        <f t="shared" si="85"/>
        <v>Error?</v>
      </c>
    </row>
    <row r="5527" spans="1:4" x14ac:dyDescent="0.2">
      <c r="A5527" s="5">
        <v>5466</v>
      </c>
      <c r="B5527" s="1832">
        <f>'Revenues 9-14'!E109</f>
        <v>46962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46962</v>
      </c>
      <c r="C5552" s="2" t="s">
        <v>569</v>
      </c>
      <c r="D5552" s="2" t="str">
        <f t="shared" si="85"/>
        <v>Error?</v>
      </c>
    </row>
    <row r="5553" spans="1:4" x14ac:dyDescent="0.2">
      <c r="A5553" s="5">
        <v>5492</v>
      </c>
      <c r="B5553" s="1832">
        <f>'Revenues 9-14'!F5</f>
        <v>16455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16455</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16455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26273</v>
      </c>
      <c r="D5615" s="2" t="str">
        <f t="shared" si="86"/>
        <v>Error?</v>
      </c>
    </row>
    <row r="5616" spans="1:4" x14ac:dyDescent="0.2">
      <c r="A5616" s="10">
        <v>5555</v>
      </c>
      <c r="B5616" s="1832"/>
      <c r="D5616" s="2" t="str">
        <f t="shared" si="86"/>
        <v>OK</v>
      </c>
    </row>
    <row r="5617" spans="1:5" x14ac:dyDescent="0.2">
      <c r="A5617" s="5">
        <v>5556</v>
      </c>
      <c r="B5617" s="1832">
        <f>'Revenues 9-14'!F153</f>
        <v>36698</v>
      </c>
      <c r="D5617" s="2" t="str">
        <f t="shared" si="86"/>
        <v>Error?</v>
      </c>
    </row>
    <row r="5618" spans="1:5" x14ac:dyDescent="0.2">
      <c r="A5618" s="5">
        <v>5557</v>
      </c>
      <c r="B5618" s="1832">
        <f>'Revenues 9-14'!F155</f>
        <v>62971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62971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72971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89426</v>
      </c>
      <c r="C5720" s="2" t="s">
        <v>569</v>
      </c>
      <c r="D5720" s="2" t="str">
        <f t="shared" si="88"/>
        <v>Error?</v>
      </c>
    </row>
    <row r="5721" spans="1:4" x14ac:dyDescent="0.2">
      <c r="A5721" s="5">
        <v>5660</v>
      </c>
      <c r="B5721" s="1832">
        <f>'Revenues 9-14'!G5</f>
        <v>16364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19606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35970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35970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4114</v>
      </c>
      <c r="D5872" s="2" t="str">
        <f t="shared" si="90"/>
        <v>Error?</v>
      </c>
    </row>
    <row r="5873" spans="1:4" x14ac:dyDescent="0.2">
      <c r="A5873" s="5">
        <v>5812</v>
      </c>
      <c r="B5873" s="1832">
        <f>'Revenues 9-14'!H12</f>
        <v>4114</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2884</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6998</v>
      </c>
      <c r="C5915" s="2" t="s">
        <v>569</v>
      </c>
      <c r="D5915" s="2" t="str">
        <f t="shared" si="91"/>
        <v>Error?</v>
      </c>
    </row>
    <row r="5916" spans="1:4" x14ac:dyDescent="0.2">
      <c r="A5916" s="5">
        <v>5855</v>
      </c>
      <c r="B5916" s="1832">
        <f>'Revenues 9-14'!I5</f>
        <v>4114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4114</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4114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4114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4114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4114</v>
      </c>
      <c r="C6023" s="2" t="s">
        <v>569</v>
      </c>
      <c r="D6023" s="2" t="str">
        <f t="shared" si="93"/>
        <v>Error?</v>
      </c>
    </row>
    <row r="6024" spans="1:5" x14ac:dyDescent="0.2">
      <c r="A6024" s="5">
        <v>5963</v>
      </c>
      <c r="B6024" s="1832">
        <f>'Revenues 9-14'!G109</f>
        <v>35970</v>
      </c>
      <c r="C6024" s="2" t="s">
        <v>569</v>
      </c>
      <c r="D6024" s="2" t="str">
        <f t="shared" si="93"/>
        <v>Error?</v>
      </c>
    </row>
    <row r="6025" spans="1:5" x14ac:dyDescent="0.2">
      <c r="A6025" s="5">
        <v>5964</v>
      </c>
      <c r="B6025" s="1832">
        <f>'Revenues 9-14'!H109</f>
        <v>6998</v>
      </c>
      <c r="C6025" s="2" t="s">
        <v>569</v>
      </c>
      <c r="D6025" s="2" t="str">
        <f t="shared" si="93"/>
        <v>Error?</v>
      </c>
    </row>
    <row r="6026" spans="1:5" x14ac:dyDescent="0.2">
      <c r="A6026" s="5">
        <v>5965</v>
      </c>
      <c r="B6026" s="1832">
        <f>'Revenues 9-14'!I109</f>
        <v>4114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4114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125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5416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65.772999999999996</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6472</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6008</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32310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6008</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6472</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32310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32310</v>
      </c>
      <c r="D6216" s="2" t="str">
        <f t="shared" si="96"/>
        <v>Error?</v>
      </c>
      <c r="E6216" s="2" t="s">
        <v>189</v>
      </c>
    </row>
    <row r="6217" spans="1:5" x14ac:dyDescent="0.2">
      <c r="A6217">
        <v>6156</v>
      </c>
      <c r="B6217" s="1832">
        <f>'Assets-Liab 5-6'!J4</f>
        <v>32310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60150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60150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60150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107033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107033</v>
      </c>
      <c r="D6229" s="2" t="str">
        <f t="shared" si="96"/>
        <v>Error?</v>
      </c>
      <c r="E6229" s="2" t="s">
        <v>189</v>
      </c>
    </row>
    <row r="6230" spans="1:5" x14ac:dyDescent="0.2">
      <c r="A6230">
        <v>6169</v>
      </c>
      <c r="B6230" s="1832">
        <f>'Acct Summary 7-8'!J20</f>
        <v>-46883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-46883</v>
      </c>
      <c r="D6263" s="2" t="str">
        <f t="shared" si="96"/>
        <v>Error?</v>
      </c>
      <c r="E6263" s="2" t="s">
        <v>189</v>
      </c>
    </row>
    <row r="6264" spans="1:5" x14ac:dyDescent="0.2">
      <c r="A6264">
        <v>6203</v>
      </c>
      <c r="B6264" s="1832">
        <f>'Acct Summary 7-8'!J79</f>
        <v>79193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32310</v>
      </c>
      <c r="D6266" s="2" t="str">
        <f t="shared" si="96"/>
        <v>Error?</v>
      </c>
      <c r="E6266" s="2" t="s">
        <v>189</v>
      </c>
    </row>
    <row r="6267" spans="1:5" x14ac:dyDescent="0.2">
      <c r="A6267">
        <v>6206</v>
      </c>
      <c r="B6267" s="1832">
        <f>'Acct Summary 7-8'!C82</f>
        <v>83342</v>
      </c>
      <c r="D6267" s="2" t="str">
        <f t="shared" si="96"/>
        <v>Error?</v>
      </c>
      <c r="E6267" s="2" t="s">
        <v>189</v>
      </c>
    </row>
    <row r="6268" spans="1:5" x14ac:dyDescent="0.2">
      <c r="A6268">
        <v>6207</v>
      </c>
      <c r="B6268" s="1832">
        <f>'Acct Summary 7-8'!D82</f>
        <v>6346</v>
      </c>
      <c r="D6268" s="2" t="str">
        <f t="shared" si="96"/>
        <v>Error?</v>
      </c>
      <c r="E6268" s="2" t="s">
        <v>189</v>
      </c>
    </row>
    <row r="6269" spans="1:5" x14ac:dyDescent="0.2">
      <c r="A6269">
        <v>6208</v>
      </c>
      <c r="B6269" s="1832">
        <f>'Acct Summary 7-8'!E82</f>
        <v>1086</v>
      </c>
      <c r="D6269" s="2" t="str">
        <f t="shared" si="96"/>
        <v>Error?</v>
      </c>
      <c r="E6269" s="2" t="s">
        <v>189</v>
      </c>
    </row>
    <row r="6270" spans="1:5" x14ac:dyDescent="0.2">
      <c r="A6270">
        <v>6209</v>
      </c>
      <c r="B6270" s="1832">
        <f>'Acct Summary 7-8'!F82</f>
        <v>7112</v>
      </c>
      <c r="D6270" s="2" t="str">
        <f t="shared" si="96"/>
        <v>Error?</v>
      </c>
      <c r="E6270" s="2" t="s">
        <v>189</v>
      </c>
    </row>
    <row r="6271" spans="1:5" x14ac:dyDescent="0.2">
      <c r="A6271">
        <v>6210</v>
      </c>
      <c r="B6271" s="1832">
        <f>'Acct Summary 7-8'!G82</f>
        <v>1170</v>
      </c>
      <c r="D6271" s="2" t="str">
        <f t="shared" ref="D6271:D6334" si="97">IF(ISBLANK(B6271),"OK",IF(A6271-B6271=0,"OK","Error?"))</f>
        <v>Error?</v>
      </c>
      <c r="E6271" s="2" t="s">
        <v>189</v>
      </c>
    </row>
    <row r="6272" spans="1:5" x14ac:dyDescent="0.2">
      <c r="A6272">
        <v>6211</v>
      </c>
      <c r="B6272" s="1832">
        <f>'Acct Summary 7-8'!H82</f>
        <v>6998</v>
      </c>
      <c r="D6272" s="2" t="str">
        <f t="shared" si="97"/>
        <v>Error?</v>
      </c>
      <c r="E6272" s="2" t="s">
        <v>189</v>
      </c>
    </row>
    <row r="6273" spans="1:5" x14ac:dyDescent="0.2">
      <c r="A6273">
        <v>6212</v>
      </c>
      <c r="B6273" s="1832">
        <f>'Acct Summary 7-8'!I82</f>
        <v>-18415</v>
      </c>
      <c r="D6273" s="2" t="str">
        <f t="shared" si="97"/>
        <v>Error?</v>
      </c>
      <c r="E6273" s="2" t="s">
        <v>189</v>
      </c>
    </row>
    <row r="6274" spans="1:5" x14ac:dyDescent="0.2">
      <c r="A6274">
        <v>6213</v>
      </c>
      <c r="B6274" s="1832">
        <f>'Acct Summary 7-8'!J82</f>
        <v>-46883</v>
      </c>
      <c r="D6274" s="2" t="str">
        <f t="shared" si="97"/>
        <v>Error?</v>
      </c>
      <c r="E6274" s="2" t="s">
        <v>189</v>
      </c>
    </row>
    <row r="6275" spans="1:5" x14ac:dyDescent="0.2">
      <c r="A6275">
        <v>6214</v>
      </c>
      <c r="B6275" s="1832">
        <f>'Acct Summary 7-8'!K82</f>
        <v>3335</v>
      </c>
      <c r="D6275" s="2" t="str">
        <f t="shared" si="97"/>
        <v>Error?</v>
      </c>
      <c r="E6275" s="2" t="s">
        <v>189</v>
      </c>
    </row>
    <row r="6276" spans="1:5" x14ac:dyDescent="0.2">
      <c r="A6276">
        <v>6215</v>
      </c>
      <c r="B6276" s="1832">
        <f>'Acct Summary 7-8'!C83</f>
        <v>0.37951557597642999</v>
      </c>
      <c r="D6276" s="2" t="str">
        <f t="shared" si="97"/>
        <v>Error?</v>
      </c>
      <c r="E6276" s="2" t="s">
        <v>189</v>
      </c>
    </row>
    <row r="6277" spans="1:5" x14ac:dyDescent="0.2">
      <c r="A6277">
        <v>6216</v>
      </c>
      <c r="B6277" s="1832">
        <f>'Acct Summary 7-8'!D83</f>
        <v>0.43907839202933646</v>
      </c>
      <c r="D6277" s="2" t="str">
        <f t="shared" si="97"/>
        <v>Error?</v>
      </c>
      <c r="E6277" s="2" t="s">
        <v>189</v>
      </c>
    </row>
    <row r="6278" spans="1:5" x14ac:dyDescent="0.2">
      <c r="A6278">
        <v>6217</v>
      </c>
      <c r="B6278" s="1832">
        <f>'Acct Summary 7-8'!E83</f>
        <v>1</v>
      </c>
      <c r="D6278" s="2" t="str">
        <f t="shared" si="97"/>
        <v>Error?</v>
      </c>
      <c r="E6278" s="2" t="s">
        <v>189</v>
      </c>
    </row>
    <row r="6279" spans="1:5" x14ac:dyDescent="0.2">
      <c r="A6279">
        <v>6218</v>
      </c>
      <c r="B6279" s="1832">
        <f>'Acct Summary 7-8'!F83</f>
        <v>0.18863720757519495</v>
      </c>
      <c r="D6279" s="2" t="str">
        <f t="shared" si="97"/>
        <v>Error?</v>
      </c>
      <c r="E6279" s="2" t="s">
        <v>189</v>
      </c>
    </row>
    <row r="6280" spans="1:5" x14ac:dyDescent="0.2">
      <c r="A6280">
        <v>6219</v>
      </c>
      <c r="B6280" s="1832">
        <f>'Acct Summary 7-8'!G83</f>
        <v>9.6590440023115662E-2</v>
      </c>
      <c r="D6280" s="2" t="str">
        <f t="shared" si="97"/>
        <v>Error?</v>
      </c>
      <c r="E6280" s="2" t="s">
        <v>189</v>
      </c>
    </row>
    <row r="6281" spans="1:5" x14ac:dyDescent="0.2">
      <c r="A6281">
        <v>6220</v>
      </c>
      <c r="B6281" s="1832">
        <f>'Acct Summary 7-8'!H83</f>
        <v>0.3038777193972817</v>
      </c>
      <c r="D6281" s="2" t="str">
        <f t="shared" si="97"/>
        <v>Error?</v>
      </c>
      <c r="E6281" s="2" t="s">
        <v>189</v>
      </c>
    </row>
    <row r="6282" spans="1:5" x14ac:dyDescent="0.2">
      <c r="A6282">
        <v>6221</v>
      </c>
      <c r="B6282" s="1832" t="e">
        <f>'Acct Summary 7-8'!I83</f>
        <v>#DIV/0!</v>
      </c>
      <c r="D6282" s="2" t="e">
        <f t="shared" si="97"/>
        <v>#DIV/0!</v>
      </c>
      <c r="E6282" s="2" t="s">
        <v>189</v>
      </c>
    </row>
    <row r="6283" spans="1:5" x14ac:dyDescent="0.2">
      <c r="A6283">
        <v>6222</v>
      </c>
      <c r="B6283" s="1832">
        <f>'Acct Summary 7-8'!J83</f>
        <v>-1.4510368307025689</v>
      </c>
      <c r="D6283" s="2" t="str">
        <f t="shared" si="97"/>
        <v>Error?</v>
      </c>
      <c r="E6283" s="2" t="s">
        <v>189</v>
      </c>
    </row>
    <row r="6284" spans="1:5" x14ac:dyDescent="0.2">
      <c r="A6284">
        <v>6223</v>
      </c>
      <c r="B6284" s="1832">
        <f>'Acct Summary 7-8'!K83</f>
        <v>0.27678645530749441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60150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60150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60150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4239</v>
      </c>
      <c r="D7014" s="2" t="str">
        <f t="shared" si="108"/>
        <v>Error?</v>
      </c>
    </row>
    <row r="7015" spans="1:4" x14ac:dyDescent="0.2">
      <c r="A7015">
        <v>6954</v>
      </c>
      <c r="B7015" s="1832">
        <f>'Expenditures 15-22'!K101</f>
        <v>7305</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107033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60150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19993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19993</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52425</v>
      </c>
      <c r="D7172" s="2" t="str">
        <f t="shared" si="111"/>
        <v>Error?</v>
      </c>
    </row>
    <row r="7173" spans="1:4" x14ac:dyDescent="0.2">
      <c r="A7173">
        <v>7112</v>
      </c>
      <c r="B7173" s="1832">
        <f>'Expenditures 15-22'!D325</f>
        <v>34615</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87040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52425</v>
      </c>
      <c r="D7199" s="2" t="str">
        <f t="shared" si="111"/>
        <v>Error?</v>
      </c>
    </row>
    <row r="7200" spans="1:4" x14ac:dyDescent="0.2">
      <c r="A7200">
        <v>7139</v>
      </c>
      <c r="B7200" s="1832">
        <f>'Expenditures 15-22'!D330</f>
        <v>34615</v>
      </c>
      <c r="D7200" s="2" t="str">
        <f t="shared" si="111"/>
        <v>Error?</v>
      </c>
    </row>
    <row r="7201" spans="1:4" x14ac:dyDescent="0.2">
      <c r="A7201">
        <v>7140</v>
      </c>
      <c r="B7201" s="1832">
        <f>'Expenditures 15-22'!E330</f>
        <v>19993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107033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52425</v>
      </c>
      <c r="D7216" s="2" t="str">
        <f t="shared" si="111"/>
        <v>Error?</v>
      </c>
    </row>
    <row r="7217" spans="1:4" x14ac:dyDescent="0.2">
      <c r="A7217">
        <v>7156</v>
      </c>
      <c r="B7217" s="1832">
        <f>'Expenditures 15-22'!D342</f>
        <v>34615</v>
      </c>
      <c r="D7217" s="2" t="str">
        <f t="shared" si="111"/>
        <v>Error?</v>
      </c>
    </row>
    <row r="7218" spans="1:4" x14ac:dyDescent="0.2">
      <c r="A7218">
        <v>7157</v>
      </c>
      <c r="B7218" s="1832">
        <f>'Expenditures 15-22'!E342</f>
        <v>19993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107033</v>
      </c>
      <c r="D7224" s="2" t="str">
        <f t="shared" si="111"/>
        <v>Error?</v>
      </c>
    </row>
    <row r="7225" spans="1:4" x14ac:dyDescent="0.2">
      <c r="A7225">
        <v>7164</v>
      </c>
      <c r="B7225" s="1832">
        <f>'Expenditures 15-22'!K343</f>
        <v>-46883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98726</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98726</v>
      </c>
      <c r="D7618" s="2" t="str">
        <f t="shared" si="124"/>
        <v>Error?</v>
      </c>
      <c r="E7618" s="2" t="s">
        <v>19</v>
      </c>
    </row>
    <row r="7619" spans="1:5" x14ac:dyDescent="0.2">
      <c r="A7619">
        <f t="shared" si="123"/>
        <v>7558</v>
      </c>
      <c r="B7619" s="1832">
        <f>'Cap Outlay Deprec 26'!H14</f>
        <v>98478</v>
      </c>
      <c r="D7619" s="2" t="str">
        <f t="shared" si="124"/>
        <v>Error?</v>
      </c>
      <c r="E7619" s="2" t="s">
        <v>19</v>
      </c>
    </row>
    <row r="7620" spans="1:5" x14ac:dyDescent="0.2">
      <c r="A7620">
        <f t="shared" si="123"/>
        <v>7559</v>
      </c>
      <c r="B7620" s="1832">
        <f>'Cap Outlay Deprec 26'!I14</f>
        <v>248</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98726</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54892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1646</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33189</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2884</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360000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1265856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160650</v>
      </c>
      <c r="D7834" s="2" t="str">
        <f t="shared" si="129"/>
        <v>Error?</v>
      </c>
      <c r="E7834" s="4" t="s">
        <v>1998</v>
      </c>
    </row>
    <row r="7835" spans="1:5" x14ac:dyDescent="0.2">
      <c r="A7835">
        <v>7774</v>
      </c>
      <c r="B7835" s="1832">
        <f>'PCTC-OEPP 27-28'!F78</f>
        <v>1105206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16803.33875602451</v>
      </c>
      <c r="D7837" s="2" t="str">
        <f t="shared" si="129"/>
        <v>Error?</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6143</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62971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2250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58774</v>
      </c>
      <c r="D7858" s="2" t="str">
        <f t="shared" si="129"/>
        <v>Error?</v>
      </c>
      <c r="E7858" s="4" t="s">
        <v>1998</v>
      </c>
    </row>
    <row r="7859" spans="1:5" x14ac:dyDescent="0.2">
      <c r="A7859">
        <v>7798</v>
      </c>
      <c r="B7859" s="1832">
        <f>'PCTC-OEPP 27-28'!F127</f>
        <v>48392</v>
      </c>
      <c r="D7859" s="2" t="str">
        <f t="shared" si="129"/>
        <v>Error?</v>
      </c>
      <c r="E7859" s="4" t="s">
        <v>1998</v>
      </c>
    </row>
    <row r="7860" spans="1:5" x14ac:dyDescent="0.2">
      <c r="A7860">
        <v>7799</v>
      </c>
      <c r="B7860" s="1832">
        <f>'PCTC-OEPP 27-28'!F128</f>
        <v>6568</v>
      </c>
      <c r="D7860" s="2" t="str">
        <f t="shared" si="129"/>
        <v>Error?</v>
      </c>
      <c r="E7860" s="4" t="s">
        <v>1998</v>
      </c>
    </row>
    <row r="7861" spans="1:5" x14ac:dyDescent="0.2">
      <c r="A7861">
        <v>7800</v>
      </c>
      <c r="B7861" s="1832">
        <f>'PCTC-OEPP 27-28'!F129</f>
        <v>27715</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5092</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16332</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236643</v>
      </c>
      <c r="D7877" s="2" t="str">
        <f t="shared" si="129"/>
        <v>Error?</v>
      </c>
      <c r="E7877" s="4" t="s">
        <v>1998</v>
      </c>
    </row>
    <row r="7878" spans="1:5" x14ac:dyDescent="0.2">
      <c r="A7878">
        <v>7817</v>
      </c>
      <c r="B7878" s="1832">
        <f>'PCTC-OEPP 27-28'!F176</f>
        <v>868563</v>
      </c>
      <c r="D7878" s="2" t="str">
        <f t="shared" si="129"/>
        <v>Error?</v>
      </c>
      <c r="E7878" s="4" t="s">
        <v>1998</v>
      </c>
    </row>
    <row r="7879" spans="1:5" x14ac:dyDescent="0.2">
      <c r="A7879">
        <v>7818</v>
      </c>
      <c r="B7879" s="1832">
        <f>'PCTC-OEPP 27-28'!F178</f>
        <v>923455</v>
      </c>
      <c r="D7879" s="2" t="str">
        <f t="shared" si="129"/>
        <v>Error?</v>
      </c>
      <c r="E7879" s="4" t="s">
        <v>1998</v>
      </c>
    </row>
    <row r="7880" spans="1:5" x14ac:dyDescent="0.2">
      <c r="A7880">
        <v>7819</v>
      </c>
      <c r="B7880" s="1832">
        <f>'PCTC-OEPP 27-28'!F180</f>
        <v>14040.03162391863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Tamaroa SD 5</v>
      </c>
      <c r="B7" s="2516"/>
      <c r="C7" s="2516"/>
      <c r="D7" s="2554"/>
      <c r="E7" s="2555">
        <f>COVER!A13</f>
        <v>30073005002</v>
      </c>
      <c r="F7" s="2556"/>
      <c r="G7" s="2522" t="str">
        <f>COVER!T23</f>
        <v>066-005025</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FICK, EGGEMEYER, AND WILLIAMSON CPAS</v>
      </c>
      <c r="H9" s="2529"/>
      <c r="I9" s="2529"/>
      <c r="J9" s="2529"/>
      <c r="K9" s="2529"/>
      <c r="L9" s="2530"/>
    </row>
    <row r="10" spans="1:29" ht="13.5" customHeight="1" x14ac:dyDescent="0.2">
      <c r="A10" s="2512">
        <f>COVER!A38</f>
        <v>0</v>
      </c>
      <c r="B10" s="2513"/>
      <c r="C10" s="2513"/>
      <c r="D10" s="2513"/>
      <c r="E10" s="2513"/>
      <c r="F10" s="2514"/>
      <c r="G10" s="2528" t="str">
        <f>COVER!T17</f>
        <v>205 S. MAIN STREET</v>
      </c>
      <c r="H10" s="2541"/>
      <c r="I10" s="2541"/>
      <c r="J10" s="2541"/>
      <c r="K10" s="2541"/>
      <c r="L10" s="2542"/>
    </row>
    <row r="11" spans="1:29" ht="13.5" customHeight="1" x14ac:dyDescent="0.2">
      <c r="A11" s="963" t="s">
        <v>1502</v>
      </c>
      <c r="B11" s="964"/>
      <c r="C11" s="965"/>
      <c r="D11" s="970"/>
      <c r="E11" s="965"/>
      <c r="F11" s="969"/>
      <c r="G11" s="2528" t="str">
        <f>COVER!T19</f>
        <v>COLUMBIA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jennifer@afewcpas.com</v>
      </c>
      <c r="J13" s="2550"/>
      <c r="K13" s="2550"/>
      <c r="L13" s="2551"/>
    </row>
    <row r="14" spans="1:29" ht="13.5" customHeight="1" x14ac:dyDescent="0.2">
      <c r="A14" s="2528" t="str">
        <f>COVER!A19</f>
        <v>200 W. MAIN ST</v>
      </c>
      <c r="B14" s="2541"/>
      <c r="C14" s="2541"/>
      <c r="D14" s="2541"/>
      <c r="E14" s="2541"/>
      <c r="F14" s="2542"/>
      <c r="G14" s="974" t="s">
        <v>1175</v>
      </c>
      <c r="H14" s="972"/>
      <c r="I14" s="972"/>
      <c r="J14" s="972"/>
      <c r="K14" s="972"/>
      <c r="L14" s="973"/>
    </row>
    <row r="15" spans="1:29" ht="13.5" customHeight="1" x14ac:dyDescent="0.2">
      <c r="A15" s="2528" t="str">
        <f>COVER!A21</f>
        <v>TAMAROA</v>
      </c>
      <c r="B15" s="2541"/>
      <c r="C15" s="2541"/>
      <c r="D15" s="2541"/>
      <c r="E15" s="2541"/>
      <c r="F15" s="2542"/>
      <c r="G15" s="2538" t="str">
        <f>COVER!T15</f>
        <v>JENNIFER HEIM</v>
      </c>
      <c r="H15" s="2539"/>
      <c r="I15" s="2539"/>
      <c r="J15" s="2539"/>
      <c r="K15" s="2539"/>
      <c r="L15" s="2540"/>
    </row>
    <row r="16" spans="1:29" ht="12.2" customHeight="1" x14ac:dyDescent="0.2">
      <c r="A16" s="2518">
        <f>COVER!A25</f>
        <v>0</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314-845-7999</v>
      </c>
      <c r="H18" s="2516"/>
      <c r="I18" s="2516"/>
      <c r="J18" s="2516"/>
      <c r="K18" s="2515" t="str">
        <f>COVER!X21</f>
        <v>314-845-7770</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Tamaroa SD 5</v>
      </c>
      <c r="B1" s="2558"/>
      <c r="C1" s="2558"/>
      <c r="D1" s="2558"/>
    </row>
    <row r="2" spans="1:11" s="991" customFormat="1" ht="12.75" x14ac:dyDescent="0.2">
      <c r="A2" s="2559">
        <f>'Single Audit Cover'!E7</f>
        <v>30073005002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Tamaroa SD 5</v>
      </c>
      <c r="B1" s="2562"/>
      <c r="C1" s="2562"/>
      <c r="D1" s="2562"/>
      <c r="E1" s="2562"/>
    </row>
    <row r="2" spans="1:5" x14ac:dyDescent="0.2">
      <c r="A2" s="2563">
        <f>'Single Audit Cover'!E7</f>
        <v>30073005002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183061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5416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-16332</v>
      </c>
    </row>
    <row r="19" spans="1:4" ht="13.5" thickBot="1" x14ac:dyDescent="0.25">
      <c r="A19" s="1041" t="s">
        <v>1224</v>
      </c>
      <c r="D19" s="1042">
        <f>SUM(D10:D17)</f>
        <v>172145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172145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172145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Tamaroa SD 5</v>
      </c>
      <c r="C1" s="2566"/>
      <c r="D1" s="2566"/>
      <c r="E1" s="2566"/>
      <c r="F1" s="2566"/>
      <c r="G1" s="2566"/>
      <c r="H1" s="2566"/>
      <c r="I1" s="2566"/>
      <c r="J1" s="2566"/>
      <c r="K1" s="2566"/>
      <c r="L1" s="2566"/>
      <c r="M1" s="2566"/>
    </row>
    <row r="2" spans="2:14" ht="15" x14ac:dyDescent="0.2">
      <c r="B2" s="2567">
        <f>'Single Audit Cover'!E7</f>
        <v>30073005002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7"/>
      <c r="J5" s="1917"/>
    </row>
    <row r="6" spans="2:14" x14ac:dyDescent="0.2">
      <c r="B6" s="1079"/>
      <c r="C6" s="1080"/>
      <c r="D6" s="1081" t="s">
        <v>1254</v>
      </c>
      <c r="E6" s="1082" t="s">
        <v>524</v>
      </c>
      <c r="F6" s="1083"/>
      <c r="G6" s="1084" t="s">
        <v>1711</v>
      </c>
      <c r="H6" s="1082"/>
      <c r="I6" s="1082"/>
      <c r="J6" s="191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1565</v>
      </c>
      <c r="I9" s="191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Tamaroa SD 5</v>
      </c>
      <c r="B1" s="2571"/>
      <c r="C1" s="2571"/>
      <c r="D1" s="2571"/>
      <c r="E1" s="2571"/>
      <c r="F1" s="2571"/>
    </row>
    <row r="2" spans="1:7" ht="13.5" customHeight="1" x14ac:dyDescent="0.2">
      <c r="A2" s="2567">
        <f>'Single Audit Cover'!E7</f>
        <v>30073005002</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2" colorId="8" zoomScaleNormal="100" workbookViewId="0">
      <selection activeCell="C16" sqref="C16:F1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Tamaroa SD 5</v>
      </c>
      <c r="C1" s="2587"/>
      <c r="D1" s="2587"/>
      <c r="E1" s="2587"/>
      <c r="F1" s="2587"/>
      <c r="G1" s="2587"/>
      <c r="H1" s="2587"/>
      <c r="I1" s="2587"/>
      <c r="J1" s="1178"/>
    </row>
    <row r="2" spans="2:10" s="295" customFormat="1" ht="12.75" customHeight="1" x14ac:dyDescent="0.2">
      <c r="B2" s="2588">
        <f>'Single Audit Cover'!E7</f>
        <v>30073005002</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9" t="str">
        <f>"Total Federal Expenditures for 7/1/"&amp;MID('AFR20'!E2,3,2)-1&amp;"-6/30/"&amp;MID('AFR20'!E2,3,2)</f>
        <v>Total Federal Expenditures for 7/1/19-6/30/20</v>
      </c>
      <c r="C45" s="1920"/>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Tamaroa SD 5</v>
      </c>
      <c r="C1" s="2586"/>
      <c r="D1" s="2586"/>
      <c r="E1" s="2586"/>
      <c r="F1" s="2586"/>
      <c r="G1" s="2586"/>
      <c r="H1" s="2586"/>
      <c r="I1" s="2586"/>
      <c r="J1" s="2586"/>
      <c r="K1" s="2586"/>
      <c r="L1" s="1144"/>
      <c r="M1" s="1144"/>
    </row>
    <row r="2" spans="1:13" ht="12" customHeight="1" x14ac:dyDescent="0.2">
      <c r="B2" s="2588">
        <f>'Single Audit Cover'!E7</f>
        <v>30073005002</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1"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Tamaroa SD 5</v>
      </c>
      <c r="C1" s="2613"/>
      <c r="D1" s="2613"/>
      <c r="E1" s="2613"/>
      <c r="F1" s="2613"/>
      <c r="G1" s="2613"/>
      <c r="H1" s="2613"/>
      <c r="I1" s="2613"/>
      <c r="J1" s="2613"/>
      <c r="K1" s="2613"/>
      <c r="L1" s="1221"/>
    </row>
    <row r="2" spans="1:12" ht="12.75" customHeight="1" x14ac:dyDescent="0.2">
      <c r="B2" s="2614">
        <f>'Single Audit Cover'!E7</f>
        <v>30073005002</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1"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Tamaroa SD 5</v>
      </c>
      <c r="C1" s="2586"/>
      <c r="D1" s="2586"/>
      <c r="E1" s="1240"/>
    </row>
    <row r="2" spans="2:5" s="1058" customFormat="1" ht="12.75" customHeight="1" x14ac:dyDescent="0.2">
      <c r="B2" s="2588">
        <f>'Single Audit Cover'!E7</f>
        <v>30073005002</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B31" sqref="B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8803610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1.4027E-2</v>
      </c>
      <c r="E10" s="333" t="s">
        <v>998</v>
      </c>
      <c r="F10" s="332">
        <v>3.261E-3</v>
      </c>
      <c r="G10" s="333" t="s">
        <v>998</v>
      </c>
      <c r="H10" s="332">
        <v>1.861E-3</v>
      </c>
      <c r="I10" s="333" t="s">
        <v>999</v>
      </c>
      <c r="J10" s="1424">
        <f>ROUND(D10+F10+H10,5)</f>
        <v>1.915E-2</v>
      </c>
      <c r="K10" s="217"/>
      <c r="L10" s="332">
        <v>4.6700000000000002E-4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1156532</v>
      </c>
      <c r="E16" s="1547"/>
      <c r="F16" s="1546">
        <f>SUM('Acct Summary 7-8'!C17,'Acct Summary 7-8'!D17,'Acct Summary 7-8'!F17)</f>
        <v>1078147</v>
      </c>
      <c r="G16" s="1547"/>
      <c r="H16" s="1546">
        <f>SUM(D16-F16)</f>
        <v>78385</v>
      </c>
      <c r="I16" s="1548"/>
      <c r="J16" s="1546">
        <f>SUM('Acct Summary 7-8'!C81,'Acct Summary 7-8'!D81,'Acct Summary 7-8'!F81,'Acct Summary 7-8'!I81)</f>
        <v>271756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2071</v>
      </c>
      <c r="C31" s="344" t="s">
        <v>582</v>
      </c>
      <c r="D31" s="232" t="s">
        <v>1063</v>
      </c>
      <c r="E31" s="217"/>
      <c r="F31" s="217"/>
      <c r="G31" s="340"/>
      <c r="H31" s="1425">
        <f>IF(B31="X",(J7*0.069),IF(B32="X",(J7*0.138),"Enter x in a.or b."))</f>
        <v>607449.09000000008</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221000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C16" sqref="C16:F1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Tamaroa SD 5</v>
      </c>
      <c r="E7" s="368"/>
      <c r="G7" s="247"/>
      <c r="H7" s="364"/>
      <c r="I7" s="364"/>
      <c r="J7" s="364"/>
      <c r="K7" s="364"/>
      <c r="L7" s="307"/>
      <c r="M7" s="307"/>
      <c r="N7" s="307"/>
      <c r="O7" s="307"/>
      <c r="P7" s="307"/>
    </row>
    <row r="8" spans="1:18" ht="12.75" x14ac:dyDescent="0.2">
      <c r="A8" s="307"/>
      <c r="B8" s="307"/>
      <c r="C8" s="366" t="s">
        <v>1115</v>
      </c>
      <c r="D8" s="369">
        <f>COVER!A13</f>
        <v>30073005002</v>
      </c>
      <c r="E8" s="370"/>
      <c r="G8" s="307"/>
      <c r="H8" s="307"/>
      <c r="I8" s="307"/>
      <c r="J8" s="307"/>
      <c r="K8" s="307"/>
      <c r="L8" s="307"/>
      <c r="M8" s="307"/>
      <c r="N8" s="307"/>
      <c r="O8" s="307"/>
      <c r="P8" s="307"/>
    </row>
    <row r="9" spans="1:18" ht="12.75" x14ac:dyDescent="0.2">
      <c r="A9" s="307"/>
      <c r="B9" s="307"/>
      <c r="C9" s="366" t="s">
        <v>708</v>
      </c>
      <c r="D9" s="371" t="str">
        <f>COVER!A15</f>
        <v>PERRY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271756</v>
      </c>
      <c r="I12" s="380"/>
      <c r="J12" s="380"/>
      <c r="K12" s="1559">
        <f>TRUNC((H12/H13*100000),5)/100000</f>
        <v>0.23497490770000001</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1156532</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1078147</v>
      </c>
      <c r="I17" s="380"/>
      <c r="J17" s="389"/>
      <c r="K17" s="1559">
        <f>TRUNC((H17/H18*100000),5)/100000</f>
        <v>0.93222409750000002</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1156532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271292</v>
      </c>
      <c r="I24" s="394"/>
      <c r="J24" s="394"/>
      <c r="K24" s="1555">
        <f>TRUNC(((H24/H25*100000)/100000),2)</f>
        <v>90.58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2994.8527800000002</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143300.76178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221000</v>
      </c>
      <c r="I32" s="392"/>
      <c r="J32" s="392"/>
      <c r="K32" s="1555">
        <f>TRUNC(100-((((H32/H33*100))*100)/100),2)</f>
        <v>63.61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607449.09000000008</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selection activeCell="N21" sqref="N2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213129</v>
      </c>
      <c r="D4" s="1573">
        <v>20461</v>
      </c>
      <c r="E4" s="1573">
        <v>1086</v>
      </c>
      <c r="F4" s="1573">
        <v>37702</v>
      </c>
      <c r="G4" s="1573">
        <v>18585</v>
      </c>
      <c r="H4" s="1573">
        <v>17021</v>
      </c>
      <c r="I4" s="1573"/>
      <c r="J4" s="1574">
        <v>32310</v>
      </c>
      <c r="K4" s="1573">
        <v>12049</v>
      </c>
      <c r="L4" s="1573">
        <v>8127</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v>6472</v>
      </c>
      <c r="D7" s="1574"/>
      <c r="E7" s="1574"/>
      <c r="F7" s="1574"/>
      <c r="G7" s="1574"/>
      <c r="H7" s="1574">
        <v>6008</v>
      </c>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219601</v>
      </c>
      <c r="D13" s="1587">
        <f t="shared" ref="D13:L13" si="0">SUM(D4:D12)</f>
        <v>20461</v>
      </c>
      <c r="E13" s="1587">
        <f t="shared" si="0"/>
        <v>1086</v>
      </c>
      <c r="F13" s="1587">
        <f t="shared" si="0"/>
        <v>37702</v>
      </c>
      <c r="G13" s="1587">
        <f t="shared" si="0"/>
        <v>18585</v>
      </c>
      <c r="H13" s="1587">
        <f t="shared" si="0"/>
        <v>23029</v>
      </c>
      <c r="I13" s="1587">
        <f t="shared" si="0"/>
        <v>0</v>
      </c>
      <c r="J13" s="1587">
        <f t="shared" si="0"/>
        <v>32310</v>
      </c>
      <c r="K13" s="1587">
        <f t="shared" si="0"/>
        <v>12049</v>
      </c>
      <c r="L13" s="1587">
        <f t="shared" si="0"/>
        <v>8127</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447475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21201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9076</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1086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219914</v>
      </c>
    </row>
    <row r="23" spans="1:14" ht="13.5" customHeight="1" thickBot="1" x14ac:dyDescent="0.25">
      <c r="A23" s="1426" t="s">
        <v>638</v>
      </c>
      <c r="B23" s="1429"/>
      <c r="C23" s="1575"/>
      <c r="D23" s="1575"/>
      <c r="E23" s="1575"/>
      <c r="F23" s="1575"/>
      <c r="G23" s="1575"/>
      <c r="H23" s="1575"/>
      <c r="I23" s="1575"/>
      <c r="J23" s="1575"/>
      <c r="K23" s="1575"/>
      <c r="L23" s="1575"/>
      <c r="M23" s="1594">
        <f>SUM(M15:M22)</f>
        <v>478752</v>
      </c>
      <c r="N23" s="1594">
        <f>SUM(N21:N22)</f>
        <v>221000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v>6008</v>
      </c>
      <c r="E25" s="1583"/>
      <c r="F25" s="1583"/>
      <c r="G25" s="1583">
        <v>6472</v>
      </c>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8127</v>
      </c>
      <c r="M33" s="1575"/>
      <c r="N33" s="1576"/>
    </row>
    <row r="34" spans="1:14" ht="13.5" customHeight="1" thickBot="1" x14ac:dyDescent="0.25">
      <c r="A34" s="1427" t="s">
        <v>649</v>
      </c>
      <c r="B34" s="1428"/>
      <c r="C34" s="1600">
        <f>SUM(C25:C33)</f>
        <v>0</v>
      </c>
      <c r="D34" s="1600">
        <f t="shared" ref="D34:K34" si="1">SUM(D25:D33)</f>
        <v>6008</v>
      </c>
      <c r="E34" s="1600">
        <f t="shared" si="1"/>
        <v>0</v>
      </c>
      <c r="F34" s="1600">
        <f t="shared" si="1"/>
        <v>0</v>
      </c>
      <c r="G34" s="1600">
        <f t="shared" si="1"/>
        <v>6472</v>
      </c>
      <c r="H34" s="1600">
        <f t="shared" si="1"/>
        <v>0</v>
      </c>
      <c r="I34" s="1600">
        <f t="shared" si="1"/>
        <v>0</v>
      </c>
      <c r="J34" s="1600">
        <f t="shared" si="1"/>
        <v>0</v>
      </c>
      <c r="K34" s="1600">
        <f t="shared" si="1"/>
        <v>0</v>
      </c>
      <c r="L34" s="1601">
        <f>SUM(L33)</f>
        <v>8127</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221000</v>
      </c>
    </row>
    <row r="37" spans="1:14" ht="13.5" thickBot="1" x14ac:dyDescent="0.25">
      <c r="A37" s="1426" t="s">
        <v>648</v>
      </c>
      <c r="B37" s="1429"/>
      <c r="C37" s="1582"/>
      <c r="D37" s="1582"/>
      <c r="E37" s="1582"/>
      <c r="F37" s="1582"/>
      <c r="G37" s="1582"/>
      <c r="H37" s="1582"/>
      <c r="I37" s="1582"/>
      <c r="J37" s="1582"/>
      <c r="K37" s="1582"/>
      <c r="L37" s="1585"/>
      <c r="M37" s="1575"/>
      <c r="N37" s="1594">
        <f>SUM(N36:N36)</f>
        <v>221000</v>
      </c>
    </row>
    <row r="38" spans="1:14" s="307" customFormat="1" ht="13.5" customHeight="1" thickTop="1" x14ac:dyDescent="0.2">
      <c r="A38" s="438" t="s">
        <v>417</v>
      </c>
      <c r="B38" s="432">
        <v>714</v>
      </c>
      <c r="C38" s="1573">
        <v>0</v>
      </c>
      <c r="D38" s="1573">
        <v>0</v>
      </c>
      <c r="E38" s="1573">
        <v>1086</v>
      </c>
      <c r="F38" s="1573">
        <v>37702</v>
      </c>
      <c r="G38" s="1573">
        <v>12113</v>
      </c>
      <c r="H38" s="1573">
        <v>23029</v>
      </c>
      <c r="I38" s="1573">
        <v>0</v>
      </c>
      <c r="J38" s="1574">
        <v>32310</v>
      </c>
      <c r="K38" s="1573">
        <v>12049</v>
      </c>
      <c r="L38" s="1586">
        <v>0</v>
      </c>
      <c r="M38" s="1604"/>
      <c r="N38" s="1604"/>
    </row>
    <row r="39" spans="1:14" s="307" customFormat="1" ht="13.5" customHeight="1" x14ac:dyDescent="0.2">
      <c r="A39" s="438" t="s">
        <v>339</v>
      </c>
      <c r="B39" s="432">
        <v>730</v>
      </c>
      <c r="C39" s="1573">
        <v>219601</v>
      </c>
      <c r="D39" s="1573">
        <v>14453</v>
      </c>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478752</v>
      </c>
      <c r="N40" s="1604"/>
    </row>
    <row r="41" spans="1:14" ht="13.5" customHeight="1" thickBot="1" x14ac:dyDescent="0.25">
      <c r="A41" s="1426" t="s">
        <v>650</v>
      </c>
      <c r="B41" s="1405"/>
      <c r="C41" s="1594">
        <f>(SUM(C34,C37,C38,C39))</f>
        <v>219601</v>
      </c>
      <c r="D41" s="1594">
        <f t="shared" ref="D41:L41" si="2">SUM(D34,D37,D38:D39)</f>
        <v>20461</v>
      </c>
      <c r="E41" s="1594">
        <f t="shared" si="2"/>
        <v>1086</v>
      </c>
      <c r="F41" s="1594">
        <f t="shared" si="2"/>
        <v>37702</v>
      </c>
      <c r="G41" s="1594">
        <f t="shared" si="2"/>
        <v>18585</v>
      </c>
      <c r="H41" s="1594">
        <f t="shared" si="2"/>
        <v>23029</v>
      </c>
      <c r="I41" s="1594">
        <f t="shared" si="2"/>
        <v>0</v>
      </c>
      <c r="J41" s="1594">
        <f t="shared" si="2"/>
        <v>32310</v>
      </c>
      <c r="K41" s="1594">
        <f t="shared" si="2"/>
        <v>12049</v>
      </c>
      <c r="L41" s="1594">
        <f t="shared" si="2"/>
        <v>8127</v>
      </c>
      <c r="M41" s="1594">
        <f>SUM(M40)</f>
        <v>478752</v>
      </c>
      <c r="N41" s="1594">
        <f>SUM(N37)</f>
        <v>221000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87"/>
  <sheetViews>
    <sheetView showGridLines="0" defaultGridColor="0" view="pageBreakPreview" colorId="8" zoomScaleNormal="110" zoomScaleSheetLayoutView="100" workbookViewId="0">
      <pane ySplit="2" topLeftCell="A30" activePane="bottomLeft" state="frozen"/>
      <selection activeCell="C16" sqref="C16:F16"/>
      <selection pane="bottomLeft" activeCell="C16" sqref="C16:F1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167576</v>
      </c>
      <c r="D4" s="1606">
        <f>'Revenues 9-14'!D109</f>
        <v>39631</v>
      </c>
      <c r="E4" s="1606">
        <f>'Revenues 9-14'!E109</f>
        <v>46962</v>
      </c>
      <c r="F4" s="1606">
        <f>'Revenues 9-14'!F109</f>
        <v>16455</v>
      </c>
      <c r="G4" s="1606">
        <f>'Revenues 9-14'!G109</f>
        <v>35970</v>
      </c>
      <c r="H4" s="1606">
        <f>'Revenues 9-14'!H109</f>
        <v>6998</v>
      </c>
      <c r="I4" s="1606">
        <f>'Revenues 9-14'!I109</f>
        <v>4114</v>
      </c>
      <c r="J4" s="1606">
        <f>'Revenues 9-14'!J109</f>
        <v>60150</v>
      </c>
      <c r="K4" s="1606">
        <f>'Revenues 9-14'!K109</f>
        <v>4114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614724</v>
      </c>
      <c r="D6" s="1607">
        <f>'Revenues 9-14'!D170</f>
        <v>58000</v>
      </c>
      <c r="E6" s="1607">
        <f>'Revenues 9-14'!E170</f>
        <v>0</v>
      </c>
      <c r="F6" s="1607">
        <f>'Revenues 9-14'!F170</f>
        <v>72971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183061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965361</v>
      </c>
      <c r="D8" s="1594">
        <f t="shared" ref="D8:K8" si="0">SUM(D4:D7)</f>
        <v>97631</v>
      </c>
      <c r="E8" s="1594">
        <f t="shared" si="0"/>
        <v>46962</v>
      </c>
      <c r="F8" s="1594">
        <f t="shared" si="0"/>
        <v>89426</v>
      </c>
      <c r="G8" s="1594">
        <f t="shared" si="0"/>
        <v>35970</v>
      </c>
      <c r="H8" s="1594">
        <f t="shared" si="0"/>
        <v>6998</v>
      </c>
      <c r="I8" s="1594">
        <f t="shared" si="0"/>
        <v>4114</v>
      </c>
      <c r="J8" s="1594">
        <f t="shared" si="0"/>
        <v>60150</v>
      </c>
      <c r="K8" s="1594">
        <f t="shared" si="0"/>
        <v>4114</v>
      </c>
      <c r="L8" s="325"/>
    </row>
    <row r="9" spans="1:13" ht="15.75" thickTop="1" x14ac:dyDescent="0.2">
      <c r="A9" s="449" t="s">
        <v>1634</v>
      </c>
      <c r="B9" s="450">
        <v>3998</v>
      </c>
      <c r="C9" s="1586">
        <v>477719</v>
      </c>
      <c r="D9" s="1613"/>
      <c r="E9" s="1586"/>
      <c r="F9" s="1586"/>
      <c r="G9" s="1614"/>
      <c r="H9" s="1586"/>
      <c r="I9" s="1609" t="s">
        <v>1159</v>
      </c>
      <c r="J9" s="1583"/>
      <c r="K9" s="1586"/>
      <c r="L9" s="325"/>
    </row>
    <row r="10" spans="1:13" s="452" customFormat="1" ht="13.5" thickBot="1" x14ac:dyDescent="0.25">
      <c r="A10" s="1426" t="s">
        <v>1163</v>
      </c>
      <c r="B10" s="1407"/>
      <c r="C10" s="1594">
        <f>SUM(C8:C9)</f>
        <v>1443080</v>
      </c>
      <c r="D10" s="1594">
        <f t="shared" ref="D10:K10" si="1">SUM(D8:D9)</f>
        <v>97631</v>
      </c>
      <c r="E10" s="1594">
        <f t="shared" si="1"/>
        <v>46962</v>
      </c>
      <c r="F10" s="1594">
        <f t="shared" si="1"/>
        <v>89426</v>
      </c>
      <c r="G10" s="1594">
        <f t="shared" si="1"/>
        <v>35970</v>
      </c>
      <c r="H10" s="1594">
        <f t="shared" si="1"/>
        <v>6998</v>
      </c>
      <c r="I10" s="1594">
        <f t="shared" si="1"/>
        <v>4114</v>
      </c>
      <c r="J10" s="1594">
        <f t="shared" si="1"/>
        <v>60150</v>
      </c>
      <c r="K10" s="1594">
        <f t="shared" si="1"/>
        <v>4114</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557326</v>
      </c>
      <c r="D12" s="1616" t="s">
        <v>1159</v>
      </c>
      <c r="E12" s="1575" t="s">
        <v>1159</v>
      </c>
      <c r="F12" s="1575" t="s">
        <v>1159</v>
      </c>
      <c r="G12" s="1606">
        <f>'Expenditures 15-22'!K229</f>
        <v>14675</v>
      </c>
      <c r="H12" s="1617"/>
      <c r="I12" s="1575" t="s">
        <v>1159</v>
      </c>
      <c r="J12" s="1575" t="s">
        <v>1159</v>
      </c>
      <c r="K12" s="1617" t="s">
        <v>1159</v>
      </c>
      <c r="L12" s="325"/>
    </row>
    <row r="13" spans="1:13" ht="15.75" customHeight="1" x14ac:dyDescent="0.2">
      <c r="A13" s="1314" t="s">
        <v>454</v>
      </c>
      <c r="B13" s="1316">
        <v>2000</v>
      </c>
      <c r="C13" s="1607">
        <f>'Expenditures 15-22'!K74</f>
        <v>230584</v>
      </c>
      <c r="D13" s="1607">
        <f>'Expenditures 15-22'!K129</f>
        <v>91285</v>
      </c>
      <c r="E13" s="1576" t="s">
        <v>1159</v>
      </c>
      <c r="F13" s="1607">
        <f>'Expenditures 15-22'!K184</f>
        <v>82314</v>
      </c>
      <c r="G13" s="1607">
        <f>'Expenditures 15-22'!K279</f>
        <v>20125</v>
      </c>
      <c r="H13" s="1607">
        <f>'Expenditures 15-22'!K303</f>
        <v>0</v>
      </c>
      <c r="I13" s="1575" t="s">
        <v>1159</v>
      </c>
      <c r="J13" s="1607">
        <f>'Expenditures 15-22'!K330</f>
        <v>107033</v>
      </c>
      <c r="K13" s="1618">
        <f>'Expenditures 15-22'!K352</f>
        <v>779</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116638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45876</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904548</v>
      </c>
      <c r="D17" s="1594">
        <f t="shared" si="2"/>
        <v>91285</v>
      </c>
      <c r="E17" s="1594">
        <f t="shared" si="2"/>
        <v>45876</v>
      </c>
      <c r="F17" s="1594">
        <f t="shared" si="2"/>
        <v>82314</v>
      </c>
      <c r="G17" s="1594">
        <f t="shared" si="2"/>
        <v>34800</v>
      </c>
      <c r="H17" s="1594">
        <f t="shared" si="2"/>
        <v>0</v>
      </c>
      <c r="I17" s="1575"/>
      <c r="J17" s="1594">
        <f>SUM(J12:J16)</f>
        <v>107033</v>
      </c>
      <c r="K17" s="1594">
        <f>SUM(K12:K16)</f>
        <v>779</v>
      </c>
      <c r="L17" s="325"/>
    </row>
    <row r="18" spans="1:12" ht="15" customHeight="1" thickTop="1" x14ac:dyDescent="0.2">
      <c r="A18" s="1430" t="s">
        <v>1635</v>
      </c>
      <c r="B18" s="1431">
        <v>4180</v>
      </c>
      <c r="C18" s="1606">
        <f t="shared" ref="C18:H18" si="3">C9</f>
        <v>477719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1382267</v>
      </c>
      <c r="D19" s="1594">
        <f t="shared" si="4"/>
        <v>91285</v>
      </c>
      <c r="E19" s="1594">
        <f t="shared" si="4"/>
        <v>45876</v>
      </c>
      <c r="F19" s="1594">
        <f t="shared" si="4"/>
        <v>82314</v>
      </c>
      <c r="G19" s="1594">
        <f t="shared" si="4"/>
        <v>34800</v>
      </c>
      <c r="H19" s="1594">
        <f t="shared" si="4"/>
        <v>0</v>
      </c>
      <c r="I19" s="1575"/>
      <c r="J19" s="1594">
        <f>SUM(J17:J18)</f>
        <v>107033</v>
      </c>
      <c r="K19" s="1594">
        <f>SUM(K17:K18)</f>
        <v>779</v>
      </c>
      <c r="L19" s="325"/>
    </row>
    <row r="20" spans="1:12" ht="16.5" thickTop="1" thickBot="1" x14ac:dyDescent="0.25">
      <c r="A20" s="2231" t="s">
        <v>1636</v>
      </c>
      <c r="B20" s="2232"/>
      <c r="C20" s="1622">
        <f>C8-C17</f>
        <v>60813</v>
      </c>
      <c r="D20" s="1622">
        <f t="shared" ref="D20:K20" si="5">D8-D17</f>
        <v>6346</v>
      </c>
      <c r="E20" s="1622">
        <f t="shared" si="5"/>
        <v>1086</v>
      </c>
      <c r="F20" s="1622">
        <f t="shared" si="5"/>
        <v>7112</v>
      </c>
      <c r="G20" s="1622">
        <f t="shared" si="5"/>
        <v>1170</v>
      </c>
      <c r="H20" s="1622">
        <f t="shared" si="5"/>
        <v>6998</v>
      </c>
      <c r="I20" s="1622">
        <f t="shared" si="5"/>
        <v>4114</v>
      </c>
      <c r="J20" s="1622">
        <f t="shared" si="5"/>
        <v>-46883</v>
      </c>
      <c r="K20" s="1622">
        <f t="shared" si="5"/>
        <v>3335</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v>22529</v>
      </c>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22529</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22529</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22529</v>
      </c>
      <c r="J76" s="1624">
        <f t="shared" si="7"/>
        <v>0</v>
      </c>
      <c r="K76" s="1624">
        <f t="shared" si="7"/>
        <v>0</v>
      </c>
      <c r="L76" s="453"/>
    </row>
    <row r="77" spans="1:12" ht="14.25" thickTop="1" thickBot="1" x14ac:dyDescent="0.25">
      <c r="A77" s="2223" t="s">
        <v>1167</v>
      </c>
      <c r="B77" s="2224"/>
      <c r="C77" s="1624">
        <f t="shared" ref="C77:K77" si="8">C44-C76</f>
        <v>22529</v>
      </c>
      <c r="D77" s="1624">
        <f t="shared" si="8"/>
        <v>0</v>
      </c>
      <c r="E77" s="1624">
        <f t="shared" si="8"/>
        <v>0</v>
      </c>
      <c r="F77" s="1624">
        <f t="shared" si="8"/>
        <v>0</v>
      </c>
      <c r="G77" s="1624">
        <f t="shared" si="8"/>
        <v>0</v>
      </c>
      <c r="H77" s="1624">
        <f t="shared" si="8"/>
        <v>0</v>
      </c>
      <c r="I77" s="1624">
        <f t="shared" si="8"/>
        <v>-22529</v>
      </c>
      <c r="J77" s="1624">
        <f t="shared" si="8"/>
        <v>0</v>
      </c>
      <c r="K77" s="1624">
        <f t="shared" si="8"/>
        <v>0</v>
      </c>
      <c r="L77" s="325"/>
    </row>
    <row r="78" spans="1:12" ht="21.75" customHeight="1" thickTop="1" thickBot="1" x14ac:dyDescent="0.25">
      <c r="A78" s="2227" t="s">
        <v>593</v>
      </c>
      <c r="B78" s="2228"/>
      <c r="C78" s="1629">
        <f t="shared" ref="C78:K78" si="9">C20+C77</f>
        <v>83342</v>
      </c>
      <c r="D78" s="1629">
        <f t="shared" si="9"/>
        <v>6346</v>
      </c>
      <c r="E78" s="1629">
        <f t="shared" si="9"/>
        <v>1086</v>
      </c>
      <c r="F78" s="1629">
        <f t="shared" si="9"/>
        <v>7112</v>
      </c>
      <c r="G78" s="1629">
        <f t="shared" si="9"/>
        <v>1170</v>
      </c>
      <c r="H78" s="1629">
        <f t="shared" si="9"/>
        <v>6998</v>
      </c>
      <c r="I78" s="1629">
        <f t="shared" si="9"/>
        <v>-18415</v>
      </c>
      <c r="J78" s="1629">
        <f t="shared" si="9"/>
        <v>-46883</v>
      </c>
      <c r="K78" s="1629">
        <f t="shared" si="9"/>
        <v>3335</v>
      </c>
      <c r="L78" s="457"/>
    </row>
    <row r="79" spans="1:12" ht="13.5" thickTop="1" x14ac:dyDescent="0.2">
      <c r="A79" s="1844" t="str">
        <f>"Fund Balances - July 1, "&amp;'AFR20'!E2-1</f>
        <v>Fund Balances - July 1, 2019</v>
      </c>
      <c r="B79" s="458"/>
      <c r="C79" s="1583">
        <v>136259</v>
      </c>
      <c r="D79" s="1630">
        <v>8107</v>
      </c>
      <c r="E79" s="1630">
        <v>0</v>
      </c>
      <c r="F79" s="1630">
        <v>30590</v>
      </c>
      <c r="G79" s="1630">
        <v>10943</v>
      </c>
      <c r="H79" s="1630">
        <v>16031</v>
      </c>
      <c r="I79" s="1630">
        <v>18415</v>
      </c>
      <c r="J79" s="1630">
        <v>79193</v>
      </c>
      <c r="K79" s="1630">
        <v>8714</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219601</v>
      </c>
      <c r="D81" s="1594">
        <f>SUM(D78:D80)</f>
        <v>14453</v>
      </c>
      <c r="E81" s="1594">
        <f t="shared" ref="E81:K81" si="10">SUM(E78:E80)</f>
        <v>1086</v>
      </c>
      <c r="F81" s="1594">
        <f t="shared" si="10"/>
        <v>37702</v>
      </c>
      <c r="G81" s="1594">
        <f t="shared" si="10"/>
        <v>12113</v>
      </c>
      <c r="H81" s="1594">
        <f t="shared" si="10"/>
        <v>23029</v>
      </c>
      <c r="I81" s="1594">
        <f t="shared" si="10"/>
        <v>0</v>
      </c>
      <c r="J81" s="1594">
        <f t="shared" si="10"/>
        <v>32310</v>
      </c>
      <c r="K81" s="1594">
        <f t="shared" si="10"/>
        <v>12049</v>
      </c>
      <c r="L81" s="325"/>
    </row>
    <row r="82" spans="1:12" ht="0.75" customHeight="1" thickTop="1" thickBot="1" x14ac:dyDescent="0.25">
      <c r="A82" s="459" t="s">
        <v>340</v>
      </c>
      <c r="B82" s="460"/>
      <c r="C82" s="461">
        <f>(C81-C79)</f>
        <v>83342</v>
      </c>
      <c r="D82" s="461">
        <f t="shared" ref="D82:K82" si="11">(D81-D79)</f>
        <v>6346</v>
      </c>
      <c r="E82" s="461">
        <f t="shared" si="11"/>
        <v>1086</v>
      </c>
      <c r="F82" s="461">
        <f t="shared" si="11"/>
        <v>7112</v>
      </c>
      <c r="G82" s="461">
        <f t="shared" si="11"/>
        <v>1170</v>
      </c>
      <c r="H82" s="461">
        <f t="shared" si="11"/>
        <v>6998</v>
      </c>
      <c r="I82" s="461">
        <f t="shared" si="11"/>
        <v>-18415</v>
      </c>
      <c r="J82" s="461">
        <f t="shared" si="11"/>
        <v>-46883</v>
      </c>
      <c r="K82" s="461">
        <f t="shared" si="11"/>
        <v>3335</v>
      </c>
    </row>
    <row r="83" spans="1:12" ht="14.25" hidden="1" thickTop="1" thickBot="1" x14ac:dyDescent="0.25">
      <c r="A83" s="462" t="s">
        <v>341</v>
      </c>
      <c r="B83" s="428"/>
      <c r="C83" s="463">
        <f>C82/C81</f>
        <v>0.37951557597642999</v>
      </c>
      <c r="D83" s="463">
        <f t="shared" ref="D83:K83" si="12">D82/D81</f>
        <v>0.43907839202933646</v>
      </c>
      <c r="E83" s="463">
        <f t="shared" si="12"/>
        <v>1</v>
      </c>
      <c r="F83" s="463">
        <f t="shared" si="12"/>
        <v>0.18863720757519495</v>
      </c>
      <c r="G83" s="463">
        <f t="shared" si="12"/>
        <v>9.6590440023115662E-2</v>
      </c>
      <c r="H83" s="463">
        <f t="shared" si="12"/>
        <v>0.3038777193972817</v>
      </c>
      <c r="I83" s="463" t="e">
        <f t="shared" si="12"/>
        <v>#DIV/0!</v>
      </c>
      <c r="J83" s="463">
        <f t="shared" si="12"/>
        <v>-1.4510368307025689</v>
      </c>
      <c r="K83" s="463">
        <f t="shared" si="12"/>
        <v>0.27678645530749441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55"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view="pageBreakPreview" colorId="8" zoomScale="75" zoomScaleNormal="110" zoomScaleSheetLayoutView="75" workbookViewId="0">
      <pane ySplit="2" topLeftCell="A84" activePane="bottomLeft" state="frozen"/>
      <selection activeCell="C16" sqref="C16:F16"/>
      <selection pane="bottomLeft" activeCell="E103" sqref="E10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123410</v>
      </c>
      <c r="D5" s="1586">
        <v>28796</v>
      </c>
      <c r="E5" s="1573">
        <v>13773</v>
      </c>
      <c r="F5" s="1631">
        <v>16455</v>
      </c>
      <c r="G5" s="1573">
        <v>16364</v>
      </c>
      <c r="H5" s="1573"/>
      <c r="I5" s="1573">
        <v>4114</v>
      </c>
      <c r="J5" s="1574">
        <v>60150</v>
      </c>
      <c r="K5" s="1573">
        <v>4114</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1646</v>
      </c>
      <c r="D7" s="1573"/>
      <c r="E7" s="1575"/>
      <c r="F7" s="1574"/>
      <c r="G7" s="1574"/>
      <c r="H7" s="1574"/>
      <c r="I7" s="1575"/>
      <c r="J7" s="1575"/>
      <c r="K7" s="1575"/>
    </row>
    <row r="8" spans="1:12" x14ac:dyDescent="0.2">
      <c r="A8" s="427" t="s">
        <v>410</v>
      </c>
      <c r="B8" s="429">
        <v>1150</v>
      </c>
      <c r="C8" s="1580"/>
      <c r="D8" s="1580"/>
      <c r="E8" s="1582"/>
      <c r="F8" s="1582"/>
      <c r="G8" s="1586">
        <v>19606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v>4114</v>
      </c>
      <c r="I11" s="1573"/>
      <c r="J11" s="1574"/>
      <c r="K11" s="1573"/>
      <c r="L11" s="473"/>
    </row>
    <row r="12" spans="1:12" ht="12.75" customHeight="1" thickBot="1" x14ac:dyDescent="0.25">
      <c r="A12" s="1404" t="s">
        <v>29</v>
      </c>
      <c r="B12" s="1405"/>
      <c r="C12" s="1633">
        <f t="shared" ref="C12:K12" si="0">SUM(C5:C11)</f>
        <v>125056</v>
      </c>
      <c r="D12" s="1633">
        <f t="shared" si="0"/>
        <v>28796</v>
      </c>
      <c r="E12" s="1633">
        <f t="shared" si="0"/>
        <v>13773</v>
      </c>
      <c r="F12" s="1633">
        <f t="shared" si="0"/>
        <v>16455</v>
      </c>
      <c r="G12" s="1633">
        <f t="shared" si="0"/>
        <v>35970</v>
      </c>
      <c r="H12" s="1633">
        <f t="shared" si="0"/>
        <v>4114</v>
      </c>
      <c r="I12" s="1633">
        <f t="shared" si="0"/>
        <v>4114</v>
      </c>
      <c r="J12" s="1633">
        <f t="shared" si="0"/>
        <v>60150</v>
      </c>
      <c r="K12" s="1594">
        <f t="shared" si="0"/>
        <v>4114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v>2444</v>
      </c>
      <c r="D15" s="1573"/>
      <c r="E15" s="1573"/>
      <c r="F15" s="1573"/>
      <c r="G15" s="1573"/>
      <c r="H15" s="1573"/>
      <c r="I15" s="1573"/>
      <c r="J15" s="1574"/>
      <c r="K15" s="1573"/>
    </row>
    <row r="16" spans="1:12" ht="15" customHeight="1" x14ac:dyDescent="0.2">
      <c r="A16" s="427" t="s">
        <v>1644</v>
      </c>
      <c r="B16" s="471">
        <v>1230</v>
      </c>
      <c r="C16" s="1632">
        <v>18783</v>
      </c>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21227</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249</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249</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125</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125</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1490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1490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33189</v>
      </c>
      <c r="F103" s="1575"/>
      <c r="G103" s="1575"/>
      <c r="H103" s="1598">
        <v>2884</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19429</v>
      </c>
      <c r="D107" s="1573">
        <v>10835</v>
      </c>
      <c r="E107" s="1573"/>
      <c r="F107" s="1573"/>
      <c r="G107" s="1573"/>
      <c r="H107" s="1573"/>
      <c r="I107" s="1573"/>
      <c r="J107" s="1574"/>
      <c r="K107" s="1573"/>
    </row>
    <row r="108" spans="1:12" ht="12.75" customHeight="1" thickBot="1" x14ac:dyDescent="0.25">
      <c r="A108" s="1406" t="s">
        <v>484</v>
      </c>
      <c r="B108" s="1408"/>
      <c r="C108" s="1633">
        <f>SUM(C95:C107)</f>
        <v>19429</v>
      </c>
      <c r="D108" s="1633">
        <f t="shared" ref="D108:K108" si="3">SUM(D95:D107)</f>
        <v>10835</v>
      </c>
      <c r="E108" s="1633">
        <f t="shared" si="3"/>
        <v>33189</v>
      </c>
      <c r="F108" s="1633">
        <f t="shared" si="3"/>
        <v>0</v>
      </c>
      <c r="G108" s="1633">
        <f t="shared" si="3"/>
        <v>0</v>
      </c>
      <c r="H108" s="1633">
        <f t="shared" si="3"/>
        <v>2884</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167576</v>
      </c>
      <c r="D109" s="1641">
        <f t="shared" si="4"/>
        <v>39631</v>
      </c>
      <c r="E109" s="1641">
        <f t="shared" si="4"/>
        <v>46962</v>
      </c>
      <c r="F109" s="1641">
        <f t="shared" si="4"/>
        <v>16455</v>
      </c>
      <c r="G109" s="1641">
        <f t="shared" si="4"/>
        <v>35970</v>
      </c>
      <c r="H109" s="1641">
        <f t="shared" si="4"/>
        <v>6998</v>
      </c>
      <c r="I109" s="1641">
        <f t="shared" si="4"/>
        <v>4114</v>
      </c>
      <c r="J109" s="1641">
        <f t="shared" si="4"/>
        <v>60150</v>
      </c>
      <c r="K109" s="1629">
        <f t="shared" si="4"/>
        <v>4114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605540</v>
      </c>
      <c r="D117" s="1586">
        <v>58000</v>
      </c>
      <c r="E117" s="1573"/>
      <c r="F117" s="1586">
        <v>10000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605540</v>
      </c>
      <c r="D122" s="1633">
        <f t="shared" si="5"/>
        <v>58000</v>
      </c>
      <c r="E122" s="1633">
        <f t="shared" si="5"/>
        <v>0</v>
      </c>
      <c r="F122" s="1633">
        <f t="shared" si="5"/>
        <v>10000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v>6143</v>
      </c>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6143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f>524+267</f>
        <v>791</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26273</v>
      </c>
      <c r="G152" s="1574"/>
      <c r="H152" s="1575"/>
      <c r="I152" s="1575"/>
      <c r="J152" s="1575"/>
      <c r="K152" s="1575"/>
    </row>
    <row r="153" spans="1:11" ht="12.75" customHeight="1" x14ac:dyDescent="0.2">
      <c r="A153" s="427" t="s">
        <v>1048</v>
      </c>
      <c r="B153" s="478">
        <v>3510</v>
      </c>
      <c r="C153" s="1632"/>
      <c r="D153" s="1573"/>
      <c r="E153" s="1640"/>
      <c r="F153" s="1573">
        <v>36698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62971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2250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9184</v>
      </c>
      <c r="D169" s="1658">
        <f t="shared" si="6"/>
        <v>0</v>
      </c>
      <c r="E169" s="1658">
        <f t="shared" si="6"/>
        <v>0</v>
      </c>
      <c r="F169" s="1658">
        <f t="shared" si="6"/>
        <v>62971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614724</v>
      </c>
      <c r="D170" s="1641">
        <f t="shared" si="7"/>
        <v>58000</v>
      </c>
      <c r="E170" s="1641">
        <f t="shared" si="7"/>
        <v>0</v>
      </c>
      <c r="F170" s="1641">
        <f t="shared" si="7"/>
        <v>72971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v>20188</v>
      </c>
      <c r="D174" s="1573"/>
      <c r="E174" s="1574"/>
      <c r="F174" s="1573"/>
      <c r="G174" s="1573"/>
      <c r="H174" s="1574"/>
      <c r="I174" s="1574"/>
      <c r="J174" s="1574"/>
      <c r="K174" s="1574"/>
    </row>
    <row r="175" spans="1:11" ht="13.5" thickBot="1" x14ac:dyDescent="0.25">
      <c r="A175" s="2255" t="s">
        <v>1646</v>
      </c>
      <c r="B175" s="2256"/>
      <c r="C175" s="1633">
        <f>SUM(C173:C174)</f>
        <v>20188</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35336</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16740</v>
      </c>
      <c r="D193" s="1575"/>
      <c r="E193" s="1640"/>
      <c r="F193" s="1575"/>
      <c r="G193" s="1664"/>
      <c r="H193" s="1575"/>
      <c r="I193" s="1575"/>
      <c r="J193" s="1575"/>
      <c r="K193" s="1575"/>
    </row>
    <row r="194" spans="1:11" ht="12.75" customHeight="1" x14ac:dyDescent="0.2">
      <c r="A194" s="427" t="s">
        <v>1434</v>
      </c>
      <c r="B194" s="429">
        <v>4225</v>
      </c>
      <c r="C194" s="1632">
        <v>6698</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58774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48392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48392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6568</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6568</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27715</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27715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5092</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16332</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162873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183061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965361</v>
      </c>
      <c r="D268" s="1641">
        <f t="shared" si="12"/>
        <v>97631</v>
      </c>
      <c r="E268" s="1641">
        <f t="shared" si="12"/>
        <v>46962</v>
      </c>
      <c r="F268" s="1641">
        <f t="shared" si="12"/>
        <v>89426</v>
      </c>
      <c r="G268" s="1641">
        <f t="shared" si="12"/>
        <v>35970</v>
      </c>
      <c r="H268" s="1641">
        <f t="shared" si="12"/>
        <v>6998</v>
      </c>
      <c r="I268" s="1641">
        <f t="shared" si="12"/>
        <v>4114</v>
      </c>
      <c r="J268" s="1641">
        <f t="shared" si="12"/>
        <v>60150</v>
      </c>
      <c r="K268" s="1629">
        <f t="shared" si="12"/>
        <v>4114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colorId="8" zoomScale="110" zoomScaleNormal="110" workbookViewId="0">
      <pane ySplit="2" topLeftCell="A3" activePane="bottomLeft" state="frozen"/>
      <selection activeCell="C16" sqref="C16:F16"/>
      <selection pane="bottomLeft" activeCell="H60" sqref="H6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364617</v>
      </c>
      <c r="D5" s="1573">
        <v>78492</v>
      </c>
      <c r="E5" s="1573"/>
      <c r="F5" s="1573">
        <v>9042</v>
      </c>
      <c r="G5" s="1573"/>
      <c r="H5" s="1573">
        <v>14675</v>
      </c>
      <c r="I5" s="1574"/>
      <c r="J5" s="1574"/>
      <c r="K5" s="1672">
        <f>SUM(C5:J5)</f>
        <v>466826</v>
      </c>
      <c r="L5" s="1573">
        <v>476806</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19514</v>
      </c>
      <c r="D8" s="1573">
        <v>7286</v>
      </c>
      <c r="E8" s="1573"/>
      <c r="F8" s="1573">
        <v>4893</v>
      </c>
      <c r="G8" s="1573"/>
      <c r="H8" s="1573"/>
      <c r="I8" s="1574"/>
      <c r="J8" s="1574"/>
      <c r="K8" s="1672">
        <f t="shared" si="0"/>
        <v>31693</v>
      </c>
      <c r="L8" s="1573">
        <v>38910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37424</v>
      </c>
      <c r="D10" s="1573">
        <v>1927</v>
      </c>
      <c r="E10" s="1573">
        <v>3295</v>
      </c>
      <c r="F10" s="1573">
        <f>1460+7843+563</f>
        <v>9866</v>
      </c>
      <c r="G10" s="1573"/>
      <c r="H10" s="1573"/>
      <c r="I10" s="1574"/>
      <c r="J10" s="1574"/>
      <c r="K10" s="1672">
        <f t="shared" si="0"/>
        <v>52512</v>
      </c>
      <c r="L10" s="1573">
        <f>44646-6000</f>
        <v>38646</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v>6295</v>
      </c>
      <c r="E14" s="1573"/>
      <c r="F14" s="1573"/>
      <c r="G14" s="1573"/>
      <c r="H14" s="1573"/>
      <c r="I14" s="1574"/>
      <c r="J14" s="1574"/>
      <c r="K14" s="1672">
        <f t="shared" si="0"/>
        <v>6295</v>
      </c>
      <c r="L14" s="1573">
        <v>6000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421555</v>
      </c>
      <c r="D33" s="1674">
        <f t="shared" ref="D33:L33" si="1">SUM(D5:D32)</f>
        <v>94000</v>
      </c>
      <c r="E33" s="1674">
        <f t="shared" si="1"/>
        <v>3295</v>
      </c>
      <c r="F33" s="1674">
        <f t="shared" si="1"/>
        <v>23801</v>
      </c>
      <c r="G33" s="1674">
        <f t="shared" si="1"/>
        <v>0</v>
      </c>
      <c r="H33" s="1674">
        <f t="shared" si="1"/>
        <v>14675</v>
      </c>
      <c r="I33" s="1674">
        <f t="shared" si="1"/>
        <v>0</v>
      </c>
      <c r="J33" s="1674">
        <f t="shared" si="1"/>
        <v>0</v>
      </c>
      <c r="K33" s="1674">
        <f t="shared" si="1"/>
        <v>557326</v>
      </c>
      <c r="L33" s="1674">
        <f t="shared" si="1"/>
        <v>560362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23381</v>
      </c>
      <c r="D38" s="1573"/>
      <c r="E38" s="1573">
        <v>768</v>
      </c>
      <c r="F38" s="1573"/>
      <c r="G38" s="1573"/>
      <c r="H38" s="1573"/>
      <c r="I38" s="1574"/>
      <c r="J38" s="1574"/>
      <c r="K38" s="1672">
        <f t="shared" si="2"/>
        <v>24149</v>
      </c>
      <c r="L38" s="1573">
        <f>350+20659</f>
        <v>21009</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v>2258</v>
      </c>
      <c r="E40" s="1573"/>
      <c r="F40" s="1573">
        <v>604</v>
      </c>
      <c r="G40" s="1573"/>
      <c r="H40" s="1573"/>
      <c r="I40" s="1574"/>
      <c r="J40" s="1574"/>
      <c r="K40" s="1672">
        <f t="shared" si="2"/>
        <v>2862</v>
      </c>
      <c r="L40" s="1573">
        <v>2675</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23381</v>
      </c>
      <c r="D42" s="1674">
        <f t="shared" ref="D42:L42" si="3">SUM(D36:D41)</f>
        <v>2258</v>
      </c>
      <c r="E42" s="1674">
        <f t="shared" si="3"/>
        <v>768</v>
      </c>
      <c r="F42" s="1674">
        <f t="shared" si="3"/>
        <v>604</v>
      </c>
      <c r="G42" s="1674">
        <f t="shared" si="3"/>
        <v>0</v>
      </c>
      <c r="H42" s="1674">
        <f t="shared" si="3"/>
        <v>0</v>
      </c>
      <c r="I42" s="1674">
        <f t="shared" si="3"/>
        <v>0</v>
      </c>
      <c r="J42" s="1674">
        <f t="shared" si="3"/>
        <v>0</v>
      </c>
      <c r="K42" s="1674">
        <f t="shared" si="3"/>
        <v>27011</v>
      </c>
      <c r="L42" s="1674">
        <f t="shared" si="3"/>
        <v>23684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0</v>
      </c>
      <c r="G47" s="1674">
        <f t="shared" si="4"/>
        <v>0</v>
      </c>
      <c r="H47" s="1674">
        <f t="shared" si="4"/>
        <v>0</v>
      </c>
      <c r="I47" s="1674">
        <f t="shared" si="4"/>
        <v>0</v>
      </c>
      <c r="J47" s="1674">
        <f t="shared" si="4"/>
        <v>0</v>
      </c>
      <c r="K47" s="1674">
        <f t="shared" si="4"/>
        <v>0</v>
      </c>
      <c r="L47" s="1674">
        <f>SUM(L44:L46)</f>
        <v>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4433</v>
      </c>
      <c r="F49" s="1586"/>
      <c r="G49" s="1586"/>
      <c r="H49" s="1586"/>
      <c r="I49" s="1574"/>
      <c r="J49" s="1574"/>
      <c r="K49" s="1678">
        <f>SUM(C49:J49)</f>
        <v>4433</v>
      </c>
      <c r="L49" s="1586">
        <v>9000</v>
      </c>
    </row>
    <row r="50" spans="1:14" x14ac:dyDescent="0.2">
      <c r="A50" s="1274" t="s">
        <v>813</v>
      </c>
      <c r="B50" s="503">
        <v>2320</v>
      </c>
      <c r="C50" s="1573">
        <v>70400</v>
      </c>
      <c r="D50" s="1573">
        <v>9826</v>
      </c>
      <c r="E50" s="1573"/>
      <c r="F50" s="1573">
        <v>132</v>
      </c>
      <c r="G50" s="1573"/>
      <c r="H50" s="1573">
        <v>4499</v>
      </c>
      <c r="I50" s="1574"/>
      <c r="J50" s="1574"/>
      <c r="K50" s="1678">
        <f>SUM(C50:J50)</f>
        <v>84857</v>
      </c>
      <c r="L50" s="1573">
        <v>82900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70400</v>
      </c>
      <c r="D53" s="1674">
        <f t="shared" ref="D53:L53" si="5">SUM(D49:D52)</f>
        <v>9826</v>
      </c>
      <c r="E53" s="1674">
        <f t="shared" si="5"/>
        <v>4433</v>
      </c>
      <c r="F53" s="1674">
        <f t="shared" si="5"/>
        <v>132</v>
      </c>
      <c r="G53" s="1674">
        <f t="shared" si="5"/>
        <v>0</v>
      </c>
      <c r="H53" s="1674">
        <f t="shared" si="5"/>
        <v>4499</v>
      </c>
      <c r="I53" s="1674">
        <f t="shared" si="5"/>
        <v>0</v>
      </c>
      <c r="J53" s="1674">
        <f t="shared" si="5"/>
        <v>0</v>
      </c>
      <c r="K53" s="1674">
        <f t="shared" si="5"/>
        <v>89290</v>
      </c>
      <c r="L53" s="1674">
        <f t="shared" si="5"/>
        <v>91900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f>51488-23584-295</f>
        <v>27609</v>
      </c>
      <c r="D60" s="1573"/>
      <c r="E60" s="1573">
        <v>396</v>
      </c>
      <c r="F60" s="1573">
        <f>36219-32789</f>
        <v>3430</v>
      </c>
      <c r="G60" s="1573"/>
      <c r="H60" s="1573">
        <v>26180</v>
      </c>
      <c r="I60" s="1574"/>
      <c r="J60" s="1574"/>
      <c r="K60" s="1678">
        <f t="shared" si="7"/>
        <v>57615</v>
      </c>
      <c r="L60" s="1573">
        <v>111392</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23584</v>
      </c>
      <c r="D63" s="1573"/>
      <c r="E63" s="1573"/>
      <c r="F63" s="1573">
        <v>32789</v>
      </c>
      <c r="G63" s="1573"/>
      <c r="H63" s="1573">
        <v>295</v>
      </c>
      <c r="I63" s="1574"/>
      <c r="J63" s="1574"/>
      <c r="K63" s="1678">
        <f t="shared" si="7"/>
        <v>56668</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51193</v>
      </c>
      <c r="D65" s="1674">
        <f t="shared" ref="D65:L65" si="8">SUM(D59:D64)</f>
        <v>0</v>
      </c>
      <c r="E65" s="1674">
        <f t="shared" si="8"/>
        <v>396</v>
      </c>
      <c r="F65" s="1674">
        <f t="shared" si="8"/>
        <v>36219</v>
      </c>
      <c r="G65" s="1674">
        <f t="shared" si="8"/>
        <v>0</v>
      </c>
      <c r="H65" s="1674">
        <f t="shared" si="8"/>
        <v>26475</v>
      </c>
      <c r="I65" s="1674">
        <f t="shared" si="8"/>
        <v>0</v>
      </c>
      <c r="J65" s="1674">
        <f t="shared" si="8"/>
        <v>0</v>
      </c>
      <c r="K65" s="1674">
        <f t="shared" si="8"/>
        <v>114283</v>
      </c>
      <c r="L65" s="1674">
        <f t="shared" si="8"/>
        <v>111392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144974</v>
      </c>
      <c r="D74" s="1681">
        <f t="shared" ref="D74:K74" si="10">SUM(D42,D47,D53,D57,D65,D72,D73)</f>
        <v>12084</v>
      </c>
      <c r="E74" s="1681">
        <f t="shared" si="10"/>
        <v>5597</v>
      </c>
      <c r="F74" s="1681">
        <f t="shared" si="10"/>
        <v>36955</v>
      </c>
      <c r="G74" s="1681">
        <f t="shared" si="10"/>
        <v>0</v>
      </c>
      <c r="H74" s="1681">
        <f t="shared" si="10"/>
        <v>30974</v>
      </c>
      <c r="I74" s="1681">
        <f t="shared" si="10"/>
        <v>0</v>
      </c>
      <c r="J74" s="1681">
        <f t="shared" si="10"/>
        <v>0</v>
      </c>
      <c r="K74" s="1681">
        <f t="shared" si="10"/>
        <v>230584</v>
      </c>
      <c r="L74" s="1681">
        <f>SUM(L42,L47,L53,L57,L65,L72,L73)</f>
        <v>226976</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109333</v>
      </c>
      <c r="F79" s="1673"/>
      <c r="G79" s="1673"/>
      <c r="H79" s="1573"/>
      <c r="I79" s="1582"/>
      <c r="J79" s="1582"/>
      <c r="K79" s="1672">
        <f t="shared" si="11"/>
        <v>109333</v>
      </c>
      <c r="L79" s="1573">
        <v>60000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109333</v>
      </c>
      <c r="F84" s="1673"/>
      <c r="G84" s="1673"/>
      <c r="H84" s="1674">
        <f>SUM(H78:H83)</f>
        <v>0</v>
      </c>
      <c r="I84" s="1582"/>
      <c r="J84" s="1582"/>
      <c r="K84" s="1674">
        <f>SUM(K78:K83)</f>
        <v>109333</v>
      </c>
      <c r="L84" s="1674">
        <f>SUM(L78:L83)</f>
        <v>60000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3066</v>
      </c>
      <c r="F101" s="1673"/>
      <c r="G101" s="1673"/>
      <c r="H101" s="1627">
        <v>4239</v>
      </c>
      <c r="I101" s="1582"/>
      <c r="J101" s="1582"/>
      <c r="K101" s="1687">
        <f>SUM(C101:J101)</f>
        <v>7305</v>
      </c>
      <c r="L101" s="1626">
        <v>9997</v>
      </c>
    </row>
    <row r="102" spans="1:14" ht="12.75" customHeight="1" thickTop="1" thickBot="1" x14ac:dyDescent="0.25">
      <c r="A102" s="1380" t="s">
        <v>1470</v>
      </c>
      <c r="B102" s="1385">
        <v>4000</v>
      </c>
      <c r="C102" s="1673"/>
      <c r="D102" s="1673"/>
      <c r="E102" s="1681">
        <f>SUM(E84,E92,E100,E101)</f>
        <v>112399</v>
      </c>
      <c r="F102" s="1673"/>
      <c r="G102" s="1673"/>
      <c r="H102" s="1681">
        <f>SUM(H84,H92,H100,H101)</f>
        <v>4239</v>
      </c>
      <c r="I102" s="1582"/>
      <c r="J102" s="1582"/>
      <c r="K102" s="1681">
        <f>SUM(K84,K92,K100,K101)</f>
        <v>116638</v>
      </c>
      <c r="L102" s="1681">
        <f>SUM(L84,L92,L100,L101)</f>
        <v>69997</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566529</v>
      </c>
      <c r="D114" s="1674">
        <f t="shared" ref="D114:K114" si="13">SUM(D33,D74,D75,D102,D112,D113)</f>
        <v>106084</v>
      </c>
      <c r="E114" s="1674">
        <f t="shared" si="13"/>
        <v>121291</v>
      </c>
      <c r="F114" s="1674">
        <f t="shared" si="13"/>
        <v>60756</v>
      </c>
      <c r="G114" s="1674">
        <f t="shared" si="13"/>
        <v>0</v>
      </c>
      <c r="H114" s="1674">
        <f>SUM(H33,H74,H75,H102,H112,H113)</f>
        <v>49888</v>
      </c>
      <c r="I114" s="1674">
        <f t="shared" si="13"/>
        <v>0</v>
      </c>
      <c r="J114" s="1674">
        <f t="shared" si="13"/>
        <v>0</v>
      </c>
      <c r="K114" s="1674">
        <f t="shared" si="13"/>
        <v>904548</v>
      </c>
      <c r="L114" s="1674">
        <f>SUM(L33,L74,L75,L102,L112,L113)</f>
        <v>857335</v>
      </c>
    </row>
    <row r="115" spans="1:14" ht="13.5" thickTop="1" x14ac:dyDescent="0.2">
      <c r="A115" s="2261" t="s">
        <v>989</v>
      </c>
      <c r="B115" s="2262"/>
      <c r="C115" s="1675"/>
      <c r="D115" s="1675"/>
      <c r="E115" s="1675"/>
      <c r="F115" s="1675"/>
      <c r="G115" s="1675"/>
      <c r="H115" s="1675"/>
      <c r="I115" s="1675"/>
      <c r="J115" s="1675"/>
      <c r="K115" s="1689">
        <f>'Revenues 9-14'!C268-'Expenditures 15-22'!K114</f>
        <v>60813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20866</v>
      </c>
      <c r="D124" s="1573"/>
      <c r="E124" s="1573">
        <v>62251</v>
      </c>
      <c r="F124" s="1573">
        <v>8168</v>
      </c>
      <c r="G124" s="1573"/>
      <c r="H124" s="1573"/>
      <c r="I124" s="1574"/>
      <c r="J124" s="1574"/>
      <c r="K124" s="1674">
        <f>SUM(C124:J124)</f>
        <v>91285</v>
      </c>
      <c r="L124" s="1573">
        <v>95000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20866</v>
      </c>
      <c r="D127" s="1674">
        <f t="shared" ref="D127:L127" si="14">SUM(D122:D126)</f>
        <v>0</v>
      </c>
      <c r="E127" s="1674">
        <f t="shared" si="14"/>
        <v>62251</v>
      </c>
      <c r="F127" s="1674">
        <f t="shared" si="14"/>
        <v>8168</v>
      </c>
      <c r="G127" s="1674">
        <f t="shared" si="14"/>
        <v>0</v>
      </c>
      <c r="H127" s="1674">
        <f t="shared" si="14"/>
        <v>0</v>
      </c>
      <c r="I127" s="1674">
        <f t="shared" si="14"/>
        <v>0</v>
      </c>
      <c r="J127" s="1674">
        <f t="shared" si="14"/>
        <v>0</v>
      </c>
      <c r="K127" s="1674">
        <f t="shared" si="14"/>
        <v>91285</v>
      </c>
      <c r="L127" s="1674">
        <f t="shared" si="14"/>
        <v>95000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20866</v>
      </c>
      <c r="D129" s="1681">
        <f t="shared" ref="D129:L129" si="15">SUM(D120,D127,D128)</f>
        <v>0</v>
      </c>
      <c r="E129" s="1681">
        <f t="shared" si="15"/>
        <v>62251</v>
      </c>
      <c r="F129" s="1681">
        <f t="shared" si="15"/>
        <v>8168</v>
      </c>
      <c r="G129" s="1681">
        <f t="shared" si="15"/>
        <v>0</v>
      </c>
      <c r="H129" s="1681">
        <f t="shared" si="15"/>
        <v>0</v>
      </c>
      <c r="I129" s="1681">
        <f t="shared" si="15"/>
        <v>0</v>
      </c>
      <c r="J129" s="1681">
        <f t="shared" si="15"/>
        <v>0</v>
      </c>
      <c r="K129" s="1681">
        <f t="shared" si="15"/>
        <v>91285</v>
      </c>
      <c r="L129" s="1681">
        <f t="shared" si="15"/>
        <v>95000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20866</v>
      </c>
      <c r="D151" s="1674">
        <f t="shared" ref="D151:K151" si="16">SUM(D129,D130,D139,D149,D150)</f>
        <v>0</v>
      </c>
      <c r="E151" s="1674">
        <f t="shared" si="16"/>
        <v>62251</v>
      </c>
      <c r="F151" s="1674">
        <f t="shared" si="16"/>
        <v>8168</v>
      </c>
      <c r="G151" s="1674">
        <f t="shared" si="16"/>
        <v>0</v>
      </c>
      <c r="H151" s="1674">
        <f t="shared" si="16"/>
        <v>0</v>
      </c>
      <c r="I151" s="1674">
        <f t="shared" si="16"/>
        <v>0</v>
      </c>
      <c r="J151" s="1674">
        <f t="shared" si="16"/>
        <v>0</v>
      </c>
      <c r="K151" s="1674">
        <f t="shared" si="16"/>
        <v>91285</v>
      </c>
      <c r="L151" s="1674">
        <f>SUM(L129,L130,L139,L149,L150)</f>
        <v>95000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6346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10876</v>
      </c>
      <c r="I169" s="1673"/>
      <c r="J169" s="1673"/>
      <c r="K169" s="1672">
        <f>SUM(C169:H169)</f>
        <v>10876</v>
      </c>
      <c r="L169" s="1695">
        <v>10876</v>
      </c>
    </row>
    <row r="170" spans="1:14" ht="33.75" customHeight="1" x14ac:dyDescent="0.2">
      <c r="A170" s="543" t="s">
        <v>1651</v>
      </c>
      <c r="B170" s="545" t="s">
        <v>31</v>
      </c>
      <c r="C170" s="1673"/>
      <c r="D170" s="1673"/>
      <c r="E170" s="1673"/>
      <c r="F170" s="1673"/>
      <c r="G170" s="1673"/>
      <c r="H170" s="1646">
        <v>35000</v>
      </c>
      <c r="I170" s="1673"/>
      <c r="J170" s="1673"/>
      <c r="K170" s="1672">
        <f>SUM(C170:J170)</f>
        <v>35000</v>
      </c>
      <c r="L170" s="1646">
        <v>35000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45876</v>
      </c>
      <c r="I172" s="1684"/>
      <c r="J172" s="1673"/>
      <c r="K172" s="1681">
        <f>SUM(K168,K169,K170,K171)</f>
        <v>45876</v>
      </c>
      <c r="L172" s="1681">
        <f>SUM(L168,L169,L170,L171)</f>
        <v>45876</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45876</v>
      </c>
      <c r="I174" s="1684"/>
      <c r="J174" s="1673"/>
      <c r="K174" s="1681">
        <f>SUM(K160,K172,K173)</f>
        <v>45876</v>
      </c>
      <c r="L174" s="1681">
        <f>SUM(L160,L172,L173)</f>
        <v>45876</v>
      </c>
    </row>
    <row r="175" spans="1:14" ht="13.5" thickTop="1" x14ac:dyDescent="0.2">
      <c r="A175" s="2261" t="s">
        <v>989</v>
      </c>
      <c r="B175" s="2262"/>
      <c r="C175" s="1673"/>
      <c r="D175" s="1673"/>
      <c r="E175" s="1673"/>
      <c r="F175" s="1673"/>
      <c r="G175" s="1673"/>
      <c r="H175" s="1675"/>
      <c r="I175" s="1673"/>
      <c r="J175" s="1673"/>
      <c r="K175" s="1689">
        <f>'Revenues 9-14'!E268-'Expenditures 15-22'!K174</f>
        <v>1086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73302</v>
      </c>
      <c r="F182" s="1573"/>
      <c r="G182" s="1573">
        <v>9012</v>
      </c>
      <c r="H182" s="1573"/>
      <c r="I182" s="1574"/>
      <c r="J182" s="1574"/>
      <c r="K182" s="1672">
        <f>SUM(C182:J182)</f>
        <v>82314</v>
      </c>
      <c r="L182" s="1573">
        <v>116734</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73302</v>
      </c>
      <c r="F184" s="1681">
        <f t="shared" si="17"/>
        <v>0</v>
      </c>
      <c r="G184" s="1681">
        <f t="shared" si="17"/>
        <v>9012</v>
      </c>
      <c r="H184" s="1681">
        <f t="shared" si="17"/>
        <v>0</v>
      </c>
      <c r="I184" s="1681">
        <f t="shared" si="17"/>
        <v>0</v>
      </c>
      <c r="J184" s="1681">
        <f t="shared" si="17"/>
        <v>0</v>
      </c>
      <c r="K184" s="1681">
        <f>SUM(K180,K182,K183)</f>
        <v>82314</v>
      </c>
      <c r="L184" s="1681">
        <f>SUM(L180, L182:L183)</f>
        <v>116734</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73302</v>
      </c>
      <c r="F210" s="1674">
        <f>SUM(F184,F185)</f>
        <v>0</v>
      </c>
      <c r="G210" s="1674">
        <f>SUM(G184,G185)</f>
        <v>9012</v>
      </c>
      <c r="H210" s="1674">
        <f>SUM(H184,H185,H196,H208,H209)</f>
        <v>0</v>
      </c>
      <c r="I210" s="1674">
        <f>SUM(I184,I185)</f>
        <v>0</v>
      </c>
      <c r="J210" s="1674">
        <f>SUM(J184,J185)</f>
        <v>0</v>
      </c>
      <c r="K210" s="1672">
        <f>SUM(K184,K185,K196,K208,K209)</f>
        <v>82314</v>
      </c>
      <c r="L210" s="1674">
        <f>SUM(L184,L185,L196,L208,L209)</f>
        <v>116734</v>
      </c>
    </row>
    <row r="211" spans="1:14" ht="13.5" thickTop="1" x14ac:dyDescent="0.2">
      <c r="A211" s="2261" t="s">
        <v>989</v>
      </c>
      <c r="B211" s="2262"/>
      <c r="C211" s="1675"/>
      <c r="D211" s="1675"/>
      <c r="E211" s="1675"/>
      <c r="F211" s="1675"/>
      <c r="G211" s="1675"/>
      <c r="H211" s="1675"/>
      <c r="I211" s="1673"/>
      <c r="J211" s="1673"/>
      <c r="K211" s="1689">
        <f>'Revenues 9-14'!F268-'Expenditures 15-22'!K210</f>
        <v>7112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7595</v>
      </c>
      <c r="E215" s="1673"/>
      <c r="F215" s="1673"/>
      <c r="G215" s="1673"/>
      <c r="H215" s="1673"/>
      <c r="I215" s="1673"/>
      <c r="J215" s="1673"/>
      <c r="K215" s="1672">
        <f>D215</f>
        <v>7595</v>
      </c>
      <c r="L215" s="1573">
        <v>9400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4375</v>
      </c>
      <c r="E217" s="1673"/>
      <c r="F217" s="1673"/>
      <c r="G217" s="1673"/>
      <c r="H217" s="1673"/>
      <c r="I217" s="1673"/>
      <c r="J217" s="1673"/>
      <c r="K217" s="1672">
        <f t="shared" si="19"/>
        <v>4375</v>
      </c>
      <c r="L217" s="1573">
        <v>3900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2705</v>
      </c>
      <c r="E219" s="1673"/>
      <c r="F219" s="1673"/>
      <c r="G219" s="1673"/>
      <c r="H219" s="1673"/>
      <c r="I219" s="1673"/>
      <c r="J219" s="1673"/>
      <c r="K219" s="1672">
        <f t="shared" si="19"/>
        <v>2705</v>
      </c>
      <c r="L219" s="1573">
        <v>3250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14675</v>
      </c>
      <c r="E229" s="1673"/>
      <c r="F229" s="1673"/>
      <c r="G229" s="1673"/>
      <c r="H229" s="1673"/>
      <c r="I229" s="1673"/>
      <c r="J229" s="1673"/>
      <c r="K229" s="1674">
        <f>SUM(K215:K228)</f>
        <v>14675</v>
      </c>
      <c r="L229" s="1674">
        <f>SUM(L215:L228)</f>
        <v>16550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340</v>
      </c>
      <c r="E236" s="1673"/>
      <c r="F236" s="1673"/>
      <c r="G236" s="1673"/>
      <c r="H236" s="1673"/>
      <c r="I236" s="1673"/>
      <c r="J236" s="1673"/>
      <c r="K236" s="1672">
        <f t="shared" si="20"/>
        <v>340</v>
      </c>
      <c r="L236" s="1573">
        <v>300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340</v>
      </c>
      <c r="E238" s="1673"/>
      <c r="F238" s="1673"/>
      <c r="G238" s="1673"/>
      <c r="H238" s="1673"/>
      <c r="I238" s="1673"/>
      <c r="J238" s="1673"/>
      <c r="K238" s="1674">
        <f>SUM(K232:K237)</f>
        <v>340</v>
      </c>
      <c r="L238" s="1674">
        <f>SUM(L232:L237)</f>
        <v>300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1276</v>
      </c>
      <c r="E246" s="1673"/>
      <c r="F246" s="1673"/>
      <c r="G246" s="1673"/>
      <c r="H246" s="1673"/>
      <c r="I246" s="1673"/>
      <c r="J246" s="1673"/>
      <c r="K246" s="1678">
        <f t="shared" ref="K246:K256" si="21">D246</f>
        <v>1276</v>
      </c>
      <c r="L246" s="1573">
        <v>1500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1276</v>
      </c>
      <c r="E257" s="1673"/>
      <c r="F257" s="1673"/>
      <c r="G257" s="1673"/>
      <c r="H257" s="1673"/>
      <c r="I257" s="1673"/>
      <c r="J257" s="1673"/>
      <c r="K257" s="1674">
        <f>SUM(K245:K256)</f>
        <v>1276</v>
      </c>
      <c r="L257" s="1674">
        <f>SUM(L245:L256)</f>
        <v>1500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f>523+2238+3065</f>
        <v>5826</v>
      </c>
      <c r="E264" s="1673"/>
      <c r="F264" s="1673"/>
      <c r="G264" s="1673"/>
      <c r="H264" s="1673"/>
      <c r="I264" s="1673"/>
      <c r="J264" s="1673"/>
      <c r="K264" s="1678">
        <f t="shared" ref="K264:K269" si="22">D264</f>
        <v>5826</v>
      </c>
      <c r="L264" s="1573">
        <f>2900+550+2200</f>
        <v>5650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3991+2426+568</f>
        <v>6985</v>
      </c>
      <c r="E266" s="1673"/>
      <c r="F266" s="1673"/>
      <c r="G266" s="1673"/>
      <c r="H266" s="1673"/>
      <c r="I266" s="1673"/>
      <c r="J266" s="1673"/>
      <c r="K266" s="1678">
        <f t="shared" si="22"/>
        <v>6985</v>
      </c>
      <c r="L266" s="1573">
        <f>2650+4000+600</f>
        <v>7250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f>3314+1932+452</f>
        <v>5698</v>
      </c>
      <c r="E268" s="1673"/>
      <c r="F268" s="1673"/>
      <c r="G268" s="1673"/>
      <c r="H268" s="1673"/>
      <c r="I268" s="1673"/>
      <c r="J268" s="1673"/>
      <c r="K268" s="1678">
        <f t="shared" si="22"/>
        <v>5698</v>
      </c>
      <c r="L268" s="1573">
        <f>4000+2200+500</f>
        <v>6700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18509</v>
      </c>
      <c r="E270" s="1673"/>
      <c r="F270" s="1673"/>
      <c r="G270" s="1673"/>
      <c r="H270" s="1673"/>
      <c r="I270" s="1673"/>
      <c r="J270" s="1673"/>
      <c r="K270" s="1674">
        <f>SUM(K263:K269)</f>
        <v>18509</v>
      </c>
      <c r="L270" s="1674">
        <f>SUM(L263:L269)</f>
        <v>19600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20125</v>
      </c>
      <c r="E279" s="1673"/>
      <c r="F279" s="1673"/>
      <c r="G279" s="1673"/>
      <c r="H279" s="1673"/>
      <c r="I279" s="1673"/>
      <c r="J279" s="1673"/>
      <c r="K279" s="1681">
        <f>SUM(K238,K243,K257,K261,K270,K277,K278)</f>
        <v>20125</v>
      </c>
      <c r="L279" s="1681">
        <f>SUM(L238,L243,L257,L261,L270,L277,L278)</f>
        <v>21400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34800</v>
      </c>
      <c r="E295" s="1673"/>
      <c r="F295" s="1673"/>
      <c r="G295" s="1673"/>
      <c r="H295" s="1674">
        <f>H293</f>
        <v>0</v>
      </c>
      <c r="I295" s="1673"/>
      <c r="J295" s="1673"/>
      <c r="K295" s="1674">
        <f>SUM(K229,K279,K280,K285,K293,K294)</f>
        <v>34800</v>
      </c>
      <c r="L295" s="1674">
        <f>SUM(L229,L279,L280,L285,L293,L294)</f>
        <v>37950</v>
      </c>
    </row>
    <row r="296" spans="1:14" ht="13.5" thickTop="1" x14ac:dyDescent="0.2">
      <c r="A296" s="2261" t="s">
        <v>989</v>
      </c>
      <c r="B296" s="2262"/>
      <c r="C296" s="1673"/>
      <c r="D296" s="1675"/>
      <c r="E296" s="1673"/>
      <c r="F296" s="1673"/>
      <c r="G296" s="1673"/>
      <c r="H296" s="1707"/>
      <c r="I296" s="1673"/>
      <c r="J296" s="1673"/>
      <c r="K296" s="1689">
        <f>'Revenues 9-14'!G268-'Expenditures 15-22'!K295</f>
        <v>1170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6998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19993</v>
      </c>
      <c r="F322" s="1574"/>
      <c r="G322" s="1574"/>
      <c r="H322" s="1574"/>
      <c r="I322" s="1574"/>
      <c r="J322" s="1574"/>
      <c r="K322" s="1672">
        <f t="shared" si="24"/>
        <v>19993</v>
      </c>
      <c r="L322" s="1574">
        <v>19000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52425</v>
      </c>
      <c r="D325" s="1574">
        <v>34615</v>
      </c>
      <c r="E325" s="1574"/>
      <c r="F325" s="1574"/>
      <c r="G325" s="1574"/>
      <c r="H325" s="1574"/>
      <c r="I325" s="1574"/>
      <c r="J325" s="1574"/>
      <c r="K325" s="1672">
        <f t="shared" si="24"/>
        <v>87040</v>
      </c>
      <c r="L325" s="1574">
        <v>90533</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52425</v>
      </c>
      <c r="D330" s="1674">
        <f t="shared" ref="D330:J330" si="25">SUM(D319:D329)</f>
        <v>34615</v>
      </c>
      <c r="E330" s="1674">
        <f t="shared" si="25"/>
        <v>19993</v>
      </c>
      <c r="F330" s="1674">
        <f t="shared" si="25"/>
        <v>0</v>
      </c>
      <c r="G330" s="1674">
        <f t="shared" si="25"/>
        <v>0</v>
      </c>
      <c r="H330" s="1674">
        <f t="shared" si="25"/>
        <v>0</v>
      </c>
      <c r="I330" s="1674">
        <f t="shared" si="25"/>
        <v>0</v>
      </c>
      <c r="J330" s="1674">
        <f t="shared" si="25"/>
        <v>0</v>
      </c>
      <c r="K330" s="1674">
        <f>SUM(K319:K329)</f>
        <v>107033</v>
      </c>
      <c r="L330" s="1674">
        <f>SUM(L319:L329)</f>
        <v>109533</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52425</v>
      </c>
      <c r="D342" s="1674">
        <f>SUM(D330)</f>
        <v>34615</v>
      </c>
      <c r="E342" s="1674">
        <f>SUM(E330)</f>
        <v>19993</v>
      </c>
      <c r="F342" s="1674">
        <f>SUM(F330)</f>
        <v>0</v>
      </c>
      <c r="G342" s="1674">
        <f>SUM(G330)</f>
        <v>0</v>
      </c>
      <c r="H342" s="1674">
        <f>SUM(H330,H334,H340)</f>
        <v>0</v>
      </c>
      <c r="I342" s="1674">
        <f>SUM(I330)</f>
        <v>0</v>
      </c>
      <c r="J342" s="1674">
        <f>SUM(J330)</f>
        <v>0</v>
      </c>
      <c r="K342" s="1674">
        <f>SUM(K330,K334,K340)</f>
        <v>107033</v>
      </c>
      <c r="L342" s="1681">
        <f>SUM(L330,L334,L340,L341)</f>
        <v>109533</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-46883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v>779</v>
      </c>
      <c r="I349" s="1574"/>
      <c r="J349" s="1574"/>
      <c r="K349" s="1672">
        <f>SUM(C349:J349)</f>
        <v>779</v>
      </c>
      <c r="L349" s="1573">
        <v>4104</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779</v>
      </c>
      <c r="I350" s="1674">
        <f t="shared" si="26"/>
        <v>0</v>
      </c>
      <c r="J350" s="1674">
        <f t="shared" si="26"/>
        <v>0</v>
      </c>
      <c r="K350" s="1674">
        <f t="shared" si="26"/>
        <v>779</v>
      </c>
      <c r="L350" s="1674">
        <f t="shared" si="26"/>
        <v>4104</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779</v>
      </c>
      <c r="I352" s="1674">
        <f t="shared" si="27"/>
        <v>0</v>
      </c>
      <c r="J352" s="1674">
        <f t="shared" si="27"/>
        <v>0</v>
      </c>
      <c r="K352" s="1674">
        <f t="shared" si="27"/>
        <v>779</v>
      </c>
      <c r="L352" s="1674">
        <f t="shared" si="27"/>
        <v>4104</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779</v>
      </c>
      <c r="I367" s="1674">
        <f t="shared" si="28"/>
        <v>0</v>
      </c>
      <c r="J367" s="1674">
        <f t="shared" si="28"/>
        <v>0</v>
      </c>
      <c r="K367" s="1674">
        <f t="shared" si="28"/>
        <v>779</v>
      </c>
      <c r="L367" s="1674">
        <f t="shared" si="28"/>
        <v>4104</v>
      </c>
    </row>
    <row r="368" spans="1:14" ht="13.5" thickTop="1" x14ac:dyDescent="0.2">
      <c r="A368" s="2261" t="s">
        <v>989</v>
      </c>
      <c r="B368" s="2262"/>
      <c r="C368" s="1694"/>
      <c r="D368" s="1694"/>
      <c r="E368" s="1677"/>
      <c r="F368" s="1677"/>
      <c r="G368" s="1677"/>
      <c r="H368" s="1677"/>
      <c r="I368" s="1677"/>
      <c r="J368" s="1676"/>
      <c r="K368" s="1672">
        <f>'Revenues 9-14'!K268-'Expenditures 15-22'!K367</f>
        <v>3335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www.w3.org/XML/1998/namespace"/>
    <ds:schemaRef ds:uri="http://purl.org/dc/terms/"/>
    <ds:schemaRef ds:uri="http://purl.org/dc/elements/1.1/"/>
    <ds:schemaRef ds:uri="d21dc803-237d-4c68-8692-8d731fd29118"/>
    <ds:schemaRef ds:uri="6ce3111e-7420-4802-b50a-75d4e9a0b98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2020-12-02T15:48:42Z</cp:lastPrinted>
  <dcterms:created xsi:type="dcterms:W3CDTF">2003-10-29T19:06:34Z</dcterms:created>
  <dcterms:modified xsi:type="dcterms:W3CDTF">2020-12-18T18:27:04Z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