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F49A2D6-F31F-4DE6-BDF1-3120C583BE87}" xr6:coauthVersionLast="36" xr6:coauthVersionMax="36" xr10:uidLastSave="{00000000-0000-0000-0000-000000000000}"/>
  <bookViews>
    <workbookView xWindow="-60" yWindow="-60" windowWidth="28920" windowHeight="1572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5"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6" r:id="rId29"/>
    <sheet name=" SEFA (3)" sheetId="187"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SEFA'!$B$1:$M$48</definedName>
    <definedName name="_xlnm.Print_Area" localSheetId="28">' SEFA (2)'!$B$1:$M$47</definedName>
    <definedName name="_xlnm.Print_Area" localSheetId="29">' SEFA (3)'!$B$1:$M$47</definedName>
    <definedName name="_xlnm.Print_Area" localSheetId="17">'AC Tort 32-33'!$A$1:$N$68</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5" i="12" l="1"/>
  <c r="L18" i="187" l="1"/>
  <c r="K15" i="187"/>
  <c r="J15" i="187"/>
  <c r="I15" i="187"/>
  <c r="H15" i="187"/>
  <c r="G15" i="187"/>
  <c r="F15" i="187"/>
  <c r="E15" i="187"/>
  <c r="L14" i="187"/>
  <c r="L13" i="187"/>
  <c r="I9" i="187"/>
  <c r="G9" i="187"/>
  <c r="F9" i="187"/>
  <c r="E9" i="187"/>
  <c r="J8" i="187"/>
  <c r="H8" i="187"/>
  <c r="L27" i="186"/>
  <c r="K25" i="186"/>
  <c r="J25" i="186"/>
  <c r="I25" i="186"/>
  <c r="H25" i="186"/>
  <c r="G25" i="186"/>
  <c r="F25" i="186"/>
  <c r="E25" i="186"/>
  <c r="L24" i="186"/>
  <c r="L23" i="186"/>
  <c r="K21" i="186"/>
  <c r="J21" i="186"/>
  <c r="I21" i="186"/>
  <c r="H21" i="186"/>
  <c r="G21" i="186"/>
  <c r="F21" i="186"/>
  <c r="E21" i="186"/>
  <c r="L20" i="186"/>
  <c r="L19" i="186"/>
  <c r="L12" i="179"/>
  <c r="K17" i="186"/>
  <c r="J17" i="186"/>
  <c r="I17" i="186"/>
  <c r="H17" i="186"/>
  <c r="G17" i="186"/>
  <c r="E17" i="186"/>
  <c r="F17" i="186"/>
  <c r="L15" i="187" l="1"/>
  <c r="E19" i="187"/>
  <c r="G19" i="187"/>
  <c r="I19" i="187"/>
  <c r="K19" i="187"/>
  <c r="F19" i="187"/>
  <c r="L25" i="186"/>
  <c r="L21" i="186"/>
  <c r="L13" i="186"/>
  <c r="L19" i="187" l="1"/>
  <c r="L16" i="186"/>
  <c r="L15" i="186"/>
  <c r="L14" i="186"/>
  <c r="I9" i="186"/>
  <c r="G9" i="186"/>
  <c r="F9" i="186"/>
  <c r="E9" i="186"/>
  <c r="J8" i="186"/>
  <c r="H8" i="186"/>
  <c r="K29" i="179"/>
  <c r="J29" i="179"/>
  <c r="I29" i="179"/>
  <c r="H29" i="179"/>
  <c r="G29" i="179"/>
  <c r="F29" i="179"/>
  <c r="E29" i="179"/>
  <c r="L17" i="186" l="1"/>
  <c r="I22" i="179" l="1"/>
  <c r="I23" i="179" s="1"/>
  <c r="I23" i="187" s="1"/>
  <c r="L21" i="179"/>
  <c r="F22" i="179"/>
  <c r="F23" i="179" s="1"/>
  <c r="F23" i="187" s="1"/>
  <c r="J7" i="185" l="1"/>
  <c r="L53" i="185" s="1"/>
  <c r="J6" i="185"/>
  <c r="L52" i="185" s="1"/>
  <c r="L12" i="185"/>
  <c r="L13" i="185"/>
  <c r="L14" i="185"/>
  <c r="L15" i="185"/>
  <c r="L16" i="185"/>
  <c r="L17" i="185"/>
  <c r="H18" i="185"/>
  <c r="L18" i="185"/>
  <c r="I19" i="185"/>
  <c r="J19" i="185"/>
  <c r="K19" i="185"/>
  <c r="G68" i="185"/>
  <c r="G12" i="185" s="1"/>
  <c r="H68" i="185"/>
  <c r="G13" i="185" s="1"/>
  <c r="I68" i="185"/>
  <c r="G14" i="185" s="1"/>
  <c r="J68" i="185"/>
  <c r="G15" i="185" s="1"/>
  <c r="K68" i="185"/>
  <c r="G16" i="185" s="1"/>
  <c r="L68" i="185"/>
  <c r="G17" i="185" s="1"/>
  <c r="M68" i="185"/>
  <c r="L19" i="185" l="1"/>
  <c r="G19" i="185"/>
  <c r="M19" i="3"/>
  <c r="G22" i="179" l="1"/>
  <c r="G23" i="179" s="1"/>
  <c r="G23" i="187" s="1"/>
  <c r="E22" i="179" l="1"/>
  <c r="E23" i="179" s="1"/>
  <c r="E23" i="187" s="1"/>
  <c r="H22" i="179"/>
  <c r="H23" i="179" s="1"/>
  <c r="K22" i="179"/>
  <c r="K23" i="179" s="1"/>
  <c r="K23" i="187" s="1"/>
  <c r="L23" i="187" s="1"/>
  <c r="J22" i="179"/>
  <c r="J23" i="179" s="1"/>
  <c r="L22" i="179" l="1"/>
  <c r="L23" i="179" s="1"/>
  <c r="J31" i="8"/>
  <c r="E6" i="7"/>
  <c r="B4" i="7" l="1"/>
  <c r="C168" i="5" l="1"/>
  <c r="C79" i="5"/>
  <c r="I4" i="3"/>
  <c r="F66" i="183" l="1"/>
  <c r="F65" i="183"/>
  <c r="F64" i="183"/>
  <c r="F63" i="183"/>
  <c r="F62" i="183"/>
  <c r="F61" i="183"/>
  <c r="F59"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66" i="183"/>
  <c r="E65" i="183"/>
  <c r="E64" i="183"/>
  <c r="E63" i="183"/>
  <c r="E62" i="183"/>
  <c r="E61" i="183"/>
  <c r="E60" i="183"/>
  <c r="F60" i="183" s="1"/>
  <c r="E59" i="183"/>
  <c r="E58" i="183"/>
  <c r="F58" i="183" s="1"/>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67" i="183" l="1"/>
  <c r="A15" i="183"/>
  <c r="D82" i="36" l="1"/>
  <c r="F67" i="183"/>
  <c r="E67"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9" i="179" l="1"/>
  <c r="L28" i="179"/>
  <c r="L27" i="179"/>
  <c r="L20" i="179"/>
  <c r="L19" i="179"/>
  <c r="L18" i="179"/>
  <c r="L17" i="179"/>
  <c r="L16" i="179"/>
  <c r="L15"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2" i="187"/>
  <c r="B2" i="186"/>
  <c r="B2" i="179"/>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D14" i="4" s="1"/>
  <c r="B2570" i="106" s="1"/>
  <c r="D2570"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1744" i="106"/>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B1274" i="106" l="1"/>
  <c r="D1274" i="106" s="1"/>
  <c r="B7189" i="106"/>
  <c r="D7189" i="106" s="1"/>
  <c r="E64" i="185"/>
  <c r="N64" i="185" s="1"/>
  <c r="B7162" i="106"/>
  <c r="D7162" i="106" s="1"/>
  <c r="E61" i="185"/>
  <c r="N61" i="185" s="1"/>
  <c r="B7126" i="106"/>
  <c r="D7126" i="106" s="1"/>
  <c r="E57" i="185"/>
  <c r="N57" i="185" s="1"/>
  <c r="H12" i="185"/>
  <c r="B7705" i="106"/>
  <c r="D7705" i="106" s="1"/>
  <c r="E67" i="185"/>
  <c r="N67" i="185" s="1"/>
  <c r="B7171" i="106"/>
  <c r="D7171" i="106" s="1"/>
  <c r="E62" i="185"/>
  <c r="N62" i="185" s="1"/>
  <c r="B7135" i="106"/>
  <c r="D7135" i="106" s="1"/>
  <c r="E58" i="185"/>
  <c r="N58" i="185" s="1"/>
  <c r="H15" i="185"/>
  <c r="B7696" i="106"/>
  <c r="D7696" i="106" s="1"/>
  <c r="E66" i="185"/>
  <c r="N66" i="185" s="1"/>
  <c r="D31" i="108"/>
  <c r="E16" i="185"/>
  <c r="H16" i="185" s="1"/>
  <c r="G33" i="108"/>
  <c r="E17" i="185"/>
  <c r="H17" i="185" s="1"/>
  <c r="B7153" i="106"/>
  <c r="D7153" i="106" s="1"/>
  <c r="E60" i="185"/>
  <c r="N60" i="185" s="1"/>
  <c r="B7180" i="106"/>
  <c r="D7180" i="106" s="1"/>
  <c r="E63" i="185"/>
  <c r="N63" i="185" s="1"/>
  <c r="B7198" i="106"/>
  <c r="D7198" i="106" s="1"/>
  <c r="E65" i="185"/>
  <c r="F56" i="34"/>
  <c r="B7832" i="106" s="1"/>
  <c r="D7832" i="106" s="1"/>
  <c r="B2805" i="106"/>
  <c r="D2805" i="106" s="1"/>
  <c r="D36" i="108"/>
  <c r="H33" i="118"/>
  <c r="F72" i="34"/>
  <c r="F71" i="34"/>
  <c r="G14" i="4"/>
  <c r="B2609" i="106" s="1"/>
  <c r="D2609" i="106" s="1"/>
  <c r="D68" i="36"/>
  <c r="D22" i="37"/>
  <c r="F36" i="108"/>
  <c r="F69" i="34"/>
  <c r="B2836" i="106"/>
  <c r="D2836" i="106" s="1"/>
  <c r="B7047" i="106"/>
  <c r="D7047" i="106" s="1"/>
  <c r="B2724" i="106"/>
  <c r="D2724" i="106" s="1"/>
  <c r="I210" i="29"/>
  <c r="B7071" i="106" s="1"/>
  <c r="D7071" i="106" s="1"/>
  <c r="F36" i="34"/>
  <c r="B7828" i="106" s="1"/>
  <c r="D7828" i="106" s="1"/>
  <c r="F70" i="34"/>
  <c r="E34" i="108"/>
  <c r="F31" i="108"/>
  <c r="B6995" i="106"/>
  <c r="D6995" i="106" s="1"/>
  <c r="J210" i="29"/>
  <c r="B7072" i="106" s="1"/>
  <c r="D7072" i="106" s="1"/>
  <c r="F37" i="34"/>
  <c r="B7829" i="106" s="1"/>
  <c r="D7829" i="106" s="1"/>
  <c r="G35" i="108"/>
  <c r="F50" i="34"/>
  <c r="F42" i="34"/>
  <c r="F34" i="34"/>
  <c r="B7826" i="106" s="1"/>
  <c r="D7826" i="106" s="1"/>
  <c r="B7074" i="106"/>
  <c r="D7074" i="106" s="1"/>
  <c r="F68" i="34"/>
  <c r="F64" i="34"/>
  <c r="F52" i="34"/>
  <c r="B7831" i="106" s="1"/>
  <c r="D7831" i="106" s="1"/>
  <c r="G39" i="108"/>
  <c r="G30" i="108"/>
  <c r="G26" i="108"/>
  <c r="D69" i="36"/>
  <c r="H342" i="29"/>
  <c r="B7221" i="106" s="1"/>
  <c r="D7221" i="106" s="1"/>
  <c r="J129" i="29"/>
  <c r="B7038" i="106" s="1"/>
  <c r="D7038" i="106" s="1"/>
  <c r="C129" i="29"/>
  <c r="B1225" i="106" s="1"/>
  <c r="D1225" i="106" s="1"/>
  <c r="C352" i="29"/>
  <c r="C367" i="29" s="1"/>
  <c r="B3622" i="106" s="1"/>
  <c r="D3622" i="106" s="1"/>
  <c r="C342" i="29"/>
  <c r="B7216" i="106" s="1"/>
  <c r="D7216" i="106" s="1"/>
  <c r="F77" i="4"/>
  <c r="B3255" i="106" s="1"/>
  <c r="D3255" i="106" s="1"/>
  <c r="H76" i="4"/>
  <c r="B3298" i="106" s="1"/>
  <c r="D3298" i="106" s="1"/>
  <c r="B6289" i="106"/>
  <c r="D6289" i="106" s="1"/>
  <c r="I129" i="29"/>
  <c r="B7037" i="106" s="1"/>
  <c r="D7037" i="106" s="1"/>
  <c r="H365" i="29"/>
  <c r="B7242" i="106" s="1"/>
  <c r="D7242" i="106" s="1"/>
  <c r="H28" i="118"/>
  <c r="D24" i="37"/>
  <c r="B4270" i="106" s="1"/>
  <c r="D4270" i="106" s="1"/>
  <c r="L22" i="37"/>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H19" i="185" l="1"/>
  <c r="L20" i="185" s="1"/>
  <c r="E19" i="185"/>
  <c r="E68" i="185"/>
  <c r="N65" i="185"/>
  <c r="N68" i="185" s="1"/>
  <c r="K342" i="29"/>
  <c r="F13" i="34" s="1"/>
  <c r="C151" i="29"/>
  <c r="B1226" i="106" s="1"/>
  <c r="D1226" i="106" s="1"/>
  <c r="F66" i="34"/>
  <c r="I151" i="29"/>
  <c r="F59" i="34" s="1"/>
  <c r="B5770" i="106"/>
  <c r="D5770" i="106" s="1"/>
  <c r="B1266" i="106"/>
  <c r="D1266" i="106" s="1"/>
  <c r="K365" i="29"/>
  <c r="K16" i="4" s="1"/>
  <c r="B3621" i="106"/>
  <c r="D3621" i="106" s="1"/>
  <c r="D44" i="36"/>
  <c r="L114" i="29"/>
  <c r="B7235" i="106"/>
  <c r="D7235" i="106" s="1"/>
  <c r="K77" i="4"/>
  <c r="B3587" i="106" s="1"/>
  <c r="D3587" i="106" s="1"/>
  <c r="F41" i="108"/>
  <c r="G43" i="108" s="1"/>
  <c r="B1381" i="106"/>
  <c r="D1381" i="106" s="1"/>
  <c r="J16" i="4"/>
  <c r="B6226" i="106" s="1"/>
  <c r="D6226" i="106" s="1"/>
  <c r="B7215" i="106"/>
  <c r="D7215" i="106" s="1"/>
  <c r="B5527" i="106"/>
  <c r="D5527" i="106" s="1"/>
  <c r="N23" i="3"/>
  <c r="B284" i="106" s="1"/>
  <c r="D284" i="106" s="1"/>
  <c r="B1328" i="106"/>
  <c r="D1328" i="106" s="1"/>
  <c r="J151" i="29"/>
  <c r="B7052" i="106" s="1"/>
  <c r="D7052" i="106" s="1"/>
  <c r="K28" i="118"/>
  <c r="O27" i="118" s="1"/>
  <c r="O29" i="118" s="1"/>
  <c r="I7" i="4"/>
  <c r="B4444" i="106" s="1"/>
  <c r="D4444" i="106" s="1"/>
  <c r="B6216" i="106"/>
  <c r="D6216" i="106" s="1"/>
  <c r="H77" i="4"/>
  <c r="B3299" i="106" s="1"/>
  <c r="D3299" i="106" s="1"/>
  <c r="B7220" i="106"/>
  <c r="D7220" i="106" s="1"/>
  <c r="F75" i="34"/>
  <c r="B7886" i="106" s="1"/>
  <c r="D7886" i="106" s="1"/>
  <c r="B7222" i="106"/>
  <c r="D7222" i="106" s="1"/>
  <c r="F76" i="34"/>
  <c r="B7887" i="106" s="1"/>
  <c r="D7887" i="106" s="1"/>
  <c r="E367" i="29"/>
  <c r="B3636" i="106" s="1"/>
  <c r="D3636" i="106" s="1"/>
  <c r="B3635" i="106"/>
  <c r="D3635" i="106"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43" i="106" l="1"/>
  <c r="D7243" i="106" s="1"/>
  <c r="B7224" i="106"/>
  <c r="D7224" i="106" s="1"/>
  <c r="B7051" i="106"/>
  <c r="D7051" i="106" s="1"/>
  <c r="K367" i="29"/>
  <c r="K368" i="29" s="1"/>
  <c r="B3681" i="106" s="1"/>
  <c r="D3681"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J20" i="4"/>
  <c r="B6230" i="106" s="1"/>
  <c r="D6230" i="106" s="1"/>
  <c r="B6223" i="106"/>
  <c r="D6223" i="106" s="1"/>
  <c r="J10" i="4"/>
  <c r="B6225" i="106" s="1"/>
  <c r="D6225" i="106" s="1"/>
  <c r="K17" i="4"/>
  <c r="B3575" i="106" s="1"/>
  <c r="D3575" i="106" s="1"/>
  <c r="F8" i="4"/>
  <c r="B2595" i="106" s="1"/>
  <c r="D2595" i="106" s="1"/>
  <c r="J19" i="4"/>
  <c r="B6229" i="106" s="1"/>
  <c r="D6229" i="106" s="1"/>
  <c r="F77" i="34"/>
  <c r="B7834" i="106" s="1"/>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K19" i="4"/>
  <c r="B4144" i="106" s="1"/>
  <c r="D4144" i="106" s="1"/>
  <c r="K20" i="4"/>
  <c r="K78" i="4" s="1"/>
  <c r="F10" i="4"/>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l="1"/>
  <c r="B6266" i="106" s="1"/>
  <c r="D6266" i="106" s="1"/>
  <c r="D78" i="4"/>
  <c r="D81" i="4" s="1"/>
  <c r="F8" i="146"/>
  <c r="B3576" i="106"/>
  <c r="D3576" i="106" s="1"/>
  <c r="D10"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F10" i="146"/>
  <c r="B3239" i="106"/>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c r="B1644" i="106"/>
  <c r="D1644" i="106" s="1"/>
  <c r="D58" i="36"/>
  <c r="C11" i="146"/>
  <c r="B6274" i="106" l="1"/>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<sst xmlns="http://schemas.openxmlformats.org/spreadsheetml/2006/main" count="5522" uniqueCount="2210">
  <si>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</si>
  <si>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</si>
  <si>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</si>
  <si>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</si>
  <si>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</si>
  <si>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</si>
  <si>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</si>
  <si>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</si>
  <si>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</si>
  <si>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</si>
  <si>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</si>
  <si>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</si>
  <si>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</si>
  <si>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</si>
  <si>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</si>
  <si>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</si>
  <si>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</si>
  <si>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</si>
  <si>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</si>
  <si>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</si>
  <si>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</si>
  <si>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</si>
  <si>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</si>
  <si>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</si>
  <si>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</si>
  <si>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</si>
  <si>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</si>
  <si>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</si>
  <si>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</si>
  <si>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</si>
  <si>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</si>
  <si>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</si>
  <si>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</si>
  <si>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</si>
  <si>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</si>
  <si>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</si>
  <si>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</si>
  <si>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</si>
  <si>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</si>
  <si>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</si>
  <si>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</si>
  <si>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</si>
  <si>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</si>
  <si>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</si>
  <si>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</si>
  <si>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</si>
  <si>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</si>
  <si>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</si>
  <si>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</si>
  <si>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</si>
  <si>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</si>
  <si>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</si>
  <si>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</si>
  <si>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</si>
  <si>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</si>
  <si>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</si>
  <si>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</si>
  <si>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</si>
  <si>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</si>
  <si>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</si>
  <si>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</si>
  <si>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</si>
  <si>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</si>
  <si>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</si>
  <si>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</si>
  <si>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</si>
  <si>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</si>
  <si>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</si>
  <si>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</si>
  <si>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</si>
  <si>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</si>
  <si>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</si>
  <si>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</si>
  <si>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</si>
  <si>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</si>
  <si>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</si>
  <si>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</si>
  <si>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</si>
  <si>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</si>
  <si>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</si>
  <si>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</si>
  <si>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</si>
  <si>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</si>
  <si>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</si>
  <si>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</si>
  <si>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</si>
  <si>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</si>
  <si>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</si>
  <si>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</si>
  <si>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</si>
  <si>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</si>
  <si>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</si>
  <si>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</si>
  <si>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</si>
  <si>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</si>
  <si>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</si>
  <si>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</si>
  <si>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</si>
  <si>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</si>
  <si>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</si>
  <si>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</si>
  <si>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</si>
  <si>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</si>
  <si>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</si>
  <si>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</si>
  <si>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</si>
  <si>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</si>
  <si>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</si>
  <si>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</si>
  <si>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</si>
  <si>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</si>
  <si>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</si>
  <si>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</si>
  <si>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</si>
  <si>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</si>
  <si>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</si>
  <si>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</si>
  <si>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</si>
  <si>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</si>
  <si>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</si>
  <si>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</si>
  <si>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</si>
  <si>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</si>
  <si>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</si>
  <si>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</si>
  <si>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</si>
  <si>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</si>
  <si>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</si>
  <si>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</si>
  <si>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</si>
  <si>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</si>
  <si>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</si>
  <si>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</si>
  <si>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</si>
  <si>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</si>
  <si>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</si>
  <si>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</si>
  <si>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</si>
  <si>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</si>
  <si>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</si>
  <si>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</si>
  <si>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</si>
  <si>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</si>
  <si>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</si>
  <si>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</si>
  <si>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</si>
  <si>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</si>
  <si>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</si>
  <si>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</si>
  <si>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</si>
  <si>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</si>
  <si>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</si>
  <si>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</si>
  <si>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</si>
  <si>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</si>
  <si>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</si>
  <si>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</si>
  <si>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</si>
  <si>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</si>
  <si>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</si>
  <si>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</si>
  <si>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</si>
  <si>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</si>
  <si>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</si>
  <si>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</si>
  <si>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</si>
  <si>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</si>
  <si>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</si>
  <si>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</si>
  <si>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</si>
  <si>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</si>
  <si>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</si>
  <si>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</si>
  <si>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</si>
  <si>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</si>
  <si>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</si>
  <si>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</si>
  <si>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</si>
  <si>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</si>
  <si>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</si>
  <si>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</si>
  <si>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</si>
  <si>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</si>
  <si>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</si>
  <si>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</si>
  <si>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</si>
  <si>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</si>
  <si>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</si>
  <si>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</si>
  <si>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</si>
  <si>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</si>
  <si>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</si>
  <si>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</si>
  <si>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</si>
  <si>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</si>
  <si>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</si>
  <si>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</si>
  <si>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</si>
  <si>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</si>
  <si>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</si>
  <si>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</si>
  <si>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</si>
  <si>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</si>
  <si>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</si>
  <si>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</si>
  <si>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</si>
  <si>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</si>
  <si>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</si>
  <si>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</si>
  <si>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</si>
  <si>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</si>
  <si>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</si>
  <si>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</si>
  <si>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</si>
  <si>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</si>
  <si>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</si>
  <si>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</si>
  <si>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</si>
  <si>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</si>
  <si>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</si>
  <si>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</si>
  <si>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</si>
  <si>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</si>
  <si>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</si>
  <si>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</si>
  <si>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</si>
  <si>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</si>
  <si>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</si>
  <si>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</si>
  <si>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</si>
  <si>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</si>
  <si>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</si>
  <si>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</si>
  <si>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</si>
  <si>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</si>
  <si>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</si>
  <si>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</si>
  <si>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</si>
  <si>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</si>
  <si>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</si>
  <si>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</si>
  <si>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</si>
  <si>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</si>
  <si>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</si>
  <si>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</si>
  <si>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</si>
  <si>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</si>
  <si>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</si>
  <si>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</si>
  <si>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</si>
  <si>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</si>
  <si>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</si>
  <si>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</si>
  <si>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</si>
  <si>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</si>
  <si>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</si>
  <si>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</si>
  <si>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</si>
  <si>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</si>
  <si>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</si>
  <si>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</si>
  <si>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</si>
  <si>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</si>
  <si>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</si>
  <si>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</si>
  <si>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</si>
  <si>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</si>
  <si>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</si>
  <si>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</si>
  <si>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</si>
  <si>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</si>
  <si>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</si>
  <si>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</si>
  <si>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</si>
  <si>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</si>
  <si>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</si>
  <si>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</si>
  <si>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</si>
  <si>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</si>
  <si>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</si>
  <si>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</si>
  <si>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</si>
  <si>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</si>
  <si>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</si>
  <si>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</si>
  <si>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</si>
  <si>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</si>
  <si>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</si>
  <si>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</si>
  <si>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</si>
  <si>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</si>
  <si>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</si>
  <si>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</si>
  <si>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</si>
  <si>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</si>
  <si>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</si>
  <si>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</si>
  <si>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</si>
  <si>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</si>
  <si>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</si>
  <si>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</si>
  <si>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</si>
  <si>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</si>
  <si>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</si>
  <si>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</si>
  <si>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</si>
  <si>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</si>
  <si>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</si>
  <si>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</si>
  <si>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</si>
  <si>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</si>
  <si>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</si>
  <si>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</si>
  <si>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</si>
  <si>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</si>
  <si>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</si>
  <si>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</si>
  <si>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</si>
  <si>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</si>
  <si>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</si>
  <si>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</si>
  <si>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</si>
  <si>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</si>
  <si>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</si>
  <si>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</si>
  <si>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</si>
  <si>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</si>
  <si>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</si>
  <si>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</si>
  <si>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</si>
  <si>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</si>
  <si>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</si>
  <si>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</si>
  <si>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</si>
  <si>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</si>
  <si>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</si>
  <si>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</si>
  <si>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</si>
  <si>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</si>
  <si>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</si>
  <si>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</si>
  <si>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</si>
  <si>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</si>
  <si>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</si>
  <si>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</si>
  <si>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</si>
  <si>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</si>
  <si>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</si>
  <si>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</si>
  <si>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</si>
  <si>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</si>
  <si>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</si>
  <si>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</si>
  <si>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</si>
  <si>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</si>
  <si>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</si>
  <si>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</si>
  <si>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</si>
  <si>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</si>
  <si>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</si>
  <si>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</si>
  <si>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</si>
  <si>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</si>
  <si>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</si>
  <si>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</si>
  <si>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</si>
  <si>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</si>
  <si>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</si>
  <si>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</si>
  <si>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</si>
  <si>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</si>
  <si>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</si>
  <si>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</si>
  <si>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</si>
  <si>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</si>
  <si>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</si>
  <si>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</si>
  <si>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</si>
  <si>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</si>
  <si>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</si>
  <si>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</si>
  <si>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</si>
  <si>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</si>
  <si>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</si>
  <si>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</si>
  <si>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</si>
  <si>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</si>
  <si>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</si>
  <si>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</si>
  <si>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</si>
  <si>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</si>
  <si>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</si>
  <si>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</si>
  <si>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</si>
  <si>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</si>
  <si>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</si>
  <si>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</si>
  <si>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</si>
  <si>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</si>
  <si>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</si>
  <si>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</si>
  <si>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</si>
  <si>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</si>
  <si>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</si>
  <si>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</si>
  <si>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</si>
  <si>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</si>
  <si>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</si>
  <si>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</si>
  <si>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</si>
  <si>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</si>
  <si>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</si>
  <si>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</si>
  <si>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</si>
  <si>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</si>
  <si>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</si>
  <si>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</si>
  <si>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</si>
  <si>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</si>
  <si>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</si>
  <si>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</si>
  <si>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</si>
  <si>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</si>
  <si>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</si>
  <si>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</si>
  <si>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</si>
  <si>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</si>
  <si>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</si>
  <si>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</si>
  <si>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</si>
  <si>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</si>
  <si>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</si>
  <si>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</si>
  <si>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</si>
  <si>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</si>
  <si>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</si>
  <si>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</si>
  <si>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</si>
  <si>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</si>
  <si>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</si>
  <si>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</si>
  <si>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</si>
  <si>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</si>
  <si>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</si>
  <si>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</si>
  <si>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</si>
  <si>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</si>
  <si>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</si>
  <si>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</si>
  <si>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</si>
  <si>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</si>
  <si>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</si>
  <si>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</si>
  <si>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</si>
  <si>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</si>
  <si>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</si>
  <si>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</si>
  <si>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</si>
  <si>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</si>
  <si>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</si>
  <si>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</si>
  <si>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</si>
  <si>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</si>
  <si>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</si>
  <si>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</si>
  <si>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</si>
  <si>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</si>
  <si>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</si>
  <si>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</si>
  <si>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</si>
  <si>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</si>
  <si>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</si>
  <si>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</si>
  <si>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</si>
  <si>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</si>
  <si>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</si>
  <si>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</si>
  <si>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</si>
  <si>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</si>
  <si>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</si>
  <si>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</si>
  <si>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</si>
  <si>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</si>
  <si>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</si>
  <si>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</si>
  <si>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</si>
  <si>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</si>
  <si>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</si>
  <si>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</si>
  <si>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</si>
  <si>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</si>
  <si>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</si>
  <si>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</si>
  <si>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</si>
  <si>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</si>
  <si>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</si>
  <si>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</si>
  <si>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</si>
  <si>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</si>
  <si>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</si>
  <si>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</si>
  <si>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</si>
  <si>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</si>
  <si>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</si>
  <si>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</si>
  <si>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</si>
  <si>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</si>
  <si>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</si>
  <si>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</si>
  <si>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</si>
  <si>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</si>
  <si>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</si>
  <si>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</si>
  <si>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</si>
  <si>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</si>
  <si>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</si>
  <si>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</si>
  <si>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</si>
  <si>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</si>
  <si>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</si>
  <si>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</si>
  <si>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</si>
  <si>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</si>
  <si>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</si>
  <si>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</si>
  <si>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</si>
  <si>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</si>
  <si>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</si>
  <si>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</si>
  <si>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</si>
  <si>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</si>
  <si>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</si>
  <si>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</si>
  <si>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</si>
  <si>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</si>
  <si>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</si>
  <si>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</si>
  <si>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</si>
  <si>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</si>
  <si>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</si>
  <si>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</si>
  <si>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</si>
  <si>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</si>
  <si>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</si>
  <si>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</si>
  <si>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</si>
  <si>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</si>
  <si>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</si>
  <si>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</si>
  <si>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</si>
  <si>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</si>
  <si>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</si>
  <si>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</si>
  <si>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</si>
  <si>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</si>
  <si>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</si>
  <si>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</si>
  <si>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</si>
  <si>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</si>
  <si>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</si>
  <si>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</si>
  <si>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</si>
  <si>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</si>
  <si>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</si>
  <si>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</si>
  <si>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</si>
  <si>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</si>
  <si>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</si>
  <si>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</si>
  <si>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</si>
  <si>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</si>
  <si>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</si>
  <si>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</si>
  <si>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</si>
  <si>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</si>
  <si>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</si>
  <si>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</si>
  <si>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</si>
  <si>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</si>
  <si>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</si>
  <si>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</si>
  <si>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</si>
  <si>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</si>
  <si>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</si>
  <si>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</si>
  <si>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</si>
  <si>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</si>
  <si>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</si>
  <si>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</si>
  <si>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</si>
  <si>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</si>
  <si>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</si>
  <si>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</si>
  <si>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</si>
  <si>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</si>
  <si>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</si>
  <si>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</si>
  <si>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</si>
  <si>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</si>
  <si>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</si>
  <si>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</si>
  <si>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</si>
  <si>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</si>
  <si>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</si>
  <si>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</si>
  <si>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</si>
  <si>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</si>
  <si>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</si>
  <si>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</si>
  <si>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</si>
  <si>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</si>
  <si>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</si>
  <si>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</si>
  <si>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</si>
  <si>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</si>
  <si>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</si>
  <si>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</si>
  <si>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</si>
  <si>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</si>
  <si>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</si>
  <si>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</si>
  <si>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</si>
  <si>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</si>
  <si>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</si>
  <si>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</si>
  <si>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</si>
  <si>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</si>
  <si>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</si>
  <si>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</si>
  <si>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</si>
  <si>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</si>
  <si>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</si>
  <si>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</si>
  <si>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</si>
  <si>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</si>
  <si>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</si>
  <si>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</si>
  <si>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</si>
  <si>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</si>
  <si>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</si>
  <si>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</si>
  <si>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</si>
  <si>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</si>
  <si>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</si>
  <si>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</si>
  <si>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</si>
  <si>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</si>
  <si>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</si>
  <si>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</si>
  <si>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</si>
  <si>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</si>
  <si>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</si>
  <si>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</si>
  <si>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</si>
  <si>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</si>
  <si>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</si>
  <si>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</si>
  <si>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</si>
  <si>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</si>
  <si>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</si>
  <si>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</si>
  <si>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</si>
  <si>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</si>
  <si>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</si>
  <si>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</si>
  <si>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</si>
  <si>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</si>
  <si>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</si>
  <si>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</si>
  <si>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</si>
  <si>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</si>
  <si>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</si>
  <si>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</si>
  <si>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</si>
  <si>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</si>
  <si>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</si>
  <si>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</si>
  <si>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</si>
  <si>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</si>
  <si>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</si>
  <si>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</si>
  <si>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</si>
  <si>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</si>
  <si>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</si>
  <si>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</si>
  <si>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</si>
  <si>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</si>
  <si>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</si>
  <si>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</si>
  <si>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</si>
  <si>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</si>
  <si>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</si>
  <si>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</si>
  <si>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</si>
  <si>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</si>
  <si>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</si>
  <si>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</si>
  <si>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</si>
  <si>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</si>
  <si>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</si>
  <si>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</si>
  <si>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</si>
  <si>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</si>
  <si>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</si>
  <si>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</si>
  <si>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</si>
  <si>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</si>
  <si>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</si>
  <si>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</si>
  <si>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</si>
  <si>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</si>
  <si>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</si>
  <si>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</si>
  <si>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</si>
  <si>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</si>
  <si>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</si>
  <si>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</si>
  <si>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</si>
  <si>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</si>
  <si>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</si>
  <si>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</si>
  <si>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</si>
  <si>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</si>
  <si>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</si>
  <si>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</si>
  <si>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</si>
  <si>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</si>
  <si>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</si>
  <si>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</si>
  <si>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</si>
  <si>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</si>
  <si>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</si>
  <si>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</si>
  <si>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</si>
  <si>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</si>
  <si>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</si>
  <si>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</si>
  <si>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</si>
  <si>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</si>
  <si>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</si>
  <si>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</si>
  <si>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</si>
  <si>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</si>
  <si>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</si>
  <si>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</si>
  <si>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</si>
  <si>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</si>
  <si>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</si>
  <si>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</si>
  <si>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</si>
  <si>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</si>
  <si>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</si>
  <si>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</si>
  <si>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</si>
  <si>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</si>
  <si>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</si>
  <si>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</si>
  <si>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</si>
  <si>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</si>
  <si>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</si>
  <si>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</si>
  <si>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</si>
  <si>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</si>
  <si>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</si>
  <si>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</si>
  <si>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</si>
  <si>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</si>
  <si>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</si>
  <si>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</si>
  <si>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</si>
  <si>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</si>
  <si>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</si>
  <si>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</si>
  <si>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</si>
  <si>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</si>
  <si>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</si>
  <si>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</si>
  <si>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</si>
  <si>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</si>
  <si>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</si>
  <si>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</si>
  <si>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</si>
  <si>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</si>
  <si>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</si>
  <si>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</si>
  <si>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</si>
  <si>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</si>
  <si>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</si>
  <si>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</si>
  <si>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</si>
  <si>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</si>
  <si>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</si>
  <si>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</si>
  <si>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</si>
  <si>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</si>
  <si>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</si>
  <si>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</si>
  <si>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</si>
  <si>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</si>
  <si>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</si>
  <si>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</si>
  <si>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</si>
  <si>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</si>
  <si>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</si>
  <si>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</si>
  <si>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</si>
  <si>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</si>
  <si>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</si>
  <si>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</si>
  <si>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</si>
  <si>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</si>
  <si>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</si>
  <si>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</si>
  <si>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</si>
  <si>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</si>
  <si>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</si>
  <si>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</si>
  <si>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</si>
  <si>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</si>
  <si>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</si>
  <si>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</si>
  <si>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</si>
  <si>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</si>
  <si>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</si>
  <si>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</si>
  <si>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</si>
  <si>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</si>
  <si>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</si>
  <si>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</si>
  <si>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</si>
  <si>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</si>
  <si>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</si>
  <si>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</si>
  <si>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</si>
  <si>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</si>
  <si>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</si>
  <si>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</si>
  <si>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</si>
  <si>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</si>
  <si>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</si>
  <si>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</si>
  <si>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</si>
  <si>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</si>
  <si>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</si>
  <si>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</si>
  <si>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</si>
  <si>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</si>
  <si>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</si>
  <si>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</si>
  <si>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</si>
  <si>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</si>
  <si>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</si>
  <si>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</si>
  <si>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</si>
  <si>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</si>
  <si>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</si>
  <si>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</si>
  <si>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</si>
  <si>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</si>
  <si>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</si>
  <si>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</si>
  <si>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</si>
  <si>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</si>
  <si>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</si>
  <si>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</si>
  <si>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</si>
  <si>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</si>
  <si>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</si>
  <si>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</si>
  <si>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</si>
  <si>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</si>
  <si>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</si>
  <si>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</si>
  <si>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</si>
  <si>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</si>
  <si>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</si>
  <si>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</si>
  <si>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</si>
  <si>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</si>
  <si>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</si>
  <si>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</si>
  <si>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</si>
  <si>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</si>
  <si>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</si>
  <si>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</si>
  <si>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</si>
  <si>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</si>
  <si>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</si>
  <si>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</si>
  <si>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</si>
  <si>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</si>
  <si>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</si>
  <si>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</si>
  <si>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</si>
  <si>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</si>
  <si>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</si>
  <si>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</si>
  <si>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</si>
  <si>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</si>
  <si>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</si>
  <si>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</si>
  <si>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</si>
  <si>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</si>
  <si>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</si>
  <si>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</si>
  <si>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</si>
  <si>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</si>
  <si>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</si>
  <si>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</si>
  <si>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</si>
  <si>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</si>
  <si>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</si>
  <si>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</si>
  <si>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</si>
  <si>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</si>
  <si>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</si>
  <si>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</si>
  <si>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</si>
  <si>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</si>
  <si>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</si>
  <si>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</si>
  <si>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</si>
  <si>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</si>
  <si>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</si>
  <si>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</si>
  <si>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</si>
  <si>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</si>
  <si>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</si>
  <si>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</si>
  <si>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</si>
  <si>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</si>
  <si>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</si>
  <si>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</si>
  <si>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</si>
  <si>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</si>
  <si>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</si>
  <si>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</si>
  <si>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</si>
  <si>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</si>
  <si>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</si>
  <si>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</si>
  <si>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</si>
  <si>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</si>
  <si>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</si>
  <si>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</si>
  <si>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</si>
  <si>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</si>
  <si>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</si>
  <si>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</si>
  <si>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</si>
  <si>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</si>
  <si>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</si>
  <si>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</si>
  <si>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</si>
  <si>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</si>
  <si>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</si>
  <si>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</si>
  <si>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</si>
  <si>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</si>
  <si>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</si>
  <si>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</si>
  <si>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</si>
  <si>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</si>
  <si>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</si>
  <si>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</si>
  <si>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</si>
  <si>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</si>
  <si>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</si>
  <si>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</si>
  <si>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</si>
  <si>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</si>
  <si>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</si>
  <si>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</si>
  <si>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</si>
  <si>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</si>
  <si>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</si>
  <si>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</si>
  <si>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</si>
  <si>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</si>
  <si>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</si>
  <si>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</si>
  <si>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</si>
  <si>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</si>
  <si>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</si>
  <si>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</si>
  <si>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</si>
  <si>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</si>
  <si>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</si>
  <si>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</si>
  <si>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</si>
  <si>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</si>
  <si>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</si>
  <si>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</si>
  <si>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</si>
  <si>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</si>
  <si>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</si>
  <si>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</si>
  <si>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</si>
  <si>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</si>
  <si>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</si>
  <si>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</si>
  <si>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</si>
  <si>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</si>
  <si>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</si>
  <si>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</si>
  <si>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</si>
  <si>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</si>
  <si>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</si>
  <si>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</si>
  <si>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</si>
  <si>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</si>
  <si>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</si>
  <si>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</si>
  <si>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</si>
  <si>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</si>
  <si>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</si>
  <si>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</si>
  <si>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</si>
  <si>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</si>
  <si>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</si>
  <si>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</si>
  <si>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</si>
  <si>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</si>
  <si>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</si>
  <si>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</si>
  <si>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</si>
  <si>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</si>
  <si>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</si>
  <si>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</si>
  <si>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</si>
  <si>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</si>
  <si>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</si>
  <si>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</si>
  <si>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</si>
  <si>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</si>
  <si>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</si>
  <si>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</si>
  <si>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</si>
  <si>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</si>
  <si>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</si>
  <si>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</si>
  <si>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</si>
  <si>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</si>
  <si>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</si>
  <si>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</si>
  <si>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</si>
  <si>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</si>
  <si>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</si>
  <si>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</si>
  <si>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</si>
  <si>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</si>
  <si>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</si>
  <si>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</si>
  <si>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</si>
  <si>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</si>
  <si>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</si>
  <si>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</si>
  <si>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</si>
  <si>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</si>
  <si>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</si>
  <si>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</si>
  <si>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</si>
  <si>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</si>
  <si>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</si>
  <si>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</si>
  <si>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</si>
  <si>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</si>
  <si>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</si>
  <si>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</si>
  <si>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</si>
  <si>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</si>
  <si>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</si>
  <si>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</si>
  <si>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</si>
  <si>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</si>
  <si>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</si>
  <si>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</si>
  <si>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</si>
  <si>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</si>
  <si>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</si>
  <si>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</si>
  <si>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</si>
  <si>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</si>
  <si>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</si>
  <si>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</si>
  <si>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</si>
  <si>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</si>
  <si>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</si>
  <si>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</si>
  <si>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</si>
  <si>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</si>
  <si>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</si>
  <si>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</si>
  <si>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</si>
  <si>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</si>
  <si>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</si>
  <si>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</si>
  <si>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</si>
  <si>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</si>
  <si>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</si>
  <si>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</si>
  <si>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</si>
  <si>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</si>
  <si>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</si>
  <si>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</si>
  <si>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</si>
  <si>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</si>
  <si>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</si>
  <si>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</si>
  <si>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</si>
  <si>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</si>
  <si>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</si>
  <si>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</si>
  <si>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</si>
  <si>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</si>
  <si>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</si>
  <si>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</si>
  <si>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</si>
  <si>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</si>
  <si>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</si>
  <si>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</si>
  <si>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</si>
  <si>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</si>
  <si>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</si>
  <si>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</si>
  <si>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</si>
  <si>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</si>
  <si>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</si>
  <si>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</si>
  <si>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</si>
  <si>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</si>
  <si>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</si>
  <si>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</si>
  <si>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</si>
  <si>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</si>
  <si>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</si>
  <si>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</si>
  <si>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</si>
  <si>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</si>
  <si>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</si>
  <si>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</si>
  <si>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</si>
  <si>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</si>
  <si>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</si>
  <si>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</si>
  <si>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</si>
  <si>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</si>
  <si>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</si>
  <si>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</si>
  <si>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</si>
  <si>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</si>
  <si>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</si>
  <si>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</si>
  <si>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</si>
  <si>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</si>
  <si>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</si>
  <si>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</si>
  <si>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</si>
  <si>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</si>
  <si>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</si>
  <si>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</si>
  <si>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</si>
  <si>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</si>
  <si>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</si>
  <si>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</si>
  <si>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</si>
  <si>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</si>
  <si>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</si>
  <si>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</si>
  <si>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</si>
  <si>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</si>
  <si>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</si>
  <si>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</si>
  <si>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</si>
  <si>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</si>
  <si>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</si>
  <si>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</si>
  <si>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</si>
  <si>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</si>
  <si>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</si>
  <si>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</si>
  <si>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</si>
  <si>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</si>
  <si>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</si>
  <si>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</si>
  <si>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</si>
  <si>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</si>
  <si>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</si>
  <si>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</si>
  <si>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</si>
  <si>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</si>
  <si>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</si>
  <si>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</si>
  <si>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</si>
  <si>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</si>
  <si>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</si>
  <si>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</si>
  <si>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</si>
  <si>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</si>
  <si>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</si>
  <si>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</si>
  <si>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</si>
  <si>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</si>
  <si>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</si>
  <si>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</si>
  <si>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</si>
  <si>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</si>
  <si>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</si>
  <si>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</si>
  <si>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</si>
  <si>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</si>
  <si>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</si>
  <si>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</si>
  <si>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</si>
  <si>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</si>
  <si>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</si>
  <si>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</si>
  <si>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</si>
  <si>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</si>
  <si>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</si>
  <si>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</si>
  <si>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</si>
  <si>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</si>
  <si>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</si>
  <si>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</si>
  <si>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</si>
  <si>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</si>
  <si>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</si>
  <si>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</si>
  <si>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</si>
  <si>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</si>
  <si>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</si>
  <si>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</si>
  <si>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</si>
  <si>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</si>
  <si>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</si>
  <si>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</si>
  <si>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</si>
  <si>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</si>
  <si>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</si>
  <si>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</si>
  <si>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</si>
  <si>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</si>
  <si>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</si>
  <si>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</si>
  <si>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</si>
  <si>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</si>
  <si>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</si>
  <si>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</si>
  <si>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</si>
  <si>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</si>
  <si>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</si>
  <si>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</si>
  <si>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</si>
  <si>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</si>
  <si>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</si>
  <si>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</si>
  <si>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</si>
  <si>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</si>
  <si>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</si>
  <si>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</si>
  <si>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</si>
  <si>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</si>
  <si>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</si>
  <si>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</si>
  <si>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</si>
  <si>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</si>
  <si>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</si>
  <si>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</si>
  <si>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</si>
  <si>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</si>
  <si>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</si>
  <si>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</si>
  <si>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</si>
  <si>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</si>
  <si>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</si>
  <si>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</si>
  <si>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</si>
  <si>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</si>
  <si>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</si>
  <si>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</si>
  <si>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</si>
  <si>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</si>
  <si>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</si>
  <si>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</si>
  <si>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</si>
  <si>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</si>
  <si>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</si>
  <si>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</si>
  <si>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</si>
  <si>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</si>
  <si>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</si>
  <si>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</si>
  <si>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</si>
  <si>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</si>
  <si>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</si>
  <si>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</si>
  <si>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</si>
  <si>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</si>
  <si>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</si>
  <si>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</si>
  <si>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</si>
  <si>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</si>
  <si>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</si>
  <si>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</si>
  <si>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</si>
  <si>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</si>
  <si>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</si>
  <si>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</si>
  <si>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</si>
  <si>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</si>
  <si>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</si>
  <si>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</si>
  <si>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</si>
  <si>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</si>
  <si>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</si>
  <si>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</si>
  <si>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</si>
  <si>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</si>
  <si>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</si>
  <si>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</si>
  <si>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</si>
  <si>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</si>
  <si>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</si>
  <si>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</si>
  <si>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</si>
  <si>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</si>
  <si>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</si>
  <si>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</si>
  <si>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</si>
  <si>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</si>
  <si>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</si>
  <si>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</si>
  <si>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</si>
  <si>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</si>
  <si>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</si>
  <si>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</si>
  <si>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</si>
  <si>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</si>
  <si>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</si>
  <si>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</si>
  <si>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</si>
  <si>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</si>
  <si>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</si>
  <si>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</si>
  <si>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</si>
  <si>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</si>
  <si>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</si>
  <si>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</si>
  <si>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</si>
  <si>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</si>
  <si>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</si>
  <si>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</si>
  <si>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</si>
  <si>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</si>
  <si>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</si>
  <si>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</si>
  <si>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</si>
  <si>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</si>
  <si>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</si>
  <si>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</si>
  <si>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</si>
  <si>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</si>
  <si>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</si>
  <si>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</si>
  <si>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</si>
  <si>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</si>
  <si>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</si>
  <si>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</si>
  <si>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</si>
  <si>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</si>
  <si>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</si>
  <si>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</si>
  <si>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</si>
  <si>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</si>
  <si>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</si>
  <si>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</si>
  <si>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</si>
  <si>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</si>
  <si>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</si>
  <si>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</si>
  <si>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</si>
  <si>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</si>
  <si>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</si>
  <si>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</si>
  <si>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</si>
  <si>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</si>
  <si>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</si>
  <si>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</si>
  <si>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</si>
  <si>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</si>
  <si>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</si>
  <si>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</si>
  <si>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</si>
  <si>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</si>
  <si>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</si>
  <si>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</si>
  <si>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</si>
  <si>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</si>
  <si>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</si>
  <si>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</si>
  <si>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</si>
  <si>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</si>
  <si>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</si>
  <si>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</si>
  <si>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</si>
  <si>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</si>
  <si>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</si>
  <si>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</si>
  <si>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</si>
  <si>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</si>
  <si>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</si>
  <si>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</si>
  <si>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</si>
  <si>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</si>
  <si>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</si>
  <si>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</si>
  <si>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</si>
  <si>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</si>
  <si>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</si>
  <si>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</si>
  <si>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</si>
  <si>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</si>
  <si>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</si>
  <si>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</si>
  <si>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</si>
  <si>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</si>
  <si>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</si>
  <si>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</si>
  <si>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</si>
  <si>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</si>
  <si>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</si>
  <si>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</si>
  <si>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</si>
  <si>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</si>
  <si>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</si>
  <si>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</si>
  <si>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</si>
  <si>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</si>
  <si>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</si>
  <si>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</si>
  <si>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</si>
  <si>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</si>
  <si>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</si>
  <si>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</si>
  <si>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</si>
  <si>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</si>
  <si>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</si>
  <si>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</si>
  <si>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</si>
  <si>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</si>
  <si>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</si>
  <si>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</si>
  <si>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</si>
  <si>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</si>
  <si>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</si>
  <si>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</si>
  <si>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</si>
  <si>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</si>
  <si>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</si>
  <si>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</si>
  <si>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</si>
  <si>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</si>
  <si>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</si>
  <si>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</si>
  <si>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</si>
  <si>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</si>
  <si>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</si>
  <si>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</si>
  <si>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</si>
  <si>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</si>
  <si>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</si>
  <si>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</si>
  <si>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</si>
  <si>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</si>
  <si>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</si>
  <si>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</si>
  <si>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</si>
  <si>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</si>
  <si>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</si>
  <si>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</si>
  <si>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</si>
  <si>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</si>
  <si>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</si>
  <si>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</si>
  <si>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</si>
  <si>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</si>
  <si>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</si>
  <si>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</si>
  <si>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</si>
  <si>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</si>
  <si>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</si>
  <si>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</si>
  <si>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</si>
  <si>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</si>
  <si>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</si>
  <si>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</si>
  <si>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</si>
  <si>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</si>
  <si>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</si>
  <si>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</si>
  <si>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</si>
  <si>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</si>
  <si>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</si>
  <si>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</si>
  <si>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</si>
  <si>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</si>
  <si>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</si>
  <si>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</si>
  <si>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</si>
  <si>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</si>
  <si>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</si>
  <si>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</si>
  <si>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</si>
  <si>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</si>
  <si>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</si>
  <si>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</si>
  <si>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</si>
  <si>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</si>
  <si>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</si>
  <si>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</si>
  <si>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</si>
  <si>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</si>
  <si>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</si>
  <si>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</si>
  <si>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</si>
  <si>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</si>
  <si>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</si>
  <si>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</si>
  <si>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</si>
  <si>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</si>
  <si>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</si>
  <si>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</si>
  <si>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</si>
  <si>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</si>
  <si>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</si>
  <si>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</si>
  <si>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</si>
  <si>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</si>
  <si>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</si>
  <si>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</si>
  <si>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</si>
  <si>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</si>
  <si>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</si>
  <si>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</si>
  <si>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</si>
  <si>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</si>
  <si>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</si>
  <si>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</si>
  <si>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</si>
  <si>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</si>
  <si>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</si>
  <si>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</si>
  <si>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</si>
  <si>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</si>
  <si>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</si>
  <si>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</si>
  <si>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</si>
  <si>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</si>
  <si>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</si>
  <si>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</si>
  <si>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</si>
  <si>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</si>
  <si>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</si>
  <si>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</si>
  <si>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</si>
  <si>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</si>
  <si>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</si>
  <si>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</si>
  <si>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</si>
  <si>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</si>
  <si>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</si>
  <si>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</si>
  <si>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</si>
  <si>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</si>
  <si>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</si>
  <si>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</si>
  <si>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</si>
  <si>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</si>
  <si>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</si>
  <si>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</si>
  <si>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</si>
  <si>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</si>
  <si>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</si>
  <si>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</si>
  <si>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</si>
  <si>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</si>
  <si>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</si>
  <si>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</si>
  <si>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</si>
  <si>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</si>
  <si>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</si>
  <si>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</si>
  <si>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</si>
  <si>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</si>
  <si>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</si>
  <si>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</si>
  <si>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</si>
  <si>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</si>
  <si>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</si>
  <si>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</si>
  <si>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</si>
  <si>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</si>
  <si>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</si>
  <si>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</si>
  <si>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</si>
  <si>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</si>
  <si>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</si>
  <si>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</si>
  <si>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</si>
  <si>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</si>
  <si>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</si>
  <si>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</si>
  <si>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</si>
  <si>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</si>
  <si>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</si>
  <si>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</si>
  <si>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</si>
  <si>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</si>
  <si>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</si>
  <si>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</si>
  <si>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</si>
  <si>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</si>
  <si>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</si>
  <si>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</si>
  <si>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</si>
  <si>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</si>
  <si>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</si>
  <si>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</si>
  <si>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</si>
  <si>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</si>
  <si>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</si>
  <si>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</si>
  <si>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</si>
  <si>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</si>
  <si>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</si>
  <si>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</si>
  <si>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</si>
  <si>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</si>
  <si>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</si>
  <si>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</si>
  <si>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</si>
  <si>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</si>
  <si>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</si>
  <si>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</si>
  <si>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</si>
  <si>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</si>
  <si>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</si>
  <si>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</si>
  <si>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</si>
  <si>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</si>
  <si>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</si>
  <si>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</si>
  <si>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</si>
  <si>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</si>
  <si>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</si>
  <si>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</si>
  <si>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</si>
  <si>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</si>
  <si>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</si>
  <si>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</si>
  <si>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</si>
  <si>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</si>
  <si>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</si>
  <si>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</si>
  <si>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</si>
  <si>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</si>
  <si>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</si>
  <si>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</si>
  <si>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</si>
  <si>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</si>
  <si>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</si>
  <si>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</si>
  <si>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</si>
  <si>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</si>
  <si>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</si>
  <si>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</si>
  <si>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</si>
  <si>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</si>
  <si>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</si>
  <si>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</si>
  <si>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</si>
  <si>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</si>
  <si>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</si>
  <si>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</si>
  <si>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</si>
  <si>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</si>
  <si>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</si>
  <si>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</si>
  <si>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</si>
  <si>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</si>
  <si>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</si>
  <si>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</si>
  <si>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</si>
  <si>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</si>
  <si>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</si>
  <si>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</si>
  <si>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</si>
  <si>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</si>
  <si>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</si>
  <si>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</si>
  <si>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</si>
  <si>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</si>
  <si>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</si>
  <si>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</si>
  <si>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</si>
  <si>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</si>
  <si>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</si>
  <si>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</si>
  <si>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</si>
  <si>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</si>
  <si>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</si>
  <si>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</si>
  <si>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</si>
  <si>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</si>
  <si>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</si>
  <si>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</si>
  <si>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</si>
  <si>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</si>
  <si>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</si>
  <si>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</si>
  <si>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</si>
  <si>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</si>
  <si>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</si>
  <si>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</si>
  <si>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</si>
  <si>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</si>
  <si>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</si>
  <si>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</si>
  <si>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</si>
  <si>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</si>
  <si>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</si>
  <si>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</si>
  <si>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</si>
  <si>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</si>
  <si>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</si>
  <si>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</si>
  <si>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</si>
  <si>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</si>
  <si>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</si>
  <si>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</si>
  <si>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</si>
  <si>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</si>
  <si>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</si>
  <si>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</si>
  <si>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</si>
  <si>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</si>
  <si>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</si>
  <si>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</si>
  <si>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</si>
  <si>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</si>
  <si>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</si>
  <si>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</si>
  <si>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</si>
  <si>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</si>
  <si>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</si>
  <si>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</si>
  <si>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</si>
  <si>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</si>
  <si>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</si>
  <si>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</si>
  <si>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</si>
  <si>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</si>
  <si>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</si>
  <si>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</si>
  <si>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</si>
  <si>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</si>
  <si>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</si>
  <si>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</si>
  <si>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</si>
  <si>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</si>
  <si>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</si>
  <si>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</si>
  <si>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</si>
  <si>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</si>
  <si>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</si>
  <si>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</si>
  <si>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</si>
  <si>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</si>
  <si>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</si>
  <si>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</si>
  <si>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</si>
  <si>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</si>
  <si>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</si>
  <si>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</si>
  <si>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</si>
  <si>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</si>
  <si>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</si>
  <si>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</si>
  <si>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</si>
  <si>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</si>
  <si>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</si>
  <si>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</si>
  <si>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</si>
  <si>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</si>
  <si>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</si>
  <si>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</si>
  <si>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</si>
  <si>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</si>
  <si>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</si>
  <si>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</si>
  <si>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</si>
  <si>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</si>
  <si>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</si>
  <si>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</si>
  <si>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</si>
  <si>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</si>
  <si>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</si>
  <si>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</si>
  <si>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</si>
  <si>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</si>
  <si>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</si>
  <si>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</si>
  <si>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</si>
  <si>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</si>
  <si>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</si>
  <si>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</si>
  <si>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</si>
  <si>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</si>
  <si>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</si>
  <si>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</si>
  <si>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</si>
  <si>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</si>
  <si>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</si>
  <si>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</si>
  <si>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</si>
  <si>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</si>
  <si>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</si>
  <si>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</si>
  <si>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</si>
  <si>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</si>
  <si>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</si>
  <si>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</si>
  <si>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</si>
  <si>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</si>
  <si>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</si>
  <si>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</si>
  <si>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</si>
  <si>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</si>
  <si>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</si>
  <si>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</si>
  <si>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</si>
  <si>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</si>
  <si>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</si>
  <si>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</si>
  <si>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</si>
  <si>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</si>
  <si>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</si>
  <si>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</si>
  <si>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</si>
  <si>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</si>
  <si>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</si>
  <si>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</si>
  <si>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</si>
  <si>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</si>
  <si>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</si>
  <si>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</si>
  <si>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</si>
  <si>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</si>
  <si>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</si>
  <si>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</si>
  <si>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</si>
  <si>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</si>
  <si>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</si>
  <si>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</si>
  <si>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</si>
  <si>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</si>
  <si>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</si>
  <si>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</si>
  <si>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</si>
  <si>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</si>
  <si>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</si>
  <si>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</si>
  <si>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</si>
  <si>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</si>
  <si>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</si>
  <si>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</si>
  <si>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</si>
  <si>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</si>
  <si>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</si>
  <si>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</si>
  <si>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</si>
  <si>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</si>
  <si>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</si>
  <si>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</si>
  <si>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</si>
  <si>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</si>
  <si>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</si>
  <si>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</si>
  <si>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</si>
  <si>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</si>
  <si>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</si>
  <si>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</si>
  <si>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</si>
  <si>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</si>
  <si>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</si>
  <si>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</si>
  <si>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</si>
  <si>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</si>
  <si>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</si>
  <si>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</si>
  <si>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</si>
  <si>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</si>
  <si>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</si>
  <si>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</si>
  <si>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</si>
  <si>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</si>
  <si>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</si>
  <si>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</si>
  <si>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</si>
  <si>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</si>
  <si>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</si>
  <si>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</si>
  <si>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</si>
  <si>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</si>
  <si>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</si>
  <si>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</si>
  <si>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</si>
  <si>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</si>
  <si>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</si>
  <si>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</si>
  <si>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</si>
  <si>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</si>
  <si>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</si>
  <si>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</si>
  <si>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</si>
  <si>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</si>
  <si>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</si>
  <si>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</si>
  <si>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</si>
  <si>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</si>
  <si>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</si>
  <si>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</si>
  <si>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</si>
  <si>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</si>
  <si>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</si>
  <si>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</si>
  <si>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</si>
  <si>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</si>
  <si>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</si>
  <si>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</si>
  <si>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</si>
  <si>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</si>
  <si>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</si>
  <si>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</si>
  <si>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</si>
  <si>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</si>
  <si>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</si>
  <si>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</si>
  <si>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</si>
  <si>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</si>
  <si>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</si>
  <si>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</si>
  <si>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</si>
  <si>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</si>
  <si>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</si>
  <si>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</si>
  <si>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</si>
  <si>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</si>
  <si>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</si>
  <si>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</si>
  <si>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</si>
  <si>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</si>
  <si>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</si>
  <si>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</si>
  <si>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</si>
  <si>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</si>
  <si>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</si>
  <si>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</si>
  <si>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</si>
  <si>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</si>
  <si>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</si>
  <si>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</si>
  <si>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</si>
  <si>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</si>
  <si>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</si>
  <si>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</si>
  <si>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</si>
  <si>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</si>
  <si>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</si>
  <si>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</si>
  <si>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</si>
  <si>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</si>
  <si>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</si>
  <si>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</si>
  <si>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</si>
  <si>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</si>
  <si>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</si>
  <si>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</si>
  <si>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</si>
  <si>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</si>
  <si>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</si>
  <si>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</si>
  <si>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</si>
  <si>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</si>
  <si>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</si>
  <si>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</si>
  <si>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</si>
  <si>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</si>
  <si>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</si>
  <si>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</si>
  <si>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</si>
  <si>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</si>
  <si>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</si>
  <si>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</si>
  <si>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</si>
  <si>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</si>
  <si>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</si>
  <si>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</si>
  <si>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</si>
  <si>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</si>
  <si>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</si>
  <si>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</si>
  <si>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</si>
  <si>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</si>
  <si>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</si>
  <si>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</si>
  <si>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</si>
  <si>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</si>
  <si>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Perry/Randolph/Jackson</t>
  </si>
  <si>
    <t>16411 Highway 4, P.O. BOX 220</t>
  </si>
  <si>
    <t>Campbell Hill</t>
  </si>
  <si>
    <t>larrylovel@trico176.org</t>
  </si>
  <si>
    <t>X</t>
  </si>
  <si>
    <t>Larry Lovel</t>
  </si>
  <si>
    <t>618-426-1111</t>
  </si>
  <si>
    <t>(618) 426-3625</t>
  </si>
  <si>
    <t>Kimberly Walker, CPA</t>
  </si>
  <si>
    <t>3401 Professional Park Drive, PO BOX 129</t>
  </si>
  <si>
    <t>Marion</t>
  </si>
  <si>
    <t>IL</t>
  </si>
  <si>
    <t>618-997-3055</t>
  </si>
  <si>
    <t>618-997-5121</t>
  </si>
  <si>
    <t>066-003998</t>
  </si>
  <si>
    <t>Series 2017A Taxable General Obligation School Bonds</t>
  </si>
  <si>
    <t>Series 2017B General Obligation Refunding School Bonds</t>
  </si>
  <si>
    <t>Series 2019 Taxable General Obligation School Bonds</t>
  </si>
  <si>
    <t>x</t>
  </si>
  <si>
    <t>#23 - The District prepared these financial statements using accounting prescribed or permitted by the Illinois State Board of Education, which practices differ from accounting principles generally accepted in the United States of America.  Also, the District prepares its financial statements on the modified cash basis of accounting, which is a comprehensive basis of accounting other than accounting principles generally accepted in the United States of America.  
The report was also qualified due to the omission of the disclosures regarding post-employment health insurance benefits required by the financial reporting provisions of the ISBE.</t>
  </si>
  <si>
    <t>Of the Long-Term Debt Outstanding in D.(c.) above, $2,297,700 in bonds outstanding should be excluded from the legal debt margin calculation in accordance with State Statutes.  This leaves a remaining balance of $1,985,000 to be included in the calculation that results in a legal debt margin of $9,016,979.</t>
  </si>
  <si>
    <t>N/A</t>
  </si>
  <si>
    <t>Page 9, Line 17 - Other Payments in Lieu of Taxes - TIF monies ($14,051)</t>
  </si>
  <si>
    <t>Page 10, Line 81 - Other District/School Activity Revenue - Resale ($30,442)</t>
  </si>
  <si>
    <t>Page 11, Line 107 - Other Local Revenues -Other Miscellaneous Local Revenues ($12,921)</t>
  </si>
  <si>
    <t>Page 11, Line 107 - Other Local Revenues - Other Miscellaneous Local Revenues ($2,500)</t>
  </si>
  <si>
    <t>Page 11, Line 107 - Other Local Revenues - Other Miscellaneous Local Revenues ($1,852)</t>
  </si>
  <si>
    <t>Page 12, Line 168 - Other Restricted Revenue from State Sources - Library Per Capita Grant ($750) and Criminal Background ($110)</t>
  </si>
  <si>
    <t>Page 12, Line 168 - Other Restricted Revenue from State Sources - District Broadband Expansion Grant ($933)</t>
  </si>
  <si>
    <t>Page 13, Line 203 - Title I-Other - Title I School Improvement &amp; Accountability ($31,951)</t>
  </si>
  <si>
    <t>Page 15, Line 41 - Other Support Services - Pupils - [100] Salaries - School Aides ($6,543), [200] Employee Benefits - School Aides ($4,470)</t>
  </si>
  <si>
    <t>Page 16, Line 73 - Other Support Services - [300] Purchase Services - Title I Purchase Services ($15)</t>
  </si>
  <si>
    <t xml:space="preserve">Page 19, Line 237 - Other Support Services - Pupils - School Aides Salaries ($2,837), School Aides FICA ($2,018), </t>
  </si>
  <si>
    <t>School Aides Medicare ($3)</t>
  </si>
  <si>
    <t>Page 23, Line 18 - Other - Prior Year Adjustment ($17,571)</t>
  </si>
  <si>
    <t>PRAIRIE STATE INSURANCE COOPERATIVE</t>
  </si>
  <si>
    <t>MILLER, TRACY, BRAUN, FUND, &amp; MILLER LTD</t>
  </si>
  <si>
    <t>TRI-COUNTY SPECIAL EDUCATION</t>
  </si>
  <si>
    <t>JACKSON/PERRY REGIONAL DELIVERY SYSTEM</t>
  </si>
  <si>
    <t>COPE/WARD</t>
  </si>
  <si>
    <t>ED-Instruction - Purchase Services</t>
  </si>
  <si>
    <t>ED-Support Services-General Administration-P.S.</t>
  </si>
  <si>
    <t>ED-Support Services-Fiscal Services-Purchase Services</t>
  </si>
  <si>
    <t>O&amp;M-Support Services-Purchase Services</t>
  </si>
  <si>
    <t>TR-Support Services-Pupil Transportation Services-P.S.</t>
  </si>
  <si>
    <t>TF-Support Services-Purchase Services</t>
  </si>
  <si>
    <t>ED-Support Services Instructional Staff-Purchase Service</t>
  </si>
  <si>
    <t>HEPP, CINDY</t>
  </si>
  <si>
    <t>LENOVO FINANCIAL SERVICES</t>
  </si>
  <si>
    <t>DE LAGE LANDEN FINANCIAL SVCS</t>
  </si>
  <si>
    <t>GREATAMERICAN FINANCIAL SVCS</t>
  </si>
  <si>
    <t>MODERN OFFICE CONNECTIONS</t>
  </si>
  <si>
    <t>STILES</t>
  </si>
  <si>
    <t>KICKBOARD</t>
  </si>
  <si>
    <t>RENAISSANCE LEARNING</t>
  </si>
  <si>
    <t>SDS EDUCATION</t>
  </si>
  <si>
    <t>TURNITIN LLC</t>
  </si>
  <si>
    <t>PRAXAIR</t>
  </si>
  <si>
    <t>MOBYMAX</t>
  </si>
  <si>
    <t>COMMON GOAL SYSTEMS INC.</t>
  </si>
  <si>
    <t>JOURNEYED.COM INC</t>
  </si>
  <si>
    <t>SOPRIS APPS LLC</t>
  </si>
  <si>
    <t>WEBBY ENTERPRISES LLC</t>
  </si>
  <si>
    <t>CLEARWAVE COMMUNICATIONS</t>
  </si>
  <si>
    <t>STS EDUCATION</t>
  </si>
  <si>
    <t>T-MOBILE</t>
  </si>
  <si>
    <t>ASSURED PARTNERS CORNERSTONE</t>
  </si>
  <si>
    <t>TALX CORP</t>
  </si>
  <si>
    <t>KEMPER CPA GROUP</t>
  </si>
  <si>
    <t>MILLER TRACY BRAUN FUND &amp; MILLER</t>
  </si>
  <si>
    <t>VERIZON WIRELESS</t>
  </si>
  <si>
    <t>SPECIALIZED DATA SYSTEMS</t>
  </si>
  <si>
    <t>ADVANCED PEST CONTROL SYSTEMS</t>
  </si>
  <si>
    <t>CINTAS FAS LOCKBOX</t>
  </si>
  <si>
    <t>CWI OF ILLINOIS</t>
  </si>
  <si>
    <t>J &amp; S SERVICES</t>
  </si>
  <si>
    <t>J.T. BLANKINSHIP INC.</t>
  </si>
  <si>
    <t>SECURITY ALARM CORP</t>
  </si>
  <si>
    <t>TRANSFINDER</t>
  </si>
  <si>
    <t>SOUTHERN IL SPINE &amp; JOINT CENTER</t>
  </si>
  <si>
    <t>ARTHUR J. GALLAGHER RMS</t>
  </si>
  <si>
    <t>LIBERTY MUTUAL INSURANCE CO.</t>
  </si>
  <si>
    <t>PSIC</t>
  </si>
  <si>
    <t>BLACKBOARD CONNECT INC.</t>
  </si>
  <si>
    <t>JACKSON COUNTY SHERIFF'S OFFICE</t>
  </si>
  <si>
    <t>MAXITROL SECURITY SYSTEMS</t>
  </si>
  <si>
    <t>SONITROL SECURITY SYSTEMS</t>
  </si>
  <si>
    <t>WORKS INTERNATIONAL INC.</t>
  </si>
  <si>
    <t>19-4210-00</t>
  </si>
  <si>
    <t>20-4210-00</t>
  </si>
  <si>
    <t xml:space="preserve">N/A </t>
  </si>
  <si>
    <t>Kemper CPA Group, LLP</t>
  </si>
  <si>
    <t>kwalker@kcpag.com</t>
  </si>
  <si>
    <t>Kemper CPA Group LLP</t>
  </si>
  <si>
    <t>Page 13, Line 203 - Title I School Improvement &amp; Accountability ($1,291)</t>
  </si>
  <si>
    <t>The accompanying notes are an integral part of these financial statements.</t>
  </si>
  <si>
    <t>NONE</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</si>
  <si>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</si>
  <si>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</si>
  <si>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</si>
  <si>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</si>
  <si>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</si>
  <si>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</si>
  <si>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</si>
  <si>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</si>
  <si>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</si>
  <si>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</si>
  <si>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</si>
  <si>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</si>
  <si>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</si>
  <si>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</si>
  <si>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</si>
  <si>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</si>
  <si>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</si>
  <si>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</si>
  <si>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</si>
  <si>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</si>
  <si>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</si>
  <si>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</si>
  <si>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</si>
  <si>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</si>
  <si>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</si>
  <si>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</si>
  <si>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</si>
  <si>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</si>
  <si>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</si>
  <si>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</si>
  <si>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</si>
  <si>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</si>
  <si>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</si>
  <si>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</si>
  <si>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</si>
  <si>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</si>
  <si>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</si>
  <si>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 xml:space="preserve">      School Breakfast Program </t>
  </si>
  <si>
    <t xml:space="preserve">      National School Lunch Program </t>
  </si>
  <si>
    <t xml:space="preserve">      Commodities (non-cash)</t>
  </si>
  <si>
    <t xml:space="preserve">     Dept. of Defense Fresh Fruit &amp; Vegetables
     (non-cash)</t>
  </si>
  <si>
    <t xml:space="preserve">      Summer Food Service Program</t>
  </si>
  <si>
    <t>20-4225-00</t>
  </si>
  <si>
    <t xml:space="preserve">    CHILD NUTRITION CLUSTER</t>
  </si>
  <si>
    <t xml:space="preserve">U.S. DEPARTMENT OF HEALTH &amp; HUMAN SERVICES </t>
  </si>
  <si>
    <t xml:space="preserve">  Passed through Illinois State Board of Education </t>
  </si>
  <si>
    <t xml:space="preserve">  Passed through IL Dept of Healthcare &amp; Family Services</t>
  </si>
  <si>
    <t xml:space="preserve">    Medicaid Matching - Administrative Outreach </t>
  </si>
  <si>
    <t xml:space="preserve">      TOTAL U.S. DEPARTMENT OF HEALTH &amp; HUMAN SERVICES</t>
  </si>
  <si>
    <t>U.S. DEPARTMENT OF AGRICULTURE</t>
  </si>
  <si>
    <t>U.S. DEPARTMENT OF EDUCATION</t>
  </si>
  <si>
    <t xml:space="preserve">    Title I - Low Income (M)</t>
  </si>
  <si>
    <t xml:space="preserve">    Title I - School Improvement &amp; Accountability (M)</t>
  </si>
  <si>
    <t>84.010A</t>
  </si>
  <si>
    <t>19-4300-00</t>
  </si>
  <si>
    <t>20-4300-00</t>
  </si>
  <si>
    <t>19-4331-19</t>
  </si>
  <si>
    <t>20-4331-20</t>
  </si>
  <si>
    <t xml:space="preserve">  Forest Reserve</t>
  </si>
  <si>
    <t xml:space="preserve">        TOTAL CHILD NUTRITION CLUSTER</t>
  </si>
  <si>
    <t xml:space="preserve">          TOTAL U.S. DEPARTMENT OF AGRICULTURE</t>
  </si>
  <si>
    <t xml:space="preserve">    Title II - Teacher Quality</t>
  </si>
  <si>
    <t>84.367A</t>
  </si>
  <si>
    <t>19-4932-00</t>
  </si>
  <si>
    <t>20-4932-00</t>
  </si>
  <si>
    <t>84.424A</t>
  </si>
  <si>
    <t>19-4400-00</t>
  </si>
  <si>
    <t>20-4400-00</t>
  </si>
  <si>
    <t xml:space="preserve">    Title IV - Student Support &amp; Academic Enrich</t>
  </si>
  <si>
    <t xml:space="preserve">    Fed. - Sp. Ed. - Pre-School Flow Through</t>
  </si>
  <si>
    <t>20-4600-00</t>
  </si>
  <si>
    <t>84.173A</t>
  </si>
  <si>
    <t xml:space="preserve">    Fed. - Sp. Ed. - I.D.E.A. - Flow Through</t>
  </si>
  <si>
    <t>20-4620-00</t>
  </si>
  <si>
    <t>U.S. DEPARTMENT OF EDUCATION (CONCLUDED)</t>
  </si>
  <si>
    <t xml:space="preserve">  Passed through Illinois State Board of Education (Concl.)</t>
  </si>
  <si>
    <t>84.027A</t>
  </si>
  <si>
    <t xml:space="preserve">    Fed. - Sp. Ed. - I.D.E.A. - Room &amp; Board</t>
  </si>
  <si>
    <t>19-4625-XC</t>
  </si>
  <si>
    <t xml:space="preserve">  Passed through Unity Point School District #140</t>
  </si>
  <si>
    <t>84.365A</t>
  </si>
  <si>
    <t xml:space="preserve">    Title III - Language Inst Program - Limited Eng (LIPLEP)</t>
  </si>
  <si>
    <t xml:space="preserve">      TOTAL U.S. DEPARTMENT OF EDUCATION</t>
  </si>
  <si>
    <t>TOTAL FEDERAL AWARDS</t>
  </si>
  <si>
    <t>Medicaid Matching - Administrative Outreach revenue related to the</t>
  </si>
  <si>
    <t xml:space="preserve">   Admin Assessment kept by HFS.  Not recorded on the AFR due to cash basis</t>
  </si>
  <si>
    <t>Of the federal expenditures presented in the schedule, Trico Community Unit School District #176 provided federal awards to subrecipients as follows:</t>
  </si>
  <si>
    <t>The accompanying Schedule of Expenditures of Federal Awards includes the federal grant activity of Trico Community Unit School District #176 and is presented on the modified cash basis of accounting that demonstrates compliance with regulatory provisions prescribed by the Illinois State Board of Education, which is a comprehensive basis of accounting other than accounting principles generally accepted in the United States of America.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</si>
  <si>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</si>
  <si>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Title I, Part A Cluster</t>
  </si>
  <si>
    <t>2019-001</t>
  </si>
  <si>
    <t>As of June 30, 2019, cash account balances with one financial institution exceeded the Federal Deposit Insurance Corporation (FDIC) coverage and pledged collateral coverage by $2,138,497. The FDIC covers deposit balances up to a maximum of $250,000 at each financial institution. Pledged securities were not sufficient for the balances exceeding the FDIC coverage.</t>
  </si>
  <si>
    <t>Not Repeated - Corrected in FY2020</t>
  </si>
  <si>
    <t xml:space="preserve">   TRICO CUSD 176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</si>
</sst>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3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78" xfId="0" applyFont="1" applyBorder="1" applyAlignment="1">
      <alignment horizontal="center"/>
    </xf>
    <xf numFmtId="0" fontId="75" fillId="0" borderId="0" xfId="0" applyFont="1" applyAlignment="1">
      <alignment horizont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0" xfId="20"/>
    <xf numFmtId="0" fontId="100" fillId="0" borderId="164" xfId="20" applyFont="1" applyBorder="1"/>
    <xf numFmtId="0" fontId="100" fillId="0" borderId="165" xfId="20" applyFont="1" applyBorder="1"/>
    <xf numFmtId="0" fontId="100" fillId="0" borderId="166" xfId="20" applyFont="1" applyBorder="1"/>
    <xf numFmtId="0" fontId="100" fillId="0" borderId="0" xfId="20" applyFont="1" applyBorder="1"/>
    <xf numFmtId="0" fontId="100" fillId="0" borderId="168" xfId="20" applyFont="1" applyBorder="1"/>
    <xf numFmtId="0" fontId="99" fillId="0" borderId="168" xfId="20" applyFont="1" applyBorder="1"/>
    <xf numFmtId="0" fontId="100" fillId="0" borderId="167" xfId="20" applyFont="1" applyBorder="1"/>
    <xf numFmtId="0" fontId="142" fillId="0" borderId="0" xfId="20" applyFont="1" applyBorder="1"/>
    <xf numFmtId="38" fontId="65" fillId="16" borderId="169"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0" fontId="57" fillId="26" borderId="77" xfId="20" applyFont="1" applyFill="1" applyBorder="1"/>
    <xf numFmtId="38" fontId="65" fillId="16" borderId="171" xfId="20" applyNumberFormat="1" applyFont="1" applyFill="1" applyBorder="1" applyAlignment="1">
      <alignment horizontal="center" wrapText="1"/>
    </xf>
    <xf numFmtId="38" fontId="57" fillId="0" borderId="172"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26" borderId="0" xfId="20" applyNumberFormat="1" applyFont="1" applyFill="1" applyBorder="1" applyAlignment="1">
      <alignment horizontal="center"/>
    </xf>
    <xf numFmtId="38" fontId="65" fillId="27" borderId="174" xfId="20" applyNumberFormat="1" applyFont="1" applyFill="1" applyBorder="1" applyAlignment="1" applyProtection="1">
      <alignment horizontal="center"/>
      <protection locked="0"/>
    </xf>
    <xf numFmtId="0" fontId="57" fillId="0" borderId="172" xfId="20" applyFont="1" applyBorder="1" applyAlignment="1">
      <alignment horizontal="center"/>
    </xf>
    <xf numFmtId="38" fontId="57" fillId="0" borderId="176"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65" fillId="27" borderId="178" xfId="20" applyNumberFormat="1" applyFont="1" applyFill="1" applyBorder="1" applyAlignment="1" applyProtection="1">
      <alignment horizontal="center"/>
      <protection locked="0"/>
    </xf>
    <xf numFmtId="0" fontId="57" fillId="0" borderId="176" xfId="20" applyFont="1" applyBorder="1" applyAlignment="1">
      <alignment horizontal="center"/>
    </xf>
    <xf numFmtId="38" fontId="57" fillId="0" borderId="180"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27" borderId="182" xfId="20" applyNumberFormat="1" applyFont="1" applyFill="1" applyBorder="1" applyAlignment="1" applyProtection="1">
      <alignment horizontal="center"/>
      <protection locked="0"/>
    </xf>
    <xf numFmtId="0" fontId="57" fillId="0" borderId="180" xfId="20" applyFont="1" applyBorder="1" applyAlignment="1">
      <alignment horizontal="center"/>
    </xf>
    <xf numFmtId="0" fontId="101" fillId="0" borderId="169" xfId="20" applyFont="1" applyBorder="1" applyAlignment="1">
      <alignment horizontal="center" wrapText="1"/>
    </xf>
    <xf numFmtId="0" fontId="101" fillId="0" borderId="77" xfId="20" applyFont="1" applyBorder="1" applyAlignment="1">
      <alignment horizontal="center" wrapText="1"/>
    </xf>
    <xf numFmtId="0" fontId="57" fillId="26" borderId="77" xfId="20" applyFont="1" applyFill="1" applyBorder="1" applyAlignment="1">
      <alignment horizontal="center"/>
    </xf>
    <xf numFmtId="0" fontId="57" fillId="0" borderId="167" xfId="20" applyFont="1" applyBorder="1"/>
    <xf numFmtId="0" fontId="57" fillId="0" borderId="0" xfId="20" applyFont="1" applyBorder="1"/>
    <xf numFmtId="0" fontId="57" fillId="0" borderId="168" xfId="20" applyFont="1" applyBorder="1"/>
    <xf numFmtId="0" fontId="57" fillId="0" borderId="0" xfId="3" applyNumberFormat="1" applyFont="1" applyBorder="1" applyAlignment="1">
      <alignment horizontal="right" vertical="center" indent="1"/>
    </xf>
    <xf numFmtId="0" fontId="143" fillId="0" borderId="168" xfId="20" applyFont="1" applyBorder="1" applyAlignment="1"/>
    <xf numFmtId="0" fontId="99" fillId="0" borderId="167" xfId="20" applyFont="1" applyBorder="1" applyAlignment="1">
      <alignment wrapText="1"/>
    </xf>
    <xf numFmtId="0" fontId="99" fillId="0" borderId="0" xfId="20" applyFont="1" applyBorder="1" applyAlignment="1">
      <alignment wrapText="1"/>
    </xf>
    <xf numFmtId="0" fontId="88" fillId="0" borderId="0" xfId="20" applyFont="1" applyBorder="1"/>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66" xfId="3" applyNumberFormat="1" applyFont="1" applyBorder="1" applyAlignment="1">
      <alignment vertical="center"/>
    </xf>
    <xf numFmtId="0" fontId="57" fillId="0" borderId="167" xfId="3" applyNumberFormat="1" applyFont="1" applyBorder="1" applyAlignment="1">
      <alignment vertical="center"/>
    </xf>
    <xf numFmtId="0" fontId="57" fillId="0" borderId="0" xfId="3" applyFont="1" applyBorder="1" applyAlignment="1">
      <alignment vertical="top" wrapText="1"/>
    </xf>
    <xf numFmtId="0" fontId="57" fillId="0" borderId="168" xfId="3" applyNumberFormat="1" applyFont="1" applyBorder="1" applyAlignment="1">
      <alignment vertical="center"/>
    </xf>
    <xf numFmtId="0" fontId="57" fillId="0" borderId="0" xfId="3" quotePrefix="1" applyNumberFormat="1" applyFont="1" applyFill="1" applyBorder="1" applyAlignment="1" applyProtection="1">
      <alignment horizontal="left" vertical="top" wrapText="1" indent="2"/>
      <protection hidden="1"/>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Fill="1" applyBorder="1" applyAlignment="1" applyProtection="1">
      <alignment horizontal="left" vertical="top" wrapText="1" indent="2"/>
      <protection hidden="1"/>
    </xf>
    <xf numFmtId="0" fontId="65" fillId="0" borderId="0" xfId="3" applyNumberFormat="1" applyFont="1" applyBorder="1" applyAlignment="1">
      <alignment vertical="center"/>
    </xf>
    <xf numFmtId="0" fontId="79" fillId="0" borderId="0" xfId="3" applyNumberFormat="1" applyFont="1" applyBorder="1" applyAlignment="1">
      <alignment vertical="center"/>
    </xf>
    <xf numFmtId="0" fontId="80" fillId="0" borderId="0" xfId="3" applyFont="1" applyBorder="1" applyAlignment="1">
      <alignment horizontal="center" vertical="center" wrapText="1"/>
    </xf>
    <xf numFmtId="0" fontId="57" fillId="0" borderId="0" xfId="3" applyNumberFormat="1" applyFont="1" applyBorder="1" applyAlignment="1">
      <alignment horizontal="center" wrapText="1"/>
    </xf>
    <xf numFmtId="0" fontId="65" fillId="0" borderId="0" xfId="3" applyNumberFormat="1" applyFont="1" applyBorder="1" applyAlignment="1">
      <alignment horizontal="right"/>
    </xf>
    <xf numFmtId="0" fontId="57" fillId="0" borderId="0" xfId="3" applyNumberFormat="1" applyFont="1" applyBorder="1" applyAlignment="1">
      <alignment horizontal="right" vertical="center"/>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vertical="center"/>
    </xf>
    <xf numFmtId="0" fontId="80" fillId="0" borderId="168" xfId="3" applyNumberFormat="1" applyFont="1" applyBorder="1" applyAlignment="1">
      <alignment vertical="center"/>
    </xf>
    <xf numFmtId="0" fontId="57" fillId="0" borderId="0"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168" xfId="3" applyNumberFormat="1" applyFont="1" applyFill="1" applyBorder="1" applyAlignment="1" applyProtection="1">
      <alignment vertical="center"/>
      <protection hidden="1"/>
    </xf>
    <xf numFmtId="0" fontId="65" fillId="0" borderId="168" xfId="3" applyNumberFormat="1" applyFont="1" applyBorder="1" applyAlignment="1">
      <alignment vertical="center"/>
    </xf>
    <xf numFmtId="9" fontId="57" fillId="0" borderId="0" xfId="3" applyNumberFormat="1" applyFont="1" applyFill="1" applyBorder="1" applyAlignment="1">
      <alignment horizontal="center" vertical="center" shrinkToFit="1"/>
    </xf>
    <xf numFmtId="0" fontId="57" fillId="0" borderId="0" xfId="3" applyNumberFormat="1" applyFont="1" applyFill="1" applyBorder="1" applyAlignment="1">
      <alignment vertical="center" shrinkToFit="1"/>
    </xf>
    <xf numFmtId="0" fontId="57" fillId="0" borderId="0" xfId="3" applyNumberFormat="1" applyFont="1" applyBorder="1" applyAlignment="1"/>
    <xf numFmtId="0" fontId="57" fillId="0" borderId="168" xfId="3" applyNumberFormat="1" applyFont="1" applyBorder="1" applyAlignment="1">
      <alignment horizontal="right" vertical="center"/>
    </xf>
    <xf numFmtId="9" fontId="57" fillId="16" borderId="125" xfId="3" applyNumberFormat="1" applyFont="1" applyFill="1" applyBorder="1" applyAlignment="1">
      <alignment horizontal="center" vertical="center" shrinkToFit="1"/>
    </xf>
    <xf numFmtId="0" fontId="57" fillId="15" borderId="125" xfId="3" applyNumberFormat="1" applyFont="1" applyFill="1" applyBorder="1" applyAlignment="1">
      <alignment vertical="center" shrinkToFit="1"/>
    </xf>
    <xf numFmtId="164" fontId="65" fillId="0" borderId="192" xfId="3" applyNumberFormat="1" applyFont="1" applyBorder="1" applyAlignment="1">
      <alignment horizontal="right" vertical="center"/>
    </xf>
    <xf numFmtId="38" fontId="57" fillId="16" borderId="27" xfId="3" applyNumberFormat="1" applyFont="1" applyFill="1" applyBorder="1" applyAlignment="1">
      <alignment vertical="center" shrinkToFit="1"/>
    </xf>
    <xf numFmtId="0" fontId="57" fillId="0" borderId="14" xfId="3" applyNumberFormat="1" applyFont="1" applyBorder="1" applyAlignment="1">
      <alignment horizontal="center" vertical="center"/>
    </xf>
    <xf numFmtId="0" fontId="65" fillId="0" borderId="21" xfId="3" applyNumberFormat="1" applyFont="1" applyBorder="1" applyAlignment="1">
      <alignment horizontal="left" vertical="center"/>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38" fontId="57" fillId="0" borderId="2" xfId="3" applyNumberFormat="1" applyFont="1" applyFill="1" applyBorder="1" applyAlignment="1" applyProtection="1">
      <alignment vertical="center" shrinkToFit="1"/>
      <protection locked="0"/>
    </xf>
    <xf numFmtId="164" fontId="65" fillId="0" borderId="192" xfId="3" applyNumberFormat="1" applyFont="1" applyBorder="1" applyAlignment="1">
      <alignment vertical="top"/>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27" borderId="2" xfId="3" applyNumberFormat="1" applyFont="1" applyFill="1" applyBorder="1" applyAlignment="1" applyProtection="1">
      <alignment vertical="center" shrinkToFit="1"/>
      <protection locked="0"/>
    </xf>
    <xf numFmtId="0" fontId="57" fillId="0" borderId="2" xfId="3" applyNumberFormat="1" applyFont="1" applyBorder="1" applyAlignment="1">
      <alignment horizontal="left" vertical="center" indent="1"/>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top" indent="1"/>
    </xf>
    <xf numFmtId="0" fontId="65" fillId="0" borderId="125" xfId="3" applyNumberFormat="1" applyFont="1" applyBorder="1" applyAlignment="1">
      <alignment horizontal="center" vertical="center"/>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wrapText="1"/>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0" xfId="3" applyNumberFormat="1" applyFont="1" applyBorder="1" applyAlignment="1">
      <alignment horizontal="center" vertical="center"/>
    </xf>
    <xf numFmtId="0" fontId="57" fillId="0" borderId="26"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0" xfId="3" applyNumberFormat="1" applyFont="1" applyFill="1" applyBorder="1" applyAlignment="1">
      <alignment vertical="center"/>
    </xf>
    <xf numFmtId="0" fontId="57" fillId="0" borderId="168" xfId="3" applyNumberFormat="1" applyFont="1" applyFill="1" applyBorder="1" applyAlignment="1">
      <alignment vertical="center"/>
    </xf>
    <xf numFmtId="0" fontId="65" fillId="0" borderId="3" xfId="3" applyNumberFormat="1" applyFont="1" applyFill="1" applyBorder="1" applyAlignment="1" applyProtection="1">
      <alignment horizontal="centerContinuous" vertical="center"/>
      <protection hidden="1"/>
    </xf>
    <xf numFmtId="0" fontId="65" fillId="0" borderId="12" xfId="3" applyNumberFormat="1" applyFont="1" applyFill="1" applyBorder="1" applyAlignment="1" applyProtection="1">
      <alignment horizontal="centerContinuous" vertical="center"/>
      <protection hidden="1"/>
    </xf>
    <xf numFmtId="0" fontId="57" fillId="0" borderId="194" xfId="3" applyNumberFormat="1" applyFont="1" applyBorder="1" applyAlignment="1">
      <alignment vertical="center"/>
    </xf>
    <xf numFmtId="0" fontId="57" fillId="0" borderId="123" xfId="3" applyNumberFormat="1" applyFont="1" applyBorder="1" applyAlignment="1">
      <alignment vertical="center"/>
    </xf>
    <xf numFmtId="0" fontId="57" fillId="22" borderId="124"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93" xfId="3" applyNumberFormat="1" applyFont="1" applyFill="1" applyBorder="1" applyAlignment="1">
      <alignment vertical="center"/>
    </xf>
    <xf numFmtId="0" fontId="57" fillId="0" borderId="0" xfId="3" applyNumberFormat="1" applyFont="1" applyBorder="1" applyAlignment="1">
      <alignment horizontal="center" vertical="center"/>
    </xf>
    <xf numFmtId="0" fontId="57" fillId="0" borderId="17" xfId="3" applyNumberFormat="1" applyFont="1" applyBorder="1" applyAlignment="1">
      <alignment horizontal="center" vertical="center"/>
    </xf>
    <xf numFmtId="0" fontId="65" fillId="22" borderId="194" xfId="3" applyNumberFormat="1" applyFont="1" applyFill="1" applyBorder="1" applyAlignment="1">
      <alignment horizontal="left"/>
    </xf>
    <xf numFmtId="0" fontId="65" fillId="0" borderId="0" xfId="3" applyNumberFormat="1" applyFont="1" applyBorder="1" applyAlignment="1">
      <alignment horizontal="left" vertical="center"/>
    </xf>
    <xf numFmtId="0" fontId="57" fillId="0" borderId="185" xfId="3" applyNumberFormat="1" applyFont="1" applyBorder="1" applyAlignment="1">
      <alignment vertical="center"/>
    </xf>
    <xf numFmtId="0" fontId="57" fillId="0" borderId="186" xfId="3" applyNumberFormat="1" applyFont="1" applyBorder="1" applyAlignment="1">
      <alignment vertical="center"/>
    </xf>
    <xf numFmtId="0" fontId="65" fillId="0" borderId="186" xfId="3" applyNumberFormat="1" applyFont="1" applyBorder="1" applyAlignment="1">
      <alignment horizontal="left" vertical="center"/>
    </xf>
    <xf numFmtId="0" fontId="65" fillId="0" borderId="186" xfId="3" applyNumberFormat="1" applyFont="1" applyBorder="1" applyAlignment="1">
      <alignment horizontal="center" vertical="center"/>
    </xf>
    <xf numFmtId="0" fontId="57" fillId="0" borderId="195" xfId="3" applyNumberFormat="1" applyFont="1" applyBorder="1" applyAlignment="1">
      <alignment vertical="center"/>
    </xf>
    <xf numFmtId="179" fontId="57" fillId="0" borderId="0" xfId="3" applyNumberFormat="1" applyFont="1" applyBorder="1" applyAlignment="1" applyProtection="1">
      <alignment horizontal="center" vertical="center"/>
      <protection locked="0"/>
    </xf>
    <xf numFmtId="0" fontId="57" fillId="0" borderId="0" xfId="3" applyFont="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141" fillId="0" borderId="165" xfId="20" applyFont="1" applyBorder="1" applyAlignment="1">
      <alignment horizontal="left" vertical="center" wrapText="1"/>
    </xf>
    <xf numFmtId="0" fontId="141" fillId="0" borderId="0" xfId="20" applyFont="1" applyBorder="1" applyAlignment="1">
      <alignment horizontal="left" vertical="center" wrapText="1"/>
    </xf>
    <xf numFmtId="0" fontId="141" fillId="0" borderId="167" xfId="20" applyFont="1" applyBorder="1" applyAlignment="1">
      <alignment horizontal="left" vertical="center" wrapText="1"/>
    </xf>
    <xf numFmtId="0" fontId="101" fillId="0" borderId="0" xfId="20" applyFont="1" applyBorder="1" applyAlignment="1">
      <alignment horizontal="center" vertical="top" wrapText="1"/>
    </xf>
    <xf numFmtId="0" fontId="101" fillId="0" borderId="167" xfId="20" applyFont="1" applyBorder="1" applyAlignment="1">
      <alignment horizontal="center" vertical="top" wrapText="1"/>
    </xf>
    <xf numFmtId="0" fontId="57" fillId="0" borderId="179" xfId="20" applyFont="1" applyBorder="1" applyAlignment="1"/>
    <xf numFmtId="0" fontId="57" fillId="0" borderId="176" xfId="20" applyFont="1" applyBorder="1" applyAlignment="1"/>
    <xf numFmtId="0" fontId="57" fillId="0" borderId="175" xfId="20" applyFont="1" applyBorder="1" applyAlignment="1"/>
    <xf numFmtId="0" fontId="57" fillId="0" borderId="172" xfId="20" applyFont="1" applyBorder="1" applyAlignment="1"/>
    <xf numFmtId="0" fontId="65" fillId="0" borderId="170" xfId="20" applyFont="1" applyBorder="1" applyAlignment="1"/>
    <xf numFmtId="0" fontId="65" fillId="0" borderId="77" xfId="20" applyFont="1" applyBorder="1" applyAlignment="1"/>
    <xf numFmtId="0" fontId="144" fillId="0" borderId="191" xfId="20" applyFont="1" applyBorder="1" applyAlignment="1">
      <alignment horizontal="center"/>
    </xf>
    <xf numFmtId="0" fontId="144" fillId="0" borderId="190" xfId="20" applyFont="1" applyBorder="1" applyAlignment="1">
      <alignment horizontal="center"/>
    </xf>
    <xf numFmtId="0" fontId="144" fillId="0" borderId="189" xfId="20" applyFont="1" applyBorder="1" applyAlignment="1">
      <alignment horizontal="center"/>
    </xf>
    <xf numFmtId="0" fontId="57" fillId="0" borderId="168" xfId="20" applyFont="1" applyBorder="1" applyAlignment="1">
      <alignment wrapText="1"/>
    </xf>
    <xf numFmtId="0" fontId="57" fillId="0" borderId="0" xfId="20" applyFont="1" applyBorder="1" applyAlignment="1">
      <alignment wrapText="1"/>
    </xf>
    <xf numFmtId="0" fontId="57" fillId="0" borderId="167" xfId="20" applyFont="1" applyBorder="1" applyAlignment="1">
      <alignment wrapText="1"/>
    </xf>
    <xf numFmtId="166" fontId="57" fillId="0" borderId="21" xfId="3" applyNumberFormat="1" applyFont="1" applyBorder="1" applyAlignment="1">
      <alignment horizontal="left" vertical="center" indent="1"/>
    </xf>
    <xf numFmtId="166" fontId="57" fillId="0" borderId="187" xfId="3" applyNumberFormat="1" applyFont="1" applyBorder="1" applyAlignment="1">
      <alignment horizontal="left" vertical="center" indent="1"/>
    </xf>
    <xf numFmtId="0" fontId="57" fillId="26" borderId="170" xfId="20" applyFont="1" applyFill="1" applyBorder="1"/>
    <xf numFmtId="0" fontId="57" fillId="26" borderId="77" xfId="20" applyFont="1" applyFill="1" applyBorder="1"/>
    <xf numFmtId="0" fontId="65" fillId="0" borderId="186" xfId="20" applyFont="1" applyBorder="1" applyAlignment="1">
      <alignment horizontal="center" wrapText="1"/>
    </xf>
    <xf numFmtId="0" fontId="65" fillId="0" borderId="185" xfId="20" applyFont="1" applyBorder="1" applyAlignment="1">
      <alignment horizontal="center" wrapText="1"/>
    </xf>
    <xf numFmtId="0" fontId="101" fillId="0" borderId="184"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applyAlignment="1"/>
    <xf numFmtId="0" fontId="57" fillId="0" borderId="180" xfId="20" applyFont="1" applyBorder="1" applyAlignment="1"/>
    <xf numFmtId="0" fontId="57" fillId="0" borderId="179" xfId="20" applyFont="1" applyBorder="1" applyAlignment="1">
      <alignment wrapText="1"/>
    </xf>
    <xf numFmtId="0" fontId="57" fillId="0" borderId="176" xfId="20" applyFont="1" applyBorder="1" applyAlignment="1">
      <alignment wrapText="1"/>
    </xf>
    <xf numFmtId="0" fontId="57" fillId="0" borderId="126" xfId="3" applyNumberFormat="1" applyFont="1" applyBorder="1" applyAlignment="1">
      <alignment horizontal="left" vertical="center" indent="1"/>
    </xf>
    <xf numFmtId="0" fontId="57" fillId="0" borderId="188" xfId="3" applyNumberFormat="1" applyFont="1" applyBorder="1" applyAlignment="1">
      <alignment horizontal="left" vertical="center"/>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65" fillId="27" borderId="78" xfId="3" applyNumberFormat="1" applyFont="1" applyFill="1" applyBorder="1" applyAlignment="1" applyProtection="1">
      <alignment horizontal="left" vertical="center" indent="1"/>
      <protection locked="0"/>
    </xf>
    <xf numFmtId="0" fontId="65" fillId="27" borderId="78" xfId="3" applyNumberFormat="1" applyFont="1" applyFill="1" applyBorder="1" applyAlignment="1" applyProtection="1">
      <alignment horizontal="left" vertical="center"/>
      <protection locked="0"/>
    </xf>
    <xf numFmtId="0" fontId="57" fillId="22" borderId="168"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93"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55" fillId="0" borderId="0" xfId="3" applyFont="1" applyAlignment="1" applyProtection="1">
      <alignment horizontal="justify"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0" fontId="57" fillId="0" borderId="0" xfId="3" applyFont="1" applyBorder="1" applyAlignment="1" applyProtection="1">
      <alignment horizontal="justify" vertical="top" wrapText="1"/>
      <protection locked="0"/>
    </xf>
    <xf numFmtId="0" fontId="0" fillId="0" borderId="0" xfId="0" applyAlignment="1">
      <alignment horizontal="justify" vertical="top"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4</xdr:col>
          <xdr:colOff>304800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6</xdr:col>
          <xdr:colOff>304800</xdr:colOff>
          <xdr:row>10</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304800</xdr:colOff>
          <xdr:row>10</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package" Target="../embeddings/Microsoft_Excel_Worksheet.xlsx"/><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4">
        <f>+'AFR20'!E4</f>
        <v>44119</v>
      </c>
      <c r="C1" s="2124"/>
      <c r="D1" s="2125"/>
      <c r="I1" s="2083" t="s">
        <v>402</v>
      </c>
      <c r="J1" s="2084"/>
      <c r="K1" s="2084"/>
      <c r="L1" s="2084"/>
      <c r="M1" s="2084"/>
      <c r="N1" s="2084"/>
      <c r="O1" s="2084"/>
      <c r="P1" s="2084"/>
      <c r="Q1" s="2084"/>
      <c r="R1" s="2084"/>
      <c r="S1" s="2084"/>
    </row>
    <row r="2" spans="1:32" ht="12" customHeight="1" x14ac:dyDescent="0.2">
      <c r="A2" s="1831" t="str">
        <f>"Due to ISBE on "</f>
        <v xml:space="preserve">Due to ISBE on </v>
      </c>
      <c r="B2" s="2126">
        <f>+'AFR20'!F4</f>
        <v>44151</v>
      </c>
      <c r="C2" s="2126"/>
      <c r="D2" s="2127"/>
      <c r="I2" s="2085" t="s">
        <v>2004</v>
      </c>
      <c r="J2" s="2084"/>
      <c r="K2" s="2084"/>
      <c r="L2" s="2084"/>
      <c r="M2" s="2084"/>
      <c r="N2" s="2084"/>
      <c r="O2" s="2084"/>
      <c r="P2" s="2084"/>
      <c r="Q2" s="2084"/>
      <c r="R2" s="2084"/>
      <c r="S2" s="2084"/>
    </row>
    <row r="3" spans="1:32" ht="12" customHeight="1" x14ac:dyDescent="0.2">
      <c r="A3" s="1834" t="str">
        <f>"SD/JA"&amp;MID('AFR20'!E2,3,2)</f>
        <v>SD/JA20</v>
      </c>
      <c r="B3" s="151"/>
      <c r="C3" s="151"/>
      <c r="D3" s="152"/>
      <c r="I3" s="2085" t="s">
        <v>52</v>
      </c>
      <c r="J3" s="2084"/>
      <c r="K3" s="2084"/>
      <c r="L3" s="2084"/>
      <c r="M3" s="2084"/>
      <c r="N3" s="2084"/>
      <c r="O3" s="2084"/>
      <c r="P3" s="2084"/>
      <c r="Q3" s="2084"/>
      <c r="R3" s="2084"/>
      <c r="S3" s="2084"/>
    </row>
    <row r="4" spans="1:32" ht="12" customHeight="1" x14ac:dyDescent="0.2">
      <c r="A4" s="37"/>
      <c r="I4" s="2085" t="s">
        <v>521</v>
      </c>
      <c r="J4" s="2084"/>
      <c r="K4" s="2084"/>
      <c r="L4" s="2084"/>
      <c r="M4" s="2084"/>
      <c r="N4" s="2084"/>
      <c r="O4" s="2084"/>
      <c r="P4" s="2084"/>
      <c r="Q4" s="2084"/>
      <c r="R4" s="2084"/>
      <c r="S4" s="2084"/>
    </row>
    <row r="5" spans="1:32" ht="14.1" customHeight="1" x14ac:dyDescent="0.2">
      <c r="B5" s="101" t="s">
        <v>2023</v>
      </c>
      <c r="C5" s="26" t="s">
        <v>904</v>
      </c>
      <c r="D5" s="81"/>
      <c r="E5" s="81"/>
      <c r="H5" s="38"/>
      <c r="I5" s="2093" t="s">
        <v>675</v>
      </c>
      <c r="J5" s="2092"/>
      <c r="K5" s="2092"/>
      <c r="L5" s="2092"/>
      <c r="M5" s="2092"/>
      <c r="N5" s="2092"/>
      <c r="O5" s="2092"/>
      <c r="P5" s="2092"/>
      <c r="Q5" s="2092"/>
      <c r="R5" s="2092"/>
      <c r="S5" s="2092"/>
      <c r="AF5" s="1827"/>
    </row>
    <row r="6" spans="1:32" ht="14.1" customHeight="1" x14ac:dyDescent="0.2">
      <c r="B6" s="101"/>
      <c r="C6" s="26" t="s">
        <v>905</v>
      </c>
      <c r="D6" s="81"/>
      <c r="E6" s="81"/>
      <c r="I6" s="2091" t="s">
        <v>877</v>
      </c>
      <c r="J6" s="2092"/>
      <c r="K6" s="2092"/>
      <c r="L6" s="2092"/>
      <c r="M6" s="2092"/>
      <c r="N6" s="2092"/>
      <c r="O6" s="2092"/>
      <c r="P6" s="2092"/>
      <c r="Q6" s="2092"/>
      <c r="R6" s="2092"/>
      <c r="S6" s="2092"/>
    </row>
    <row r="7" spans="1:32" ht="12.2" customHeight="1" x14ac:dyDescent="0.2">
      <c r="I7" s="2086" t="str">
        <f>"June 30, "&amp;'AFR20'!E2</f>
        <v>June 30, 2020</v>
      </c>
      <c r="J7" s="2087"/>
      <c r="K7" s="2087"/>
      <c r="L7" s="2087"/>
      <c r="M7" s="2087"/>
      <c r="N7" s="2087"/>
      <c r="O7" s="2087"/>
      <c r="P7" s="2087"/>
      <c r="Q7" s="2087"/>
      <c r="R7" s="2087"/>
      <c r="S7" s="208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8" t="s">
        <v>669</v>
      </c>
      <c r="J9" s="2089"/>
      <c r="K9" s="2089"/>
      <c r="L9" s="2089"/>
      <c r="M9" s="2089"/>
      <c r="N9" s="2089"/>
      <c r="O9" s="2089"/>
      <c r="P9" s="2089"/>
      <c r="Q9" s="2089"/>
      <c r="R9" s="2089"/>
      <c r="S9" s="2090"/>
      <c r="T9" s="2141" t="s">
        <v>530</v>
      </c>
      <c r="U9" s="2142"/>
      <c r="V9" s="2142"/>
      <c r="W9" s="2142"/>
      <c r="X9" s="2142"/>
      <c r="Y9" s="2142"/>
      <c r="Z9" s="2142"/>
      <c r="AA9" s="2143"/>
    </row>
    <row r="10" spans="1:32" ht="13.5" customHeight="1" x14ac:dyDescent="0.2">
      <c r="A10" s="2148" t="s">
        <v>670</v>
      </c>
      <c r="B10" s="2149"/>
      <c r="C10" s="2149"/>
      <c r="D10" s="2149"/>
      <c r="E10" s="2149"/>
      <c r="F10" s="2149"/>
      <c r="G10" s="2149"/>
      <c r="H10" s="2150"/>
      <c r="I10" s="29"/>
      <c r="J10" s="30"/>
      <c r="K10" s="28"/>
      <c r="R10" s="30"/>
      <c r="S10" s="30"/>
      <c r="T10" s="2144"/>
      <c r="U10" s="2092"/>
      <c r="V10" s="2092"/>
      <c r="W10" s="2092"/>
      <c r="X10" s="2092"/>
      <c r="Y10" s="2092"/>
      <c r="Z10" s="2092"/>
      <c r="AA10" s="2098"/>
    </row>
    <row r="11" spans="1:32" ht="14.25" customHeight="1" x14ac:dyDescent="0.2">
      <c r="A11" s="2151" t="s">
        <v>949</v>
      </c>
      <c r="B11" s="2152"/>
      <c r="C11" s="2152"/>
      <c r="D11" s="2152"/>
      <c r="E11" s="2152"/>
      <c r="F11" s="2152"/>
      <c r="G11" s="2152"/>
      <c r="H11" s="2153"/>
      <c r="I11" s="27"/>
      <c r="J11" s="71"/>
      <c r="K11" s="27"/>
      <c r="O11" s="144" t="s">
        <v>2023</v>
      </c>
      <c r="P11" s="97" t="s">
        <v>199</v>
      </c>
      <c r="Q11" s="30"/>
      <c r="R11" s="28"/>
      <c r="S11" s="27"/>
      <c r="T11" s="2145"/>
      <c r="U11" s="2146"/>
      <c r="V11" s="2146"/>
      <c r="W11" s="2146"/>
      <c r="X11" s="2146"/>
      <c r="Y11" s="2146"/>
      <c r="Z11" s="2146"/>
      <c r="AA11" s="214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4">
        <v>30039176026</v>
      </c>
      <c r="B13" s="2105"/>
      <c r="C13" s="2105"/>
      <c r="D13" s="2105"/>
      <c r="E13" s="2105"/>
      <c r="F13" s="2105"/>
      <c r="G13" s="2105"/>
      <c r="H13" s="2106"/>
      <c r="I13" s="31"/>
      <c r="J13" s="30"/>
      <c r="K13" s="28"/>
      <c r="L13" s="30"/>
      <c r="M13" s="30"/>
      <c r="N13" s="30"/>
      <c r="O13" s="30"/>
      <c r="P13" s="30"/>
      <c r="Q13" s="30"/>
      <c r="R13" s="30"/>
      <c r="S13" s="30"/>
      <c r="T13" s="2110" t="s">
        <v>2110</v>
      </c>
      <c r="U13" s="2111"/>
      <c r="V13" s="2111"/>
      <c r="W13" s="2111"/>
      <c r="X13" s="2111"/>
      <c r="Y13" s="2112"/>
      <c r="Z13" s="2112"/>
      <c r="AA13" s="211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7" t="s">
        <v>2019</v>
      </c>
      <c r="B15" s="2108"/>
      <c r="C15" s="2108"/>
      <c r="D15" s="2108"/>
      <c r="E15" s="2108"/>
      <c r="F15" s="2108"/>
      <c r="G15" s="2108"/>
      <c r="H15" s="2109"/>
      <c r="T15" s="2114" t="s">
        <v>2027</v>
      </c>
      <c r="U15" s="2071"/>
      <c r="V15" s="2071"/>
      <c r="W15" s="2071"/>
      <c r="X15" s="2071"/>
      <c r="Y15" s="2115"/>
      <c r="Z15" s="2115"/>
      <c r="AA15" s="211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7" t="s">
        <v>2209</v>
      </c>
      <c r="B17" s="2078"/>
      <c r="C17" s="2078"/>
      <c r="D17" s="2078"/>
      <c r="E17" s="2078"/>
      <c r="F17" s="2078"/>
      <c r="G17" s="2078"/>
      <c r="H17" s="2103"/>
      <c r="T17" s="2121" t="s">
        <v>2028</v>
      </c>
      <c r="U17" s="2122"/>
      <c r="V17" s="2122"/>
      <c r="W17" s="2122"/>
      <c r="X17" s="2122"/>
      <c r="Y17" s="2122"/>
      <c r="Z17" s="2122"/>
      <c r="AA17" s="2123"/>
    </row>
    <row r="18" spans="1:27" ht="13.5" customHeight="1" x14ac:dyDescent="0.2">
      <c r="A18" s="82" t="s">
        <v>527</v>
      </c>
      <c r="B18" s="73"/>
      <c r="C18" s="69"/>
      <c r="D18" s="73"/>
      <c r="E18" s="73"/>
      <c r="F18" s="73"/>
      <c r="G18" s="73"/>
      <c r="H18" s="53"/>
      <c r="I18" s="2102" t="s">
        <v>671</v>
      </c>
      <c r="J18" s="2053"/>
      <c r="K18" s="2053"/>
      <c r="L18" s="2053"/>
      <c r="M18" s="2053"/>
      <c r="N18" s="2053"/>
      <c r="O18" s="2053"/>
      <c r="P18" s="2053"/>
      <c r="Q18" s="2053"/>
      <c r="R18" s="2053"/>
      <c r="S18" s="2054"/>
      <c r="T18" s="82" t="s">
        <v>706</v>
      </c>
      <c r="U18" s="48"/>
      <c r="V18" s="69"/>
      <c r="W18" s="47"/>
      <c r="X18" s="82" t="s">
        <v>264</v>
      </c>
      <c r="Y18" s="78"/>
      <c r="Z18" s="154" t="s">
        <v>672</v>
      </c>
      <c r="AA18" s="44"/>
    </row>
    <row r="19" spans="1:27" ht="13.5" customHeight="1" x14ac:dyDescent="0.2">
      <c r="A19" s="2107" t="s">
        <v>2020</v>
      </c>
      <c r="B19" s="2063"/>
      <c r="C19" s="2063"/>
      <c r="D19" s="2063"/>
      <c r="E19" s="2063"/>
      <c r="F19" s="2063"/>
      <c r="G19" s="2063"/>
      <c r="H19" s="2043"/>
      <c r="I19" s="30"/>
      <c r="J19" s="96"/>
      <c r="K19" s="40"/>
      <c r="L19" s="38"/>
      <c r="M19" s="109" t="s">
        <v>312</v>
      </c>
      <c r="P19" s="27"/>
      <c r="Q19" s="27"/>
      <c r="R19" s="27"/>
      <c r="S19" s="31"/>
      <c r="T19" s="2107" t="s">
        <v>2029</v>
      </c>
      <c r="U19" s="2042"/>
      <c r="V19" s="2042"/>
      <c r="W19" s="2043"/>
      <c r="X19" s="2119" t="s">
        <v>2030</v>
      </c>
      <c r="Y19" s="2120"/>
      <c r="Z19" s="2117">
        <v>62959</v>
      </c>
      <c r="AA19" s="211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1" t="s">
        <v>2021</v>
      </c>
      <c r="B21" s="2042"/>
      <c r="C21" s="2042"/>
      <c r="D21" s="2042"/>
      <c r="E21" s="2042"/>
      <c r="F21" s="2042"/>
      <c r="G21" s="2042"/>
      <c r="H21" s="2043"/>
      <c r="I21" s="2097" t="s">
        <v>673</v>
      </c>
      <c r="J21" s="2092"/>
      <c r="K21" s="2092"/>
      <c r="L21" s="2092"/>
      <c r="M21" s="2092"/>
      <c r="N21" s="2092"/>
      <c r="O21" s="2092"/>
      <c r="P21" s="2092"/>
      <c r="Q21" s="2092"/>
      <c r="R21" s="2092"/>
      <c r="S21" s="2098"/>
      <c r="T21" s="2132" t="s">
        <v>2031</v>
      </c>
      <c r="U21" s="2133"/>
      <c r="V21" s="2133"/>
      <c r="W21" s="2133"/>
      <c r="X21" s="2138" t="s">
        <v>2032</v>
      </c>
      <c r="Y21" s="2139"/>
      <c r="Z21" s="2139"/>
      <c r="AA21" s="2140"/>
    </row>
    <row r="22" spans="1:27" ht="13.5" customHeight="1" x14ac:dyDescent="0.2">
      <c r="A22" s="84" t="s">
        <v>528</v>
      </c>
      <c r="B22" s="56"/>
      <c r="C22" s="56"/>
      <c r="D22" s="56"/>
      <c r="E22" s="56"/>
      <c r="F22" s="56"/>
      <c r="G22" s="56"/>
      <c r="H22" s="57"/>
      <c r="I22" s="2099" t="s">
        <v>1415</v>
      </c>
      <c r="J22" s="2100"/>
      <c r="K22" s="2100"/>
      <c r="L22" s="2100"/>
      <c r="M22" s="2100"/>
      <c r="N22" s="2100"/>
      <c r="O22" s="2100"/>
      <c r="P22" s="2100"/>
      <c r="Q22" s="2100"/>
      <c r="R22" s="2100"/>
      <c r="S22" s="2101"/>
      <c r="T22" s="82" t="s">
        <v>1502</v>
      </c>
      <c r="U22" s="48"/>
      <c r="V22" s="69"/>
      <c r="W22" s="48"/>
      <c r="X22" s="155" t="s">
        <v>1309</v>
      </c>
      <c r="Z22" s="43"/>
      <c r="AA22" s="44"/>
    </row>
    <row r="23" spans="1:27" ht="13.5" customHeight="1" x14ac:dyDescent="0.2">
      <c r="A23" s="2094" t="s">
        <v>2022</v>
      </c>
      <c r="B23" s="2095"/>
      <c r="C23" s="2095"/>
      <c r="D23" s="2095"/>
      <c r="E23" s="2095"/>
      <c r="F23" s="2095"/>
      <c r="G23" s="2095"/>
      <c r="H23" s="2096"/>
      <c r="T23" s="2077" t="s">
        <v>2033</v>
      </c>
      <c r="U23" s="2131"/>
      <c r="V23" s="2131"/>
      <c r="W23" s="2131"/>
      <c r="X23" s="2135">
        <v>44530</v>
      </c>
      <c r="Y23" s="2136"/>
      <c r="Z23" s="2136"/>
      <c r="AA23" s="2137"/>
    </row>
    <row r="24" spans="1:27" ht="14.1" customHeight="1" x14ac:dyDescent="0.2">
      <c r="A24" s="85" t="s">
        <v>672</v>
      </c>
      <c r="B24" s="46"/>
      <c r="C24" s="46"/>
      <c r="D24" s="46"/>
      <c r="E24" s="46"/>
      <c r="F24" s="46"/>
      <c r="G24" s="46"/>
      <c r="H24" s="58"/>
      <c r="J24" s="2064">
        <f>IF(B5="x",IF(AUDITCHECK!D29="AFR form Incomplete.","",IF(AUDITCHECK!D29="Deficit reduction plan is required.","School District must complete a deficit reduction plan in the 2019-2020 Budget",)),"")</f>
        <v>0</v>
      </c>
      <c r="K24" s="2064"/>
      <c r="L24" s="2064"/>
      <c r="M24" s="2064"/>
      <c r="N24" s="2064"/>
      <c r="O24" s="2064"/>
      <c r="P24" s="2064"/>
      <c r="Q24" s="2064"/>
      <c r="R24" s="2064"/>
      <c r="S24" s="2065"/>
      <c r="T24" s="102" t="s">
        <v>528</v>
      </c>
      <c r="U24" s="103"/>
      <c r="V24" s="103"/>
      <c r="W24" s="103"/>
      <c r="X24" s="104"/>
      <c r="Y24" s="104"/>
      <c r="Z24" s="104"/>
      <c r="AA24" s="105"/>
    </row>
    <row r="25" spans="1:27" ht="14.1" customHeight="1" x14ac:dyDescent="0.2">
      <c r="A25" s="2041">
        <v>62916</v>
      </c>
      <c r="B25" s="2042"/>
      <c r="C25" s="2042"/>
      <c r="D25" s="2042"/>
      <c r="E25" s="2042"/>
      <c r="F25" s="2042"/>
      <c r="G25" s="2042"/>
      <c r="H25" s="2043"/>
      <c r="I25" s="110"/>
      <c r="J25" s="2066"/>
      <c r="K25" s="2066"/>
      <c r="L25" s="2066"/>
      <c r="M25" s="2066"/>
      <c r="N25" s="2066"/>
      <c r="O25" s="2066"/>
      <c r="P25" s="2066"/>
      <c r="Q25" s="2066"/>
      <c r="R25" s="2066"/>
      <c r="S25" s="2067"/>
      <c r="T25" s="2128" t="s">
        <v>2111</v>
      </c>
      <c r="U25" s="2129"/>
      <c r="V25" s="2129"/>
      <c r="W25" s="2129"/>
      <c r="X25" s="2129"/>
      <c r="Y25" s="2129"/>
      <c r="Z25" s="2129"/>
      <c r="AA25" s="213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2" t="s">
        <v>1497</v>
      </c>
      <c r="J27" s="2053"/>
      <c r="K27" s="2053"/>
      <c r="L27" s="2053"/>
      <c r="M27" s="2053"/>
      <c r="N27" s="2053"/>
      <c r="O27" s="2053"/>
      <c r="P27" s="2053"/>
      <c r="Q27" s="2053"/>
      <c r="R27" s="2053"/>
      <c r="S27" s="2054"/>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2023</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2023</v>
      </c>
      <c r="C30" s="121" t="s">
        <v>1156</v>
      </c>
      <c r="D30" s="28"/>
      <c r="E30" s="28"/>
      <c r="F30" s="136"/>
      <c r="G30" s="111"/>
      <c r="H30" s="111"/>
      <c r="I30" s="51"/>
      <c r="J30" s="144" t="s">
        <v>2023</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2023</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2023</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3"/>
      <c r="Q35" s="2042"/>
      <c r="R35" s="204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7" t="s">
        <v>2024</v>
      </c>
      <c r="B38" s="2078"/>
      <c r="C38" s="2078"/>
      <c r="D38" s="2078"/>
      <c r="E38" s="2078"/>
      <c r="F38" s="2042"/>
      <c r="G38" s="2042"/>
      <c r="H38" s="2043"/>
      <c r="I38" s="2070"/>
      <c r="J38" s="2071"/>
      <c r="K38" s="2071"/>
      <c r="L38" s="2071"/>
      <c r="M38" s="2071"/>
      <c r="N38" s="2071"/>
      <c r="O38" s="2071"/>
      <c r="P38" s="2072"/>
      <c r="Q38" s="2072"/>
      <c r="R38" s="2072"/>
      <c r="S38" s="2073"/>
      <c r="T38" s="2114"/>
      <c r="U38" s="2071"/>
      <c r="V38" s="2071"/>
      <c r="W38" s="2071"/>
      <c r="X38" s="2072"/>
      <c r="Y38" s="2072"/>
      <c r="Z38" s="2072"/>
      <c r="AA38" s="2073"/>
    </row>
    <row r="39" spans="1:27" ht="12" customHeight="1" x14ac:dyDescent="0.2">
      <c r="A39" s="2047" t="s">
        <v>528</v>
      </c>
      <c r="B39" s="2048"/>
      <c r="C39" s="69"/>
      <c r="D39" s="66"/>
      <c r="E39" s="66"/>
      <c r="F39" s="76"/>
      <c r="G39" s="66"/>
      <c r="H39" s="53"/>
      <c r="I39" s="2047" t="s">
        <v>528</v>
      </c>
      <c r="J39" s="2048"/>
      <c r="K39" s="2048"/>
      <c r="L39" s="2048"/>
      <c r="M39" s="2048"/>
      <c r="N39" s="64"/>
      <c r="O39" s="69"/>
      <c r="P39" s="69"/>
      <c r="Q39" s="75"/>
      <c r="R39" s="69"/>
      <c r="S39" s="53"/>
      <c r="T39" s="69" t="s">
        <v>528</v>
      </c>
      <c r="U39" s="48"/>
      <c r="V39" s="69"/>
      <c r="W39" s="47"/>
      <c r="X39" s="75"/>
      <c r="Y39" s="43"/>
      <c r="Z39" s="43"/>
      <c r="AA39" s="44"/>
    </row>
    <row r="40" spans="1:27" ht="13.5" customHeight="1" x14ac:dyDescent="0.2">
      <c r="A40" s="2055" t="s">
        <v>2022</v>
      </c>
      <c r="B40" s="2056"/>
      <c r="C40" s="2057"/>
      <c r="D40" s="2057"/>
      <c r="E40" s="2057"/>
      <c r="F40" s="2058"/>
      <c r="G40" s="2058"/>
      <c r="H40" s="2059"/>
      <c r="I40" s="2080"/>
      <c r="J40" s="2081"/>
      <c r="K40" s="2081"/>
      <c r="L40" s="2081"/>
      <c r="M40" s="2081"/>
      <c r="N40" s="2081"/>
      <c r="O40" s="2081"/>
      <c r="P40" s="2081"/>
      <c r="Q40" s="2081"/>
      <c r="R40" s="2081"/>
      <c r="S40" s="2082"/>
      <c r="T40" s="2080"/>
      <c r="U40" s="2134"/>
      <c r="V40" s="2081"/>
      <c r="W40" s="2081"/>
      <c r="X40" s="2081"/>
      <c r="Y40" s="2081"/>
      <c r="Z40" s="2081"/>
      <c r="AA40" s="208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9" t="s">
        <v>2025</v>
      </c>
      <c r="B42" s="2061"/>
      <c r="C42" s="2062"/>
      <c r="D42" s="2060" t="s">
        <v>2026</v>
      </c>
      <c r="E42" s="2061"/>
      <c r="F42" s="2061"/>
      <c r="G42" s="2061"/>
      <c r="H42" s="2062"/>
      <c r="I42" s="2044"/>
      <c r="J42" s="2045"/>
      <c r="K42" s="2045"/>
      <c r="L42" s="2045"/>
      <c r="M42" s="2045"/>
      <c r="N42" s="2045"/>
      <c r="O42" s="2046"/>
      <c r="P42" s="2079"/>
      <c r="Q42" s="2045"/>
      <c r="R42" s="2045"/>
      <c r="S42" s="2046"/>
      <c r="T42" s="2044"/>
      <c r="U42" s="2045"/>
      <c r="V42" s="2045"/>
      <c r="W42" s="2046"/>
      <c r="X42" s="2079"/>
      <c r="Y42" s="2045"/>
      <c r="Z42" s="2045"/>
      <c r="AA42" s="204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4"/>
      <c r="B44" s="2075"/>
      <c r="C44" s="2075"/>
      <c r="D44" s="2075"/>
      <c r="E44" s="2075"/>
      <c r="F44" s="2075"/>
      <c r="G44" s="2075"/>
      <c r="H44" s="2076"/>
      <c r="I44" s="2049"/>
      <c r="J44" s="2050"/>
      <c r="K44" s="2050"/>
      <c r="L44" s="2050"/>
      <c r="M44" s="2050"/>
      <c r="N44" s="2050"/>
      <c r="O44" s="2050"/>
      <c r="P44" s="2050"/>
      <c r="Q44" s="2050"/>
      <c r="R44" s="2050"/>
      <c r="S44" s="2051"/>
      <c r="T44" s="2049"/>
      <c r="U44" s="2068"/>
      <c r="V44" s="2068"/>
      <c r="W44" s="2068"/>
      <c r="X44" s="2068"/>
      <c r="Y44" s="2068"/>
      <c r="Z44" s="2050"/>
      <c r="AA44" s="2051"/>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8" sqref="E1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2" t="s">
        <v>1780</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3"/>
      <c r="B3" s="1294"/>
      <c r="C3" s="1295"/>
      <c r="D3" s="1296" t="s">
        <v>254</v>
      </c>
      <c r="E3" s="1295"/>
      <c r="F3" s="1296" t="s">
        <v>255</v>
      </c>
    </row>
    <row r="4" spans="1:8" ht="13.7" customHeight="1" x14ac:dyDescent="0.2">
      <c r="A4" s="579" t="s">
        <v>1147</v>
      </c>
      <c r="B4" s="1721">
        <f>'Revenues 9-14'!C5</f>
        <v>1624905</v>
      </c>
      <c r="C4" s="1722"/>
      <c r="D4" s="1723">
        <f>B4-C4</f>
        <v>1624905</v>
      </c>
      <c r="E4" s="1722">
        <v>1466931</v>
      </c>
      <c r="F4" s="1723">
        <f>E4-C4</f>
        <v>1466931</v>
      </c>
    </row>
    <row r="5" spans="1:8" ht="13.7" customHeight="1" x14ac:dyDescent="0.2">
      <c r="A5" s="579" t="s">
        <v>865</v>
      </c>
      <c r="B5" s="1724">
        <f>'Revenues 9-14'!D5</f>
        <v>293677</v>
      </c>
      <c r="C5" s="1664"/>
      <c r="D5" s="1725">
        <f t="shared" ref="D5:D18" si="0">B5-C5</f>
        <v>293677</v>
      </c>
      <c r="E5" s="1664">
        <v>298967</v>
      </c>
      <c r="F5" s="1725">
        <f>E5-C5</f>
        <v>298967</v>
      </c>
    </row>
    <row r="6" spans="1:8" ht="13.7" customHeight="1" x14ac:dyDescent="0.2">
      <c r="A6" s="579" t="s">
        <v>408</v>
      </c>
      <c r="B6" s="1724">
        <f>'Revenues 9-14'!E5</f>
        <v>575936</v>
      </c>
      <c r="C6" s="1664"/>
      <c r="D6" s="1725">
        <f t="shared" si="0"/>
        <v>575936</v>
      </c>
      <c r="E6" s="1664">
        <f>395059+178631</f>
        <v>573690</v>
      </c>
      <c r="F6" s="1725">
        <f t="shared" ref="F6:F18" si="1">E6-C6</f>
        <v>573690</v>
      </c>
    </row>
    <row r="7" spans="1:8" ht="13.7" customHeight="1" x14ac:dyDescent="0.2">
      <c r="A7" s="579" t="s">
        <v>154</v>
      </c>
      <c r="B7" s="1724">
        <f>'Revenues 9-14'!F5</f>
        <v>156627</v>
      </c>
      <c r="C7" s="1664"/>
      <c r="D7" s="1725">
        <f t="shared" si="0"/>
        <v>156627</v>
      </c>
      <c r="E7" s="1664">
        <v>159449</v>
      </c>
      <c r="F7" s="1725">
        <f t="shared" si="1"/>
        <v>159449</v>
      </c>
    </row>
    <row r="8" spans="1:8" ht="13.7" customHeight="1" x14ac:dyDescent="0.2">
      <c r="A8" s="579" t="s">
        <v>1171</v>
      </c>
      <c r="B8" s="1724">
        <f>'Revenues 9-14'!G5</f>
        <v>199458</v>
      </c>
      <c r="C8" s="1664"/>
      <c r="D8" s="1725">
        <f t="shared" si="0"/>
        <v>199458</v>
      </c>
      <c r="E8" s="1664">
        <v>160007</v>
      </c>
      <c r="F8" s="1725">
        <f t="shared" si="1"/>
        <v>160007</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39157</v>
      </c>
      <c r="C10" s="1664"/>
      <c r="D10" s="1725">
        <f t="shared" si="0"/>
        <v>39157</v>
      </c>
      <c r="E10" s="1664">
        <v>39862</v>
      </c>
      <c r="F10" s="1725">
        <f t="shared" si="1"/>
        <v>39862</v>
      </c>
    </row>
    <row r="11" spans="1:8" x14ac:dyDescent="0.2">
      <c r="A11" s="579" t="s">
        <v>406</v>
      </c>
      <c r="B11" s="1724">
        <f>'Revenues 9-14'!J5</f>
        <v>498626</v>
      </c>
      <c r="C11" s="1664"/>
      <c r="D11" s="1725">
        <f t="shared" si="0"/>
        <v>498626</v>
      </c>
      <c r="E11" s="1664">
        <v>500000</v>
      </c>
      <c r="F11" s="1725">
        <f t="shared" si="1"/>
        <v>500000</v>
      </c>
    </row>
    <row r="12" spans="1:8" ht="13.7" customHeight="1" x14ac:dyDescent="0.2">
      <c r="A12" s="579" t="s">
        <v>156</v>
      </c>
      <c r="B12" s="1724">
        <f>'Revenues 9-14'!K5</f>
        <v>39157</v>
      </c>
      <c r="C12" s="1664"/>
      <c r="D12" s="1725">
        <f t="shared" si="0"/>
        <v>39157</v>
      </c>
      <c r="E12" s="1664">
        <v>39862</v>
      </c>
      <c r="F12" s="1725">
        <f t="shared" si="1"/>
        <v>39862</v>
      </c>
    </row>
    <row r="13" spans="1:8" ht="13.7" customHeight="1" x14ac:dyDescent="0.2">
      <c r="A13" s="579" t="s">
        <v>930</v>
      </c>
      <c r="B13" s="1724">
        <f>SUM('Revenues 9-14'!C6:D6)</f>
        <v>39234</v>
      </c>
      <c r="C13" s="1664"/>
      <c r="D13" s="1725">
        <f t="shared" si="0"/>
        <v>39234</v>
      </c>
      <c r="E13" s="1664">
        <v>39862</v>
      </c>
      <c r="F13" s="1725">
        <f t="shared" si="1"/>
        <v>39862</v>
      </c>
    </row>
    <row r="14" spans="1:8" ht="13.7" customHeight="1" x14ac:dyDescent="0.2">
      <c r="A14" s="579" t="s">
        <v>407</v>
      </c>
      <c r="B14" s="1724">
        <f>SUM('Revenues 9-14'!C7:D7,'Revenues 9-14'!F7:H7)</f>
        <v>31104</v>
      </c>
      <c r="C14" s="1664"/>
      <c r="D14" s="1725">
        <f t="shared" si="0"/>
        <v>31104</v>
      </c>
      <c r="E14" s="1664">
        <v>31890</v>
      </c>
      <c r="F14" s="1725">
        <f t="shared" si="1"/>
        <v>31890</v>
      </c>
    </row>
    <row r="15" spans="1:8" ht="13.7" customHeight="1" x14ac:dyDescent="0.2">
      <c r="A15" s="579" t="s">
        <v>1150</v>
      </c>
      <c r="B15" s="1724">
        <f>SUM('Revenues 9-14'!D9:E9,'Revenues 9-14'!H9)</f>
        <v>0</v>
      </c>
      <c r="C15" s="1664"/>
      <c r="D15" s="1725">
        <f t="shared" si="0"/>
        <v>0</v>
      </c>
      <c r="E15" s="1664">
        <v>0</v>
      </c>
      <c r="F15" s="1725">
        <f t="shared" si="1"/>
        <v>0</v>
      </c>
    </row>
    <row r="16" spans="1:8" ht="13.7" customHeight="1" x14ac:dyDescent="0.2">
      <c r="A16" s="579" t="s">
        <v>1151</v>
      </c>
      <c r="B16" s="1724">
        <f>'Revenues 9-14'!G8</f>
        <v>159564</v>
      </c>
      <c r="C16" s="1664"/>
      <c r="D16" s="1725">
        <f t="shared" si="0"/>
        <v>159564</v>
      </c>
      <c r="E16" s="1664">
        <v>160007</v>
      </c>
      <c r="F16" s="1725">
        <f t="shared" si="1"/>
        <v>160007</v>
      </c>
    </row>
    <row r="17" spans="1:6" ht="13.7" customHeight="1" x14ac:dyDescent="0.2">
      <c r="A17" s="579" t="s">
        <v>1152</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-17571</v>
      </c>
      <c r="F18" s="1725">
        <f t="shared" si="1"/>
        <v>-17571</v>
      </c>
    </row>
    <row r="19" spans="1:6" ht="13.7" customHeight="1" thickBot="1" x14ac:dyDescent="0.25">
      <c r="A19" s="1432" t="s">
        <v>1153</v>
      </c>
      <c r="B19" s="1726">
        <f>SUM(B4:B18)</f>
        <v>3657445</v>
      </c>
      <c r="C19" s="1726">
        <f>SUM(C4:C18)</f>
        <v>0</v>
      </c>
      <c r="D19" s="1726">
        <f>SUM(D4:D18)</f>
        <v>3657445</v>
      </c>
      <c r="E19" s="1726">
        <f>SUM(E4:E18)</f>
        <v>3452956</v>
      </c>
      <c r="F19" s="1726">
        <f>SUM(F4:F18)</f>
        <v>3452956</v>
      </c>
    </row>
    <row r="20" spans="1:6" ht="13.5" thickTop="1" x14ac:dyDescent="0.2">
      <c r="B20" s="578"/>
      <c r="F20" s="580"/>
    </row>
    <row r="21" spans="1:6" x14ac:dyDescent="0.2">
      <c r="A21" s="581" t="s">
        <v>1786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49" sqref="J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4" t="s">
        <v>625</v>
      </c>
      <c r="B1" s="2312"/>
      <c r="C1" s="585"/>
    </row>
    <row r="2" spans="1:7" ht="33.75" x14ac:dyDescent="0.2">
      <c r="A2" s="2319" t="s">
        <v>1780</v>
      </c>
      <c r="B2" s="232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1" t="s">
        <v>1106</v>
      </c>
      <c r="B3" s="2322"/>
      <c r="C3" s="2315"/>
      <c r="D3" s="2316"/>
      <c r="E3" s="2316"/>
      <c r="F3" s="2317"/>
    </row>
    <row r="4" spans="1:7" ht="12.75" customHeight="1" thickBot="1" x14ac:dyDescent="0.25">
      <c r="A4" s="2309" t="s">
        <v>626</v>
      </c>
      <c r="B4" s="2310"/>
      <c r="C4" s="1656"/>
      <c r="D4" s="1656"/>
      <c r="E4" s="1656"/>
      <c r="F4" s="1732">
        <f>SUM(C4+D4)-E4</f>
        <v>0</v>
      </c>
    </row>
    <row r="5" spans="1:7" ht="15.75" customHeight="1" thickTop="1" x14ac:dyDescent="0.2">
      <c r="A5" s="2313" t="s">
        <v>1103</v>
      </c>
      <c r="B5" s="2308"/>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5" t="s">
        <v>627</v>
      </c>
      <c r="B15" s="2306"/>
      <c r="C15" s="1732">
        <f>SUM(C6:C14)</f>
        <v>0</v>
      </c>
      <c r="D15" s="1732">
        <f>SUM(D6:D14)</f>
        <v>0</v>
      </c>
      <c r="E15" s="1732">
        <f>SUM(E6:E14)</f>
        <v>0</v>
      </c>
      <c r="F15" s="1732">
        <f>SUM(F6:F14)</f>
        <v>0</v>
      </c>
      <c r="G15" s="473"/>
    </row>
    <row r="16" spans="1:7" s="197" customFormat="1" ht="15.75" customHeight="1" thickTop="1" x14ac:dyDescent="0.2">
      <c r="A16" s="2318" t="s">
        <v>1104</v>
      </c>
      <c r="B16" s="2308"/>
      <c r="C16" s="2302"/>
      <c r="D16" s="2303"/>
      <c r="E16" s="2303"/>
      <c r="F16" s="2304"/>
    </row>
    <row r="17" spans="1:11" ht="12.75" customHeight="1" thickBot="1" x14ac:dyDescent="0.25">
      <c r="A17" s="2300" t="s">
        <v>64</v>
      </c>
      <c r="B17" s="2301"/>
      <c r="C17" s="1733"/>
      <c r="D17" s="1664"/>
      <c r="E17" s="1733"/>
      <c r="F17" s="1732">
        <f>SUM(C17+D17)-E17</f>
        <v>0</v>
      </c>
    </row>
    <row r="18" spans="1:11" ht="12.75" customHeight="1" thickTop="1" thickBot="1" x14ac:dyDescent="0.25">
      <c r="A18" s="2300" t="s">
        <v>6</v>
      </c>
      <c r="B18" s="2301"/>
      <c r="C18" s="1733"/>
      <c r="D18" s="1664"/>
      <c r="E18" s="1733"/>
      <c r="F18" s="1732">
        <f>SUM(C18+D18)-E18</f>
        <v>0</v>
      </c>
    </row>
    <row r="19" spans="1:11" ht="12.75" customHeight="1" thickTop="1" thickBot="1" x14ac:dyDescent="0.25">
      <c r="A19" s="2300" t="s">
        <v>385</v>
      </c>
      <c r="B19" s="2301"/>
      <c r="C19" s="1733"/>
      <c r="D19" s="1664"/>
      <c r="E19" s="1733"/>
      <c r="F19" s="1732">
        <f>SUM(C19+D19)-E19</f>
        <v>0</v>
      </c>
    </row>
    <row r="20" spans="1:11" ht="12.75" customHeight="1" thickTop="1" thickBot="1" x14ac:dyDescent="0.25">
      <c r="A20" s="2300" t="s">
        <v>445</v>
      </c>
      <c r="B20" s="2301"/>
      <c r="C20" s="1733"/>
      <c r="D20" s="1664"/>
      <c r="E20" s="1733"/>
      <c r="F20" s="1732">
        <f>SUM(C20+D20)-E20</f>
        <v>0</v>
      </c>
    </row>
    <row r="21" spans="1:11" ht="14.25" thickTop="1" thickBot="1" x14ac:dyDescent="0.25">
      <c r="A21" s="2305" t="s">
        <v>628</v>
      </c>
      <c r="B21" s="2306"/>
      <c r="C21" s="1732">
        <f>SUM(C17:C20)</f>
        <v>0</v>
      </c>
      <c r="D21" s="1732">
        <f>SUM(D17:D20)</f>
        <v>0</v>
      </c>
      <c r="E21" s="1732">
        <f>SUM(E17:E20)</f>
        <v>0</v>
      </c>
      <c r="F21" s="1732">
        <f>SUM(F17:F20)</f>
        <v>0</v>
      </c>
      <c r="G21" s="473"/>
    </row>
    <row r="22" spans="1:11" ht="15.75" customHeight="1" thickTop="1" x14ac:dyDescent="0.2">
      <c r="A22" s="2307" t="s">
        <v>1105</v>
      </c>
      <c r="B22" s="2308"/>
      <c r="C22" s="2302"/>
      <c r="D22" s="2303"/>
      <c r="E22" s="2303"/>
      <c r="F22" s="2304"/>
    </row>
    <row r="23" spans="1:11" ht="13.5" thickBot="1" x14ac:dyDescent="0.25">
      <c r="A23" s="2309" t="s">
        <v>629</v>
      </c>
      <c r="B23" s="2310"/>
      <c r="C23" s="1656"/>
      <c r="D23" s="1656"/>
      <c r="E23" s="1656"/>
      <c r="F23" s="1732">
        <f>SUM(C23+D23)-E23</f>
        <v>0</v>
      </c>
      <c r="G23" s="473"/>
    </row>
    <row r="24" spans="1:11" ht="15.75" customHeight="1" thickTop="1" x14ac:dyDescent="0.2">
      <c r="A24" s="2307" t="s">
        <v>2007</v>
      </c>
      <c r="B24" s="2308"/>
      <c r="C24" s="2302"/>
      <c r="D24" s="2303"/>
      <c r="E24" s="2303"/>
      <c r="F24" s="2304"/>
    </row>
    <row r="25" spans="1:11" ht="13.5" thickBot="1" x14ac:dyDescent="0.25">
      <c r="A25" s="2309" t="s">
        <v>2008</v>
      </c>
      <c r="B25" s="2310"/>
      <c r="C25" s="1656"/>
      <c r="D25" s="1656"/>
      <c r="E25" s="1656"/>
      <c r="F25" s="1732">
        <f>SUM(C25+D25)-E25</f>
        <v>0</v>
      </c>
      <c r="G25" s="473"/>
    </row>
    <row r="26" spans="1:11" ht="15.75" customHeight="1" thickTop="1" x14ac:dyDescent="0.2">
      <c r="A26" s="2313" t="s">
        <v>652</v>
      </c>
      <c r="B26" s="2308"/>
      <c r="C26" s="589"/>
      <c r="D26" s="589"/>
      <c r="E26" s="589"/>
      <c r="F26" s="590"/>
    </row>
    <row r="27" spans="1:11" ht="13.5" thickBot="1" x14ac:dyDescent="0.25">
      <c r="A27" s="2305" t="s">
        <v>1063</v>
      </c>
      <c r="B27" s="2306"/>
      <c r="C27" s="1664"/>
      <c r="D27" s="1664"/>
      <c r="E27" s="1664"/>
      <c r="F27" s="1732">
        <f>SUM(C27+D27)-E27</f>
        <v>0</v>
      </c>
      <c r="G27" s="473"/>
    </row>
    <row r="28" spans="1:11" ht="7.5" customHeight="1" thickTop="1" x14ac:dyDescent="0.2">
      <c r="A28" s="489"/>
    </row>
    <row r="29" spans="1:11" ht="23.25" customHeight="1" x14ac:dyDescent="0.2">
      <c r="A29" s="2311" t="s">
        <v>578</v>
      </c>
      <c r="B29" s="2312"/>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1878</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2034</v>
      </c>
      <c r="B31" s="595">
        <v>42990</v>
      </c>
      <c r="C31" s="1734">
        <v>1730000</v>
      </c>
      <c r="D31" s="1735">
        <v>1</v>
      </c>
      <c r="E31" s="1734">
        <v>1460000</v>
      </c>
      <c r="F31" s="1734"/>
      <c r="G31" s="1734"/>
      <c r="H31" s="1734">
        <v>340000</v>
      </c>
      <c r="I31" s="1736">
        <f>((E31+F31)-H31)+G31</f>
        <v>1120000</v>
      </c>
      <c r="J31" s="1734">
        <f>1120000-185949</f>
        <v>934051</v>
      </c>
      <c r="K31" s="596"/>
    </row>
    <row r="32" spans="1:11" ht="12" customHeight="1" x14ac:dyDescent="0.2">
      <c r="A32" s="594" t="s">
        <v>2035</v>
      </c>
      <c r="B32" s="595">
        <v>42990</v>
      </c>
      <c r="C32" s="1734">
        <v>1160000</v>
      </c>
      <c r="D32" s="1735">
        <v>3</v>
      </c>
      <c r="E32" s="1734">
        <v>1015000</v>
      </c>
      <c r="F32" s="1734"/>
      <c r="G32" s="1734"/>
      <c r="H32" s="1734">
        <v>150000</v>
      </c>
      <c r="I32" s="1736">
        <f>((E32+F32)-H32)+G32</f>
        <v>865000</v>
      </c>
      <c r="J32" s="1734">
        <v>865000</v>
      </c>
      <c r="K32" s="596"/>
    </row>
    <row r="33" spans="1:11" ht="12" customHeight="1" x14ac:dyDescent="0.2">
      <c r="A33" s="594" t="s">
        <v>2036</v>
      </c>
      <c r="B33" s="595">
        <v>43542</v>
      </c>
      <c r="C33" s="1734">
        <v>2500000</v>
      </c>
      <c r="D33" s="1735">
        <v>2</v>
      </c>
      <c r="E33" s="1734">
        <v>2500000</v>
      </c>
      <c r="F33" s="1734"/>
      <c r="G33" s="1734"/>
      <c r="H33" s="1734">
        <v>202300</v>
      </c>
      <c r="I33" s="1736">
        <f t="shared" ref="I33:I48" si="1">((E33+F33)-H33)+G33</f>
        <v>2297700</v>
      </c>
      <c r="J33" s="1734">
        <v>2297700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5390000</v>
      </c>
      <c r="D49" s="1742"/>
      <c r="E49" s="1736">
        <f t="shared" ref="E49:J49" si="2">SUM(E31:E48)</f>
        <v>4975000</v>
      </c>
      <c r="F49" s="1736">
        <f t="shared" si="2"/>
        <v>0</v>
      </c>
      <c r="G49" s="1736">
        <f t="shared" si="2"/>
        <v>0</v>
      </c>
      <c r="H49" s="1736">
        <f t="shared" si="2"/>
        <v>692300</v>
      </c>
      <c r="I49" s="1736">
        <f t="shared" si="2"/>
        <v>4282700</v>
      </c>
      <c r="J49" s="1736">
        <f t="shared" si="2"/>
        <v>4096751</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906</v>
      </c>
      <c r="B52" s="2294" t="s">
        <v>580</v>
      </c>
      <c r="C52" s="2295"/>
      <c r="D52" s="2295"/>
      <c r="E52" s="603" t="s">
        <v>840</v>
      </c>
      <c r="F52" s="2296"/>
      <c r="G52" s="2297"/>
      <c r="H52" s="596"/>
      <c r="I52" s="596"/>
      <c r="J52" s="600"/>
    </row>
    <row r="53" spans="1:11" ht="11.25" customHeight="1" x14ac:dyDescent="0.2">
      <c r="A53" s="604" t="s">
        <v>907</v>
      </c>
      <c r="B53" s="605" t="s">
        <v>945</v>
      </c>
      <c r="C53" s="600"/>
      <c r="D53" s="597"/>
      <c r="E53" s="603" t="s">
        <v>494</v>
      </c>
      <c r="F53" s="2298"/>
      <c r="G53" s="2299"/>
      <c r="H53" s="596"/>
      <c r="I53" s="596"/>
      <c r="J53" s="600"/>
    </row>
    <row r="54" spans="1:11" ht="11.25" customHeight="1" x14ac:dyDescent="0.2">
      <c r="A54" s="606" t="s">
        <v>908</v>
      </c>
      <c r="B54" s="601" t="s">
        <v>946</v>
      </c>
      <c r="C54" s="600"/>
      <c r="D54" s="597"/>
      <c r="E54" s="603" t="s">
        <v>495</v>
      </c>
      <c r="F54" s="2298"/>
      <c r="G54" s="229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0" sqref="J2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3" t="s">
        <v>851</v>
      </c>
      <c r="B1" s="2324"/>
      <c r="C1" s="2324"/>
      <c r="D1" s="2324"/>
      <c r="E1" s="2324"/>
      <c r="F1" s="2324"/>
      <c r="G1" s="2325"/>
      <c r="H1" s="1298"/>
      <c r="I1" s="614"/>
      <c r="J1" s="400"/>
    </row>
    <row r="2" spans="1:11" ht="26.25" x14ac:dyDescent="0.2">
      <c r="A2" s="2342" t="s">
        <v>1661</v>
      </c>
      <c r="B2" s="2343"/>
      <c r="C2" s="2343"/>
      <c r="D2" s="2343"/>
      <c r="E2" s="2344"/>
      <c r="F2" s="615" t="s">
        <v>898</v>
      </c>
      <c r="G2" s="616" t="s">
        <v>1658</v>
      </c>
      <c r="H2" s="616" t="s">
        <v>407</v>
      </c>
      <c r="I2" s="616" t="s">
        <v>1150</v>
      </c>
      <c r="J2" s="616" t="s">
        <v>1790</v>
      </c>
      <c r="K2" s="616" t="s">
        <v>137</v>
      </c>
    </row>
    <row r="3" spans="1:11" x14ac:dyDescent="0.2">
      <c r="A3" s="2345" t="str">
        <f>"Cash Basis Fund Balance as of July 1, "&amp;'AFR20'!E2-1</f>
        <v>Cash Basis Fund Balance as of July 1, 2019</v>
      </c>
      <c r="B3" s="2346"/>
      <c r="C3" s="2346"/>
      <c r="D3" s="2346"/>
      <c r="E3" s="2347"/>
      <c r="F3" s="617"/>
      <c r="G3" s="1744"/>
      <c r="H3" s="1744">
        <v>0</v>
      </c>
      <c r="I3" s="1744"/>
      <c r="J3" s="1745">
        <v>825606</v>
      </c>
      <c r="K3" s="1745">
        <v>0</v>
      </c>
    </row>
    <row r="4" spans="1:11" x14ac:dyDescent="0.2">
      <c r="A4" s="2348" t="s">
        <v>366</v>
      </c>
      <c r="B4" s="2349"/>
      <c r="C4" s="2349"/>
      <c r="D4" s="2349"/>
      <c r="E4" s="2295"/>
      <c r="F4" s="620"/>
      <c r="G4" s="1746"/>
      <c r="H4" s="1747"/>
      <c r="I4" s="1746"/>
      <c r="J4" s="1748"/>
      <c r="K4" s="1748"/>
    </row>
    <row r="5" spans="1:11" x14ac:dyDescent="0.2">
      <c r="A5" s="2326" t="s">
        <v>1062</v>
      </c>
      <c r="B5" s="2327"/>
      <c r="C5" s="2327"/>
      <c r="D5" s="2327"/>
      <c r="E5" s="2328"/>
      <c r="F5" s="622" t="s">
        <v>843</v>
      </c>
      <c r="G5" s="1749"/>
      <c r="H5" s="1744">
        <v>31104</v>
      </c>
      <c r="I5" s="1750"/>
      <c r="J5" s="1751"/>
      <c r="K5" s="1751"/>
    </row>
    <row r="6" spans="1:11" x14ac:dyDescent="0.2">
      <c r="A6" s="625" t="s">
        <v>715</v>
      </c>
      <c r="B6" s="626"/>
      <c r="C6" s="626"/>
      <c r="D6" s="626"/>
      <c r="E6" s="627"/>
      <c r="F6" s="628" t="s">
        <v>844</v>
      </c>
      <c r="G6" s="1744"/>
      <c r="H6" s="1744"/>
      <c r="I6" s="1744"/>
      <c r="J6" s="1745">
        <v>1073</v>
      </c>
      <c r="K6" s="1745"/>
    </row>
    <row r="7" spans="1:11" x14ac:dyDescent="0.2">
      <c r="A7" s="629" t="s">
        <v>244</v>
      </c>
      <c r="B7" s="630"/>
      <c r="C7" s="630"/>
      <c r="D7" s="630"/>
      <c r="E7" s="631"/>
      <c r="F7" s="622" t="s">
        <v>845</v>
      </c>
      <c r="G7" s="1746"/>
      <c r="H7" s="1746"/>
      <c r="I7" s="1746"/>
      <c r="J7" s="1752"/>
      <c r="K7" s="1745">
        <v>2450</v>
      </c>
    </row>
    <row r="8" spans="1:11" x14ac:dyDescent="0.2">
      <c r="A8" s="629" t="s">
        <v>342</v>
      </c>
      <c r="B8" s="630"/>
      <c r="C8" s="630"/>
      <c r="D8" s="630"/>
      <c r="E8" s="631"/>
      <c r="F8" s="622" t="s">
        <v>846</v>
      </c>
      <c r="G8" s="1753"/>
      <c r="H8" s="1753"/>
      <c r="I8" s="1753"/>
      <c r="J8" s="1745">
        <v>626898</v>
      </c>
      <c r="K8" s="1748"/>
    </row>
    <row r="9" spans="1:11" x14ac:dyDescent="0.2">
      <c r="A9" s="629" t="s">
        <v>137</v>
      </c>
      <c r="B9" s="630"/>
      <c r="C9" s="630"/>
      <c r="D9" s="630"/>
      <c r="E9" s="631"/>
      <c r="F9" s="628" t="s">
        <v>848</v>
      </c>
      <c r="G9" s="1753"/>
      <c r="H9" s="1749"/>
      <c r="I9" s="1749"/>
      <c r="J9" s="1752"/>
      <c r="K9" s="1745">
        <v>8992</v>
      </c>
    </row>
    <row r="10" spans="1:11" x14ac:dyDescent="0.2">
      <c r="A10" s="2326" t="s">
        <v>1791</v>
      </c>
      <c r="B10" s="2327"/>
      <c r="C10" s="2327"/>
      <c r="D10" s="2327"/>
      <c r="E10" s="2329"/>
      <c r="F10" s="633" t="s">
        <v>857</v>
      </c>
      <c r="G10" s="1753"/>
      <c r="H10" s="1754"/>
      <c r="I10" s="1744"/>
      <c r="J10" s="1745"/>
      <c r="K10" s="1745"/>
    </row>
    <row r="11" spans="1:11" x14ac:dyDescent="0.2">
      <c r="A11" s="2326" t="s">
        <v>159</v>
      </c>
      <c r="B11" s="2327"/>
      <c r="C11" s="2327"/>
      <c r="D11" s="2327"/>
      <c r="E11" s="2328"/>
      <c r="F11" s="622" t="s">
        <v>847</v>
      </c>
      <c r="G11" s="1749"/>
      <c r="H11" s="1744"/>
      <c r="I11" s="1744"/>
      <c r="J11" s="1745"/>
      <c r="K11" s="1751"/>
    </row>
    <row r="12" spans="1:11" ht="13.5" thickBot="1" x14ac:dyDescent="0.25">
      <c r="A12" s="2353" t="s">
        <v>899</v>
      </c>
      <c r="B12" s="2354"/>
      <c r="C12" s="2354"/>
      <c r="D12" s="2354"/>
      <c r="E12" s="2355"/>
      <c r="F12" s="1433"/>
      <c r="G12" s="1755">
        <f>SUM(G5:G11)</f>
        <v>0</v>
      </c>
      <c r="H12" s="1755">
        <f>SUM(H5:H11)</f>
        <v>31104</v>
      </c>
      <c r="I12" s="1755">
        <f>SUM(I5:I11)</f>
        <v>0</v>
      </c>
      <c r="J12" s="1755">
        <f>SUM(J5:J11)</f>
        <v>627971</v>
      </c>
      <c r="K12" s="1755">
        <f>SUM(K5:K11)</f>
        <v>11442</v>
      </c>
    </row>
    <row r="13" spans="1:11" ht="13.5" thickTop="1" x14ac:dyDescent="0.2">
      <c r="A13" s="2350" t="s">
        <v>367</v>
      </c>
      <c r="B13" s="2351"/>
      <c r="C13" s="2351"/>
      <c r="D13" s="2351"/>
      <c r="E13" s="2352"/>
      <c r="F13" s="634"/>
      <c r="G13" s="1756"/>
      <c r="H13" s="1757"/>
      <c r="I13" s="1758"/>
      <c r="J13" s="1758"/>
      <c r="K13" s="1758"/>
    </row>
    <row r="14" spans="1:11" x14ac:dyDescent="0.2">
      <c r="A14" s="2333" t="s">
        <v>453</v>
      </c>
      <c r="B14" s="2333"/>
      <c r="C14" s="2333"/>
      <c r="D14" s="2333"/>
      <c r="E14" s="2334"/>
      <c r="F14" s="635" t="s">
        <v>849</v>
      </c>
      <c r="G14" s="1753"/>
      <c r="H14" s="1744">
        <v>31104</v>
      </c>
      <c r="I14" s="1749"/>
      <c r="J14" s="1751"/>
      <c r="K14" s="1745">
        <v>11442</v>
      </c>
    </row>
    <row r="15" spans="1:11" x14ac:dyDescent="0.2">
      <c r="A15" s="2327" t="s">
        <v>4</v>
      </c>
      <c r="B15" s="2327"/>
      <c r="C15" s="2327"/>
      <c r="D15" s="2327"/>
      <c r="E15" s="2328"/>
      <c r="F15" s="635" t="s">
        <v>850</v>
      </c>
      <c r="G15" s="1749"/>
      <c r="H15" s="1744"/>
      <c r="I15" s="1744"/>
      <c r="J15" s="1745">
        <f>1163936</f>
        <v>1163936</v>
      </c>
      <c r="K15" s="1745"/>
    </row>
    <row r="16" spans="1:11" x14ac:dyDescent="0.2">
      <c r="A16" s="2327" t="s">
        <v>295</v>
      </c>
      <c r="B16" s="2327"/>
      <c r="C16" s="2327"/>
      <c r="D16" s="2327"/>
      <c r="E16" s="2328"/>
      <c r="F16" s="635" t="s">
        <v>917</v>
      </c>
      <c r="G16" s="1750"/>
      <c r="H16" s="1746"/>
      <c r="I16" s="1746"/>
      <c r="J16" s="1748"/>
      <c r="K16" s="1748"/>
    </row>
    <row r="17" spans="1:15" x14ac:dyDescent="0.2">
      <c r="A17" s="2360" t="s">
        <v>929</v>
      </c>
      <c r="B17" s="2360"/>
      <c r="C17" s="2360"/>
      <c r="D17" s="2360"/>
      <c r="E17" s="2361"/>
      <c r="F17" s="636"/>
      <c r="G17" s="1759"/>
      <c r="H17" s="1760"/>
      <c r="I17" s="1760"/>
      <c r="J17" s="1761"/>
      <c r="K17" s="1762"/>
    </row>
    <row r="18" spans="1:15" x14ac:dyDescent="0.2">
      <c r="A18" s="2337" t="s">
        <v>365</v>
      </c>
      <c r="B18" s="2338"/>
      <c r="C18" s="2338"/>
      <c r="D18" s="2338"/>
      <c r="E18" s="2339"/>
      <c r="F18" s="635" t="s">
        <v>926</v>
      </c>
      <c r="G18" s="1753"/>
      <c r="H18" s="1753"/>
      <c r="I18" s="1753"/>
      <c r="J18" s="1745">
        <v>87341</v>
      </c>
      <c r="K18" s="1763"/>
    </row>
    <row r="19" spans="1:15" ht="21.75" customHeight="1" x14ac:dyDescent="0.2">
      <c r="A19" s="2335" t="s">
        <v>1787</v>
      </c>
      <c r="B19" s="2335"/>
      <c r="C19" s="2335"/>
      <c r="D19" s="2335"/>
      <c r="E19" s="2336"/>
      <c r="F19" s="635" t="s">
        <v>927</v>
      </c>
      <c r="G19" s="1753"/>
      <c r="H19" s="1753"/>
      <c r="I19" s="1753"/>
      <c r="J19" s="1745">
        <v>202300</v>
      </c>
      <c r="K19" s="1763"/>
    </row>
    <row r="20" spans="1:15" x14ac:dyDescent="0.2">
      <c r="A20" s="2337" t="s">
        <v>1792</v>
      </c>
      <c r="B20" s="2338"/>
      <c r="C20" s="2338"/>
      <c r="D20" s="2338"/>
      <c r="E20" s="2339"/>
      <c r="F20" s="635" t="s">
        <v>928</v>
      </c>
      <c r="G20" s="1753"/>
      <c r="H20" s="1753"/>
      <c r="I20" s="1753"/>
      <c r="J20" s="1745"/>
      <c r="K20" s="1763"/>
    </row>
    <row r="21" spans="1:15" ht="13.5" thickBot="1" x14ac:dyDescent="0.25">
      <c r="A21" s="2356" t="s">
        <v>633</v>
      </c>
      <c r="B21" s="2356"/>
      <c r="C21" s="2356"/>
      <c r="D21" s="2356"/>
      <c r="E21" s="2356"/>
      <c r="F21" s="1434"/>
      <c r="G21" s="1760"/>
      <c r="H21" s="1764"/>
      <c r="I21" s="1764"/>
      <c r="J21" s="1765">
        <f>SUM(J18:J20)</f>
        <v>289641</v>
      </c>
      <c r="K21" s="1761"/>
    </row>
    <row r="22" spans="1:15" ht="13.5" thickTop="1" x14ac:dyDescent="0.2">
      <c r="A22" s="2327" t="s">
        <v>1793</v>
      </c>
      <c r="B22" s="2327"/>
      <c r="C22" s="2327"/>
      <c r="D22" s="2327"/>
      <c r="E22" s="2328"/>
      <c r="F22" s="635" t="s">
        <v>857</v>
      </c>
      <c r="G22" s="1753"/>
      <c r="H22" s="1744"/>
      <c r="I22" s="1744"/>
      <c r="J22" s="1766"/>
      <c r="K22" s="1745"/>
    </row>
    <row r="23" spans="1:15" ht="13.5" thickBot="1" x14ac:dyDescent="0.25">
      <c r="A23" s="2357" t="s">
        <v>900</v>
      </c>
      <c r="B23" s="2356"/>
      <c r="C23" s="2356"/>
      <c r="D23" s="2356"/>
      <c r="E23" s="2356"/>
      <c r="F23" s="1436"/>
      <c r="G23" s="1755">
        <f>SUM(G14:G16,G21,G22)</f>
        <v>0</v>
      </c>
      <c r="H23" s="1755">
        <f>SUM(H14:H16,H21,H22)</f>
        <v>31104</v>
      </c>
      <c r="I23" s="1755">
        <f>SUM(I14:I16,I21,I22)</f>
        <v>0</v>
      </c>
      <c r="J23" s="1755">
        <f>SUM(J14:J16,J21,J22)</f>
        <v>1453577</v>
      </c>
      <c r="K23" s="1755">
        <f>SUM(K14:K16,K21,K22)</f>
        <v>11442</v>
      </c>
      <c r="M23" s="1846"/>
      <c r="N23" s="1846"/>
      <c r="O23" s="1846"/>
    </row>
    <row r="24" spans="1:15" ht="14.25" thickTop="1" thickBot="1" x14ac:dyDescent="0.25">
      <c r="A24" s="2358" t="str">
        <f>"Ending Cash Basis Fund Balance as of June 30, "&amp;'AFR20'!E2</f>
        <v>Ending Cash Basis Fund Balance as of June 30, 2020</v>
      </c>
      <c r="B24" s="2359"/>
      <c r="C24" s="2359"/>
      <c r="D24" s="2359"/>
      <c r="E24" s="2359"/>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1877</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0"/>
      <c r="I31" s="2331"/>
      <c r="J31" s="2331"/>
      <c r="K31" s="2331"/>
    </row>
    <row r="32" spans="1:15" x14ac:dyDescent="0.2">
      <c r="A32" s="649"/>
      <c r="B32" s="232"/>
      <c r="C32" s="232"/>
      <c r="D32" s="232"/>
      <c r="E32" s="645"/>
      <c r="F32" s="651" t="s">
        <v>537</v>
      </c>
      <c r="G32" s="618"/>
      <c r="H32" s="2332"/>
      <c r="I32" s="2331"/>
      <c r="J32" s="2331"/>
      <c r="K32" s="2331"/>
    </row>
    <row r="33" spans="1:11" ht="1.5" customHeight="1" x14ac:dyDescent="0.2">
      <c r="A33" s="652" t="s">
        <v>1161</v>
      </c>
      <c r="B33" s="341"/>
      <c r="C33" s="341"/>
      <c r="D33" s="341"/>
      <c r="E33" s="341"/>
      <c r="F33" s="341"/>
      <c r="G33" s="653"/>
      <c r="H33" s="2332"/>
      <c r="I33" s="2331"/>
      <c r="J33" s="2331"/>
      <c r="K33" s="2331"/>
    </row>
    <row r="34" spans="1:11" x14ac:dyDescent="0.2">
      <c r="A34" s="654" t="s">
        <v>1794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7" t="s">
        <v>538</v>
      </c>
      <c r="B41" s="2340"/>
      <c r="C41" s="2340"/>
      <c r="D41" s="2340"/>
      <c r="E41" s="2340"/>
      <c r="F41" s="234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1788</v>
      </c>
      <c r="B46" s="382" t="s">
        <v>1659</v>
      </c>
    </row>
    <row r="47" spans="1:11" s="663" customFormat="1" ht="12.75" customHeight="1" x14ac:dyDescent="0.2">
      <c r="A47" s="661"/>
      <c r="B47" s="662" t="s">
        <v>1660</v>
      </c>
      <c r="E47" s="662"/>
      <c r="K47" s="664"/>
    </row>
    <row r="48" spans="1:11" ht="12.75" customHeight="1" x14ac:dyDescent="0.2">
      <c r="A48" s="1300" t="s">
        <v>1789</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25" sqref="H2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4" t="s">
        <v>1876</v>
      </c>
      <c r="B1" s="2365"/>
      <c r="C1" s="2366"/>
      <c r="D1" s="666"/>
      <c r="E1" s="667"/>
      <c r="F1" s="667"/>
      <c r="G1" s="668"/>
      <c r="H1" s="669"/>
      <c r="I1" s="670"/>
      <c r="J1" s="2362"/>
      <c r="K1" s="2363"/>
      <c r="L1" s="2363"/>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43000</v>
      </c>
      <c r="D5" s="1770"/>
      <c r="E5" s="1770"/>
      <c r="F5" s="1765">
        <f>(C5+D5)-E5</f>
        <v>43000</v>
      </c>
      <c r="G5" s="676"/>
      <c r="H5" s="680"/>
      <c r="I5" s="680"/>
      <c r="J5" s="680"/>
      <c r="K5" s="637"/>
      <c r="L5" s="1442">
        <f>F5-K5</f>
        <v>43000</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8728185</v>
      </c>
      <c r="D8" s="1771">
        <v>1070057</v>
      </c>
      <c r="E8" s="1771"/>
      <c r="F8" s="1765">
        <f>(C8+D8)-E8</f>
        <v>9798242</v>
      </c>
      <c r="G8" s="681">
        <v>50</v>
      </c>
      <c r="H8" s="619">
        <v>4494053</v>
      </c>
      <c r="I8" s="619">
        <v>167173</v>
      </c>
      <c r="J8" s="619"/>
      <c r="K8" s="1442">
        <f>(H8+I8)-J8</f>
        <v>4661226</v>
      </c>
      <c r="L8" s="1442">
        <f>F8-K8</f>
        <v>5137016</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627983</v>
      </c>
      <c r="D10" s="1772">
        <v>70000</v>
      </c>
      <c r="E10" s="1772"/>
      <c r="F10" s="1773">
        <f>(C10+D10)-E10</f>
        <v>697983</v>
      </c>
      <c r="G10" s="681">
        <v>20</v>
      </c>
      <c r="H10" s="683">
        <v>340530</v>
      </c>
      <c r="I10" s="683">
        <v>30482</v>
      </c>
      <c r="J10" s="683"/>
      <c r="K10" s="1442">
        <f>(H10+I10)-J10</f>
        <v>371012</v>
      </c>
      <c r="L10" s="1442">
        <f>F10-K10</f>
        <v>326971</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838860</v>
      </c>
      <c r="D12" s="1771">
        <v>276432</v>
      </c>
      <c r="E12" s="1771">
        <v>138454</v>
      </c>
      <c r="F12" s="1765">
        <f>(C12+D12)-E12</f>
        <v>976838</v>
      </c>
      <c r="G12" s="681">
        <v>10</v>
      </c>
      <c r="H12" s="619">
        <v>486390</v>
      </c>
      <c r="I12" s="619">
        <v>111125</v>
      </c>
      <c r="J12" s="619">
        <v>138454</v>
      </c>
      <c r="K12" s="1442">
        <f>(H12+I12)-J12</f>
        <v>459061</v>
      </c>
      <c r="L12" s="1442">
        <f>F12-K12</f>
        <v>517777</v>
      </c>
    </row>
    <row r="13" spans="1:14" ht="14.25" thickTop="1" thickBot="1" x14ac:dyDescent="0.25">
      <c r="A13" s="684" t="s">
        <v>1114</v>
      </c>
      <c r="B13" s="679">
        <v>252</v>
      </c>
      <c r="C13" s="1771">
        <v>1565375</v>
      </c>
      <c r="D13" s="1771">
        <v>184534</v>
      </c>
      <c r="E13" s="1771"/>
      <c r="F13" s="1765">
        <f>(C13+D13)-E13</f>
        <v>1749909</v>
      </c>
      <c r="G13" s="681">
        <v>5</v>
      </c>
      <c r="H13" s="619">
        <v>1376103</v>
      </c>
      <c r="I13" s="619">
        <v>75096</v>
      </c>
      <c r="J13" s="619"/>
      <c r="K13" s="1442">
        <f>(H13+I13)-J13</f>
        <v>1451199</v>
      </c>
      <c r="L13" s="1442">
        <f>F13-K13</f>
        <v>298710</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23205</v>
      </c>
      <c r="D15" s="1771">
        <v>152944</v>
      </c>
      <c r="E15" s="1771">
        <v>23205</v>
      </c>
      <c r="F15" s="1765">
        <f>(C15+D15)-E15</f>
        <v>152944</v>
      </c>
      <c r="G15" s="685" t="s">
        <v>857</v>
      </c>
      <c r="H15" s="632"/>
      <c r="I15" s="632"/>
      <c r="J15" s="632"/>
      <c r="K15" s="632"/>
      <c r="L15" s="1442">
        <f>F15-K15</f>
        <v>152944</v>
      </c>
    </row>
    <row r="16" spans="1:14" ht="15" customHeight="1" thickTop="1" thickBot="1" x14ac:dyDescent="0.25">
      <c r="A16" s="1438" t="s">
        <v>638</v>
      </c>
      <c r="B16" s="1439">
        <v>200</v>
      </c>
      <c r="C16" s="1765">
        <f>SUM(C3,C5:C6,C8:C10,C12:C15)</f>
        <v>11826608</v>
      </c>
      <c r="D16" s="1765">
        <f>SUM(D3,D5:D6,D8:D10,D12:D15)</f>
        <v>1753967</v>
      </c>
      <c r="E16" s="1765">
        <f>SUM(E3,E5:E6,E8:E10,E12:E15)</f>
        <v>161659</v>
      </c>
      <c r="F16" s="1765">
        <f>SUM(F3,F5:F6,F8:F10,F12:F15)</f>
        <v>13418916</v>
      </c>
      <c r="G16" s="681"/>
      <c r="H16" s="1435">
        <f>SUM(H3,H6,H8:H10,H12:H14,)</f>
        <v>6697076</v>
      </c>
      <c r="I16" s="1435">
        <f>SUM(I3,I6,I8:I10,I12:I14,)</f>
        <v>383876</v>
      </c>
      <c r="J16" s="1435">
        <f>SUM(J3,J6,J8:J10,J12:J14,)</f>
        <v>138454</v>
      </c>
      <c r="K16" s="1435">
        <f>(H16+I16)-J16</f>
        <v>6942498</v>
      </c>
      <c r="L16" s="1435">
        <f>F16-K16</f>
        <v>6476418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383876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33" activePane="bottomLeft" state="frozen"/>
      <selection activeCell="A47" sqref="A4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0" t="str">
        <f>"ESTIMATED OPERATING EXPENSE PER PUPIL (OEPP)/PER CAPITA TUITION CHARGE (PCTC) COMPUTATIONS ("&amp;'AFR20'!E2-1&amp;" - "&amp;'AFR20'!E2&amp;")"</f>
        <v>ESTIMATED OPERATING EXPENSE PER PUPIL (OEPP)/PER CAPITA TUITION CHARGE (PCTC) COMPUTATIONS (2019 - 2020)</v>
      </c>
      <c r="B1" s="2371"/>
      <c r="C1" s="2371"/>
      <c r="D1" s="2371"/>
      <c r="E1" s="2371"/>
      <c r="F1" s="2372"/>
      <c r="G1" s="691"/>
      <c r="I1" s="701"/>
    </row>
    <row r="2" spans="1:9" ht="15" customHeight="1" thickBot="1" x14ac:dyDescent="0.25">
      <c r="A2" s="2373" t="s">
        <v>474</v>
      </c>
      <c r="B2" s="2374"/>
      <c r="C2" s="2374"/>
      <c r="D2" s="2374"/>
      <c r="E2" s="2374"/>
      <c r="F2" s="2375"/>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6"/>
      <c r="B5" s="2377"/>
      <c r="C5" s="2377"/>
      <c r="D5" s="2377"/>
      <c r="E5" s="2377"/>
      <c r="F5" s="2377"/>
    </row>
    <row r="6" spans="1:9" ht="13.5" customHeight="1" thickBot="1" x14ac:dyDescent="0.25">
      <c r="A6" s="2367" t="s">
        <v>1097</v>
      </c>
      <c r="B6" s="2368"/>
      <c r="C6" s="2368"/>
      <c r="D6" s="2368"/>
      <c r="E6" s="2368"/>
      <c r="F6" s="2369"/>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7298505</v>
      </c>
      <c r="G8" s="701"/>
    </row>
    <row r="9" spans="1:9" x14ac:dyDescent="0.2">
      <c r="A9" s="705" t="s">
        <v>457</v>
      </c>
      <c r="B9" s="706" t="s">
        <v>1849</v>
      </c>
      <c r="C9" s="707"/>
      <c r="D9" s="705" t="s">
        <v>498</v>
      </c>
      <c r="E9" s="704"/>
      <c r="F9" s="1775">
        <f>'Expenditures 15-22'!K151</f>
        <v>395449</v>
      </c>
      <c r="G9" s="708"/>
    </row>
    <row r="10" spans="1:9" x14ac:dyDescent="0.2">
      <c r="A10" s="705" t="s">
        <v>496</v>
      </c>
      <c r="B10" s="706" t="s">
        <v>1850</v>
      </c>
      <c r="C10" s="707"/>
      <c r="D10" s="705" t="s">
        <v>498</v>
      </c>
      <c r="E10" s="704"/>
      <c r="F10" s="1775">
        <f>'Expenditures 15-22'!K174</f>
        <v>862666</v>
      </c>
      <c r="G10" s="708"/>
    </row>
    <row r="11" spans="1:9" x14ac:dyDescent="0.2">
      <c r="A11" s="705" t="s">
        <v>458</v>
      </c>
      <c r="B11" s="706" t="s">
        <v>1851</v>
      </c>
      <c r="C11" s="707"/>
      <c r="D11" s="705" t="s">
        <v>498</v>
      </c>
      <c r="E11" s="704"/>
      <c r="F11" s="1775">
        <f>'Expenditures 15-22'!K210</f>
        <v>810414</v>
      </c>
      <c r="G11" s="708"/>
    </row>
    <row r="12" spans="1:9" x14ac:dyDescent="0.2">
      <c r="A12" s="705" t="s">
        <v>459</v>
      </c>
      <c r="B12" s="706" t="s">
        <v>1852</v>
      </c>
      <c r="C12" s="707"/>
      <c r="D12" s="705" t="s">
        <v>498</v>
      </c>
      <c r="E12" s="704"/>
      <c r="F12" s="1775">
        <f>'Expenditures 15-22'!K295</f>
        <v>322288</v>
      </c>
      <c r="G12" s="708"/>
    </row>
    <row r="13" spans="1:9" x14ac:dyDescent="0.2">
      <c r="A13" s="705" t="s">
        <v>106</v>
      </c>
      <c r="B13" s="706" t="s">
        <v>1853</v>
      </c>
      <c r="C13" s="707"/>
      <c r="D13" s="705" t="s">
        <v>498</v>
      </c>
      <c r="E13" s="704"/>
      <c r="F13" s="1775">
        <f>'Expenditures 15-22'!K342</f>
        <v>562174</v>
      </c>
      <c r="G13" s="709"/>
    </row>
    <row r="14" spans="1:9" ht="12" customHeight="1" thickBot="1" x14ac:dyDescent="0.25">
      <c r="A14" s="1443"/>
      <c r="B14" s="1444"/>
      <c r="C14" s="1445"/>
      <c r="D14" s="1446" t="s">
        <v>498</v>
      </c>
      <c r="E14" s="1447" t="s">
        <v>952</v>
      </c>
      <c r="F14" s="1776">
        <f>SUM(F8:F13)</f>
        <v>10251496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1907</v>
      </c>
      <c r="C30" s="716">
        <f>'Revenues 9-14'!B150</f>
        <v>3499</v>
      </c>
      <c r="D30" s="717" t="str">
        <f>'Revenues 9-14'!A150</f>
        <v>Adult Ed - Other (Describe &amp; Itemize)</v>
      </c>
      <c r="E30" s="704"/>
      <c r="F30" s="1783">
        <f>('Revenues 9-14'!D150+'Revenues 9-14'!F150)</f>
        <v>0</v>
      </c>
      <c r="G30" s="701"/>
    </row>
    <row r="31" spans="1:7" x14ac:dyDescent="0.2">
      <c r="A31" s="705" t="s">
        <v>1090</v>
      </c>
      <c r="B31" s="706" t="s">
        <v>1908</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1909</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1910</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1558</v>
      </c>
      <c r="G52" s="701"/>
    </row>
    <row r="53" spans="1:7" x14ac:dyDescent="0.2">
      <c r="A53" s="705" t="s">
        <v>456</v>
      </c>
      <c r="B53" s="705" t="s">
        <v>1461</v>
      </c>
      <c r="C53" s="724">
        <f>'Expenditures 15-22'!B102</f>
        <v>4000</v>
      </c>
      <c r="D53" s="723" t="str">
        <f>'Expenditures 15-22'!A102</f>
        <v>Total Payments to Other Govt Units</v>
      </c>
      <c r="E53" s="704"/>
      <c r="F53" s="1782">
        <f>'Expenditures 15-22'!K102</f>
        <v>563242</v>
      </c>
      <c r="G53" s="701"/>
    </row>
    <row r="54" spans="1:7" x14ac:dyDescent="0.2">
      <c r="A54" s="705" t="s">
        <v>456</v>
      </c>
      <c r="B54" s="705" t="s">
        <v>1462</v>
      </c>
      <c r="C54" s="724" t="s">
        <v>975</v>
      </c>
      <c r="D54" s="720" t="s">
        <v>1088</v>
      </c>
      <c r="E54" s="704"/>
      <c r="F54" s="1782">
        <f>'Expenditures 15-22'!G114</f>
        <v>228119</v>
      </c>
      <c r="G54" s="701"/>
    </row>
    <row r="55" spans="1:7" x14ac:dyDescent="0.2">
      <c r="A55" s="705" t="s">
        <v>456</v>
      </c>
      <c r="B55" s="705" t="s">
        <v>1463</v>
      </c>
      <c r="C55" s="724" t="s">
        <v>975</v>
      </c>
      <c r="D55" s="720" t="s">
        <v>288</v>
      </c>
      <c r="E55" s="704"/>
      <c r="F55" s="1782">
        <f>'Expenditures 15-22'!I114</f>
        <v>0</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1854</v>
      </c>
      <c r="C57" s="724">
        <f>'Expenditures 15-22'!B139</f>
        <v>4000</v>
      </c>
      <c r="D57" s="722" t="str">
        <f>'Expenditures 15-22'!A139</f>
        <v>Total Payments to Other Govt Units</v>
      </c>
      <c r="E57" s="704"/>
      <c r="F57" s="1782">
        <f>'Expenditures 15-22'!K139</f>
        <v>0</v>
      </c>
      <c r="G57" s="701"/>
    </row>
    <row r="58" spans="1:7" x14ac:dyDescent="0.2">
      <c r="A58" s="705" t="s">
        <v>457</v>
      </c>
      <c r="B58" s="705" t="s">
        <v>1855</v>
      </c>
      <c r="C58" s="721" t="s">
        <v>975</v>
      </c>
      <c r="D58" s="720" t="s">
        <v>1088</v>
      </c>
      <c r="E58" s="704"/>
      <c r="F58" s="1784">
        <f>'Expenditures 15-22'!G151</f>
        <v>42463</v>
      </c>
      <c r="G58" s="701"/>
    </row>
    <row r="59" spans="1:7" x14ac:dyDescent="0.2">
      <c r="A59" s="728" t="s">
        <v>457</v>
      </c>
      <c r="B59" s="692" t="s">
        <v>1856</v>
      </c>
      <c r="C59" s="729" t="s">
        <v>975</v>
      </c>
      <c r="D59" s="692" t="s">
        <v>288</v>
      </c>
      <c r="F59" s="1785">
        <f>'Expenditures 15-22'!I151</f>
        <v>0</v>
      </c>
      <c r="G59" s="701"/>
    </row>
    <row r="60" spans="1:7" x14ac:dyDescent="0.2">
      <c r="A60" s="728" t="s">
        <v>496</v>
      </c>
      <c r="B60" s="692" t="s">
        <v>1857</v>
      </c>
      <c r="C60" s="729">
        <v>4000</v>
      </c>
      <c r="D60" s="692" t="s">
        <v>309</v>
      </c>
      <c r="F60" s="1783">
        <f>'Expenditures 15-22'!K160</f>
        <v>0</v>
      </c>
      <c r="G60" s="701"/>
    </row>
    <row r="61" spans="1:7" x14ac:dyDescent="0.2">
      <c r="A61" s="730" t="s">
        <v>496</v>
      </c>
      <c r="B61" s="730" t="s">
        <v>1858</v>
      </c>
      <c r="C61" s="731" t="str">
        <f>'Expenditures 15-22'!B170</f>
        <v>5300</v>
      </c>
      <c r="D61" s="732" t="s">
        <v>308</v>
      </c>
      <c r="E61" s="715"/>
      <c r="F61" s="1782">
        <f>'Expenditures 15-22'!K170</f>
        <v>692300</v>
      </c>
      <c r="G61" s="701"/>
    </row>
    <row r="62" spans="1:7" x14ac:dyDescent="0.2">
      <c r="A62" s="705" t="s">
        <v>458</v>
      </c>
      <c r="B62" s="705" t="s">
        <v>1859</v>
      </c>
      <c r="C62" s="721">
        <f>'Expenditures 15-22'!B185</f>
        <v>3000</v>
      </c>
      <c r="D62" s="712" t="s">
        <v>446</v>
      </c>
      <c r="E62" s="704"/>
      <c r="F62" s="1782">
        <f>'Expenditures 15-22'!K185-SUM('Expenditures 15-22'!G185,'Expenditures 15-22'!I185)</f>
        <v>0</v>
      </c>
      <c r="G62" s="701"/>
    </row>
    <row r="63" spans="1:7" x14ac:dyDescent="0.2">
      <c r="A63" s="705" t="s">
        <v>458</v>
      </c>
      <c r="B63" s="705" t="s">
        <v>1860</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1861</v>
      </c>
      <c r="C64" s="731" t="str">
        <f>'Expenditures 15-22'!B206</f>
        <v>5300</v>
      </c>
      <c r="D64" s="727" t="s">
        <v>308</v>
      </c>
      <c r="E64" s="704"/>
      <c r="F64" s="1782">
        <f>'Expenditures 15-22'!K206</f>
        <v>0</v>
      </c>
      <c r="G64" s="701"/>
    </row>
    <row r="65" spans="1:9" x14ac:dyDescent="0.2">
      <c r="A65" s="705" t="s">
        <v>458</v>
      </c>
      <c r="B65" s="705" t="s">
        <v>1862</v>
      </c>
      <c r="C65" s="721" t="s">
        <v>975</v>
      </c>
      <c r="D65" s="720" t="s">
        <v>1088</v>
      </c>
      <c r="E65" s="704"/>
      <c r="F65" s="1782">
        <f>'Expenditures 15-22'!G210</f>
        <v>184535</v>
      </c>
      <c r="G65" s="701"/>
    </row>
    <row r="66" spans="1:9" x14ac:dyDescent="0.2">
      <c r="A66" s="705" t="s">
        <v>458</v>
      </c>
      <c r="B66" s="705" t="s">
        <v>1863</v>
      </c>
      <c r="C66" s="721" t="s">
        <v>975</v>
      </c>
      <c r="D66" s="720" t="s">
        <v>288</v>
      </c>
      <c r="E66" s="704"/>
      <c r="F66" s="1782">
        <f>'Expenditures 15-22'!I210</f>
        <v>0</v>
      </c>
      <c r="G66" s="701"/>
    </row>
    <row r="67" spans="1:9" x14ac:dyDescent="0.2">
      <c r="A67" s="705" t="s">
        <v>459</v>
      </c>
      <c r="B67" s="705" t="s">
        <v>1864</v>
      </c>
      <c r="C67" s="721" t="str">
        <f>'Expenditures 15-22'!B216</f>
        <v>1125</v>
      </c>
      <c r="D67" s="727" t="str">
        <f>'Expenditures 15-22'!A216</f>
        <v>Pre-K Programs</v>
      </c>
      <c r="E67" s="704"/>
      <c r="F67" s="1782">
        <f>'Expenditures 15-22'!K216</f>
        <v>0</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1865</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1866</v>
      </c>
      <c r="C70" s="721">
        <f>'Expenditures 15-22'!B221</f>
        <v>1300</v>
      </c>
      <c r="D70" s="722" t="str">
        <f>'Expenditures 15-22'!A221</f>
        <v>Adult/Continuing Education Programs</v>
      </c>
      <c r="E70" s="704"/>
      <c r="F70" s="1782">
        <f>'Expenditures 15-22'!K221</f>
        <v>0</v>
      </c>
      <c r="G70" s="701"/>
    </row>
    <row r="71" spans="1:9" x14ac:dyDescent="0.2">
      <c r="A71" s="705" t="s">
        <v>459</v>
      </c>
      <c r="B71" s="705" t="s">
        <v>1867</v>
      </c>
      <c r="C71" s="721">
        <f>'Expenditures 15-22'!B224</f>
        <v>1600</v>
      </c>
      <c r="D71" s="722" t="str">
        <f>'Expenditures 15-22'!A224</f>
        <v>Summer School Programs</v>
      </c>
      <c r="E71" s="704"/>
      <c r="F71" s="1782">
        <f>'Expenditures 15-22'!K224</f>
        <v>0</v>
      </c>
      <c r="G71" s="701"/>
    </row>
    <row r="72" spans="1:9" x14ac:dyDescent="0.2">
      <c r="A72" s="705" t="s">
        <v>459</v>
      </c>
      <c r="B72" s="705" t="s">
        <v>1868</v>
      </c>
      <c r="C72" s="721">
        <f>'Expenditures 15-22'!B280</f>
        <v>3000</v>
      </c>
      <c r="D72" s="712" t="s">
        <v>446</v>
      </c>
      <c r="E72" s="704"/>
      <c r="F72" s="1782">
        <f>'Expenditures 15-22'!K280</f>
        <v>109</v>
      </c>
      <c r="G72" s="701"/>
    </row>
    <row r="73" spans="1:9" x14ac:dyDescent="0.2">
      <c r="A73" s="705" t="s">
        <v>459</v>
      </c>
      <c r="B73" s="705" t="s">
        <v>1869</v>
      </c>
      <c r="C73" s="721" t="str">
        <f>'Expenditures 15-22'!B285</f>
        <v>4000</v>
      </c>
      <c r="D73" s="722" t="str">
        <f>'Expenditures 15-22'!A285</f>
        <v>Total Payments to Other Govt Units</v>
      </c>
      <c r="E73" s="704"/>
      <c r="F73" s="1782">
        <f>'Expenditures 15-22'!K285</f>
        <v>0</v>
      </c>
      <c r="G73" s="701"/>
    </row>
    <row r="74" spans="1:9" x14ac:dyDescent="0.2">
      <c r="A74" s="705" t="s">
        <v>433</v>
      </c>
      <c r="B74" s="705" t="s">
        <v>1870</v>
      </c>
      <c r="C74" s="721" t="s">
        <v>855</v>
      </c>
      <c r="D74" s="722" t="s">
        <v>1473</v>
      </c>
      <c r="E74" s="704"/>
      <c r="F74" s="1786">
        <f>'Expenditures 15-22'!K334</f>
        <v>0</v>
      </c>
      <c r="G74" s="701"/>
    </row>
    <row r="75" spans="1:9" x14ac:dyDescent="0.2">
      <c r="A75" s="705" t="s">
        <v>2009</v>
      </c>
      <c r="B75" s="705" t="s">
        <v>2010</v>
      </c>
      <c r="C75" s="721" t="s">
        <v>975</v>
      </c>
      <c r="D75" s="722" t="s">
        <v>1088</v>
      </c>
      <c r="E75" s="704"/>
      <c r="F75" s="1786">
        <f>'Expenditures 15-22'!G342</f>
        <v>5849</v>
      </c>
      <c r="G75" s="701"/>
    </row>
    <row r="76" spans="1:9" ht="10.5" customHeight="1" x14ac:dyDescent="0.2">
      <c r="A76" s="701" t="s">
        <v>433</v>
      </c>
      <c r="B76" s="705" t="s">
        <v>2011</v>
      </c>
      <c r="C76" s="711" t="s">
        <v>975</v>
      </c>
      <c r="D76" s="701" t="s">
        <v>288</v>
      </c>
      <c r="E76" s="704"/>
      <c r="F76" s="1786">
        <f>'Expenditures 15-22'!I342</f>
        <v>0</v>
      </c>
      <c r="G76" s="703"/>
    </row>
    <row r="77" spans="1:9" ht="12" thickBot="1" x14ac:dyDescent="0.25">
      <c r="A77" s="1443"/>
      <c r="B77" s="1448"/>
      <c r="C77" s="1445"/>
      <c r="D77" s="1449" t="s">
        <v>2012</v>
      </c>
      <c r="E77" s="1447" t="s">
        <v>952</v>
      </c>
      <c r="F77" s="1787">
        <f>SUM(F18:F76)</f>
        <v>1718175</v>
      </c>
      <c r="G77" s="701"/>
    </row>
    <row r="78" spans="1:9" s="728" customFormat="1" ht="12" customHeight="1" thickTop="1" thickBot="1" x14ac:dyDescent="0.25">
      <c r="A78" s="1450"/>
      <c r="B78" s="1448"/>
      <c r="C78" s="1445"/>
      <c r="D78" s="1449" t="s">
        <v>2013</v>
      </c>
      <c r="E78" s="1447"/>
      <c r="F78" s="1788">
        <f>(F14-F77)</f>
        <v>8533321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816.6</v>
      </c>
      <c r="G79" s="733"/>
      <c r="H79" s="705"/>
      <c r="I79" s="705"/>
    </row>
    <row r="80" spans="1:9" s="728" customFormat="1" ht="12" customHeight="1" thickBot="1" x14ac:dyDescent="0.25">
      <c r="A80" s="1452"/>
      <c r="B80" s="1448"/>
      <c r="C80" s="1445"/>
      <c r="D80" s="1449" t="s">
        <v>2014</v>
      </c>
      <c r="E80" s="1447" t="s">
        <v>952</v>
      </c>
      <c r="F80" s="1790">
        <f>IF(F79&gt;0,F78/F79," Complete Line 79")</f>
        <v>10449.817536125398</v>
      </c>
      <c r="G80" s="705"/>
    </row>
    <row r="81" spans="1:7" s="728" customFormat="1" ht="8.25" customHeight="1" thickTop="1" x14ac:dyDescent="0.2">
      <c r="A81" s="734"/>
      <c r="B81" s="705"/>
      <c r="C81" s="707"/>
      <c r="D81" s="735"/>
      <c r="E81" s="704"/>
      <c r="F81" s="1791"/>
      <c r="G81" s="705"/>
    </row>
    <row r="82" spans="1:7" s="728" customFormat="1" ht="12" thickBot="1" x14ac:dyDescent="0.25">
      <c r="A82" s="2367" t="s">
        <v>1098</v>
      </c>
      <c r="B82" s="2368"/>
      <c r="C82" s="2368"/>
      <c r="D82" s="2368"/>
      <c r="E82" s="2368"/>
      <c r="F82" s="236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13055</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592</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56593</v>
      </c>
      <c r="G95" s="745"/>
    </row>
    <row r="96" spans="1:7" x14ac:dyDescent="0.2">
      <c r="A96" s="741" t="s">
        <v>139</v>
      </c>
      <c r="B96" s="741" t="s">
        <v>174</v>
      </c>
      <c r="C96" s="743">
        <v>1700</v>
      </c>
      <c r="D96" s="751" t="str">
        <f>'Revenues 9-14'!A82</f>
        <v>Total District/School Activity Income</v>
      </c>
      <c r="E96" s="739"/>
      <c r="F96" s="1793">
        <f>SUM('Revenues 9-14'!C82,'Revenues 9-14'!D82)</f>
        <v>82197</v>
      </c>
      <c r="G96" s="745"/>
    </row>
    <row r="97" spans="1:7" x14ac:dyDescent="0.2">
      <c r="A97" s="741" t="s">
        <v>456</v>
      </c>
      <c r="B97" s="741" t="s">
        <v>175</v>
      </c>
      <c r="C97" s="743">
        <f>'Revenues 9-14'!B84</f>
        <v>1811</v>
      </c>
      <c r="D97" s="744" t="str">
        <f>'Revenues 9-14'!A84</f>
        <v>Rentals - Regular Textbooks</v>
      </c>
      <c r="E97" s="739"/>
      <c r="F97" s="1793">
        <f>'Revenues 9-14'!C84</f>
        <v>26322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145</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335</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1911</v>
      </c>
      <c r="C106" s="746">
        <v>3100</v>
      </c>
      <c r="D106" s="752" t="str">
        <f>'Revenues 9-14'!A132</f>
        <v>Total Special Education</v>
      </c>
      <c r="E106" s="739"/>
      <c r="F106" s="1793">
        <f>SUM('Revenues 9-14'!C132:D132,'Revenues 9-14'!F132)</f>
        <v>37440</v>
      </c>
      <c r="G106" s="745"/>
    </row>
    <row r="107" spans="1:7" x14ac:dyDescent="0.2">
      <c r="A107" s="741" t="s">
        <v>668</v>
      </c>
      <c r="B107" s="741" t="s">
        <v>1912</v>
      </c>
      <c r="C107" s="753">
        <v>3200</v>
      </c>
      <c r="D107" s="744" t="str">
        <f>'Revenues 9-14'!A141</f>
        <v>Total Career and Technical Education</v>
      </c>
      <c r="E107" s="739"/>
      <c r="F107" s="1793">
        <f>SUM('Revenues 9-14'!C141,'Revenues 9-14'!D141,'Revenues 9-14'!G141)</f>
        <v>7234</v>
      </c>
      <c r="G107" s="745"/>
    </row>
    <row r="108" spans="1:7" x14ac:dyDescent="0.2">
      <c r="A108" s="754" t="s">
        <v>659</v>
      </c>
      <c r="B108" s="741" t="s">
        <v>1913</v>
      </c>
      <c r="C108" s="753">
        <v>3300</v>
      </c>
      <c r="D108" s="744" t="str">
        <f>'Revenues 9-14'!A145</f>
        <v>Total Bilingual Ed</v>
      </c>
      <c r="E108" s="739"/>
      <c r="F108" s="1793">
        <f>SUM('Revenues 9-14'!C145,'Revenues 9-14'!G145)</f>
        <v>0</v>
      </c>
      <c r="G108" s="745"/>
    </row>
    <row r="109" spans="1:7" x14ac:dyDescent="0.2">
      <c r="A109" s="741" t="s">
        <v>456</v>
      </c>
      <c r="B109" s="741" t="s">
        <v>1914</v>
      </c>
      <c r="C109" s="753">
        <f>'Revenues 9-14'!B146</f>
        <v>3360</v>
      </c>
      <c r="D109" s="744" t="str">
        <f>'Revenues 9-14'!A146</f>
        <v>State Free Lunch &amp; Breakfast</v>
      </c>
      <c r="E109" s="739"/>
      <c r="F109" s="1793">
        <f>'Revenues 9-14'!C146</f>
        <v>3113</v>
      </c>
      <c r="G109" s="745"/>
    </row>
    <row r="110" spans="1:7" x14ac:dyDescent="0.2">
      <c r="A110" s="741" t="s">
        <v>668</v>
      </c>
      <c r="B110" s="741" t="s">
        <v>1915</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793">
        <f>SUM('Revenues 9-14'!C148,'Revenues 9-14'!D148)</f>
        <v>8992</v>
      </c>
      <c r="G111" s="745"/>
    </row>
    <row r="112" spans="1:7" x14ac:dyDescent="0.2">
      <c r="A112" s="741" t="s">
        <v>663</v>
      </c>
      <c r="B112" s="741" t="s">
        <v>1917</v>
      </c>
      <c r="C112" s="755">
        <v>3500</v>
      </c>
      <c r="D112" s="744" t="str">
        <f>'Revenues 9-14'!A155</f>
        <v>Total Transportation</v>
      </c>
      <c r="E112" s="739"/>
      <c r="F112" s="1793">
        <f>SUM('Revenues 9-14'!C155,'Revenues 9-14'!D155,'Revenues 9-14'!F155,'Revenues 9-14'!G155)</f>
        <v>629228</v>
      </c>
      <c r="G112" s="745"/>
    </row>
    <row r="113" spans="1:7" x14ac:dyDescent="0.2">
      <c r="A113" s="741" t="s">
        <v>456</v>
      </c>
      <c r="B113" s="741" t="s">
        <v>1918</v>
      </c>
      <c r="C113" s="753">
        <f>'Revenues 9-14'!B156</f>
        <v>3610</v>
      </c>
      <c r="D113" s="744" t="str">
        <f>'Revenues 9-14'!A156</f>
        <v>Learning Improvement - Change Grants</v>
      </c>
      <c r="E113" s="739"/>
      <c r="F113" s="1793">
        <f>'Revenues 9-14'!C156</f>
        <v>0</v>
      </c>
      <c r="G113" s="745"/>
    </row>
    <row r="114" spans="1:7" x14ac:dyDescent="0.2">
      <c r="A114" s="741" t="s">
        <v>663</v>
      </c>
      <c r="B114" s="741" t="s">
        <v>1919</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1921</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1922</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1923</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1924</v>
      </c>
      <c r="C119" s="757">
        <f>'Revenues 9-14'!B163</f>
        <v>3780</v>
      </c>
      <c r="D119" s="758" t="str">
        <f>'Revenues 9-14'!A163</f>
        <v>Technology - Technology for Success</v>
      </c>
      <c r="E119" s="739"/>
      <c r="F119" s="1792">
        <f>SUM('Revenues 9-14'!C163:G163)</f>
        <v>0</v>
      </c>
      <c r="G119" s="745"/>
    </row>
    <row r="120" spans="1:7" x14ac:dyDescent="0.2">
      <c r="A120" s="756" t="s">
        <v>501</v>
      </c>
      <c r="B120" s="756" t="s">
        <v>1925</v>
      </c>
      <c r="C120" s="757">
        <f>'Revenues 9-14'!B164</f>
        <v>3815</v>
      </c>
      <c r="D120" s="758" t="str">
        <f>'Revenues 9-14'!A164</f>
        <v>State Charter Schools</v>
      </c>
      <c r="E120" s="739"/>
      <c r="F120" s="1792">
        <f>SUM('Revenues 9-14'!C164,'Revenues 9-14'!F164)</f>
        <v>0</v>
      </c>
      <c r="G120" s="745"/>
    </row>
    <row r="121" spans="1:7" x14ac:dyDescent="0.2">
      <c r="A121" s="760" t="s">
        <v>457</v>
      </c>
      <c r="B121" s="760" t="s">
        <v>1926</v>
      </c>
      <c r="C121" s="761">
        <f>'Revenues 9-14'!B167</f>
        <v>3925</v>
      </c>
      <c r="D121" s="762" t="str">
        <f>'Revenues 9-14'!A167</f>
        <v>School Infrastructure - Maintenance Projects</v>
      </c>
      <c r="E121" s="739"/>
      <c r="F121" s="1793">
        <f>'Revenues 9-14'!D167</f>
        <v>0</v>
      </c>
      <c r="G121" s="763"/>
    </row>
    <row r="122" spans="1:7" x14ac:dyDescent="0.2">
      <c r="A122" s="760" t="s">
        <v>497</v>
      </c>
      <c r="B122" s="760" t="s">
        <v>1927</v>
      </c>
      <c r="C122" s="761">
        <f>'Revenues 9-14'!B168</f>
        <v>3999</v>
      </c>
      <c r="D122" s="762" t="s">
        <v>540</v>
      </c>
      <c r="E122" s="764"/>
      <c r="F122" s="1793">
        <f>SUM('Revenues 9-14'!C168:G168,'Revenues 9-14'!J168)</f>
        <v>1793</v>
      </c>
      <c r="G122" s="763"/>
    </row>
    <row r="123" spans="1:7" x14ac:dyDescent="0.2">
      <c r="A123" s="760" t="s">
        <v>456</v>
      </c>
      <c r="B123" s="760" t="s">
        <v>1928</v>
      </c>
      <c r="C123" s="765">
        <f>'Revenues 9-14'!B177</f>
        <v>4045</v>
      </c>
      <c r="D123" s="762" t="str">
        <f>'Revenues 9-14'!A177 &amp; " (Subtract)"</f>
        <v>Head Start (Subtract)</v>
      </c>
      <c r="E123" s="739"/>
      <c r="F123" s="1793">
        <f>SUM(-'Revenues 9-14'!C177)</f>
        <v>0</v>
      </c>
      <c r="G123" s="763"/>
    </row>
    <row r="124" spans="1:7" x14ac:dyDescent="0.2">
      <c r="A124" s="760" t="s">
        <v>663</v>
      </c>
      <c r="B124" s="760" t="s">
        <v>1929</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1930</v>
      </c>
      <c r="C125" s="765">
        <v>4100</v>
      </c>
      <c r="D125" s="766" t="str">
        <f>'Revenues 9-14'!A188</f>
        <v>Total Title V</v>
      </c>
      <c r="E125" s="739"/>
      <c r="F125" s="1793">
        <f>SUM('Revenues 9-14'!C188,'Revenues 9-14'!D188,'Revenues 9-14'!F188,'Revenues 9-14'!G188)</f>
        <v>0</v>
      </c>
      <c r="G125" s="763"/>
    </row>
    <row r="126" spans="1:7" x14ac:dyDescent="0.2">
      <c r="A126" s="760" t="s">
        <v>659</v>
      </c>
      <c r="B126" s="760" t="s">
        <v>1931</v>
      </c>
      <c r="C126" s="765">
        <v>4200</v>
      </c>
      <c r="D126" s="762" t="str">
        <f>'Revenues 9-14'!A198</f>
        <v>Total Food Service</v>
      </c>
      <c r="E126" s="739"/>
      <c r="F126" s="1793">
        <f>SUM('Revenues 9-14'!C198,'Revenues 9-14'!G198)</f>
        <v>206632</v>
      </c>
      <c r="G126" s="763"/>
    </row>
    <row r="127" spans="1:7" x14ac:dyDescent="0.2">
      <c r="A127" s="760" t="s">
        <v>663</v>
      </c>
      <c r="B127" s="760" t="s">
        <v>1932</v>
      </c>
      <c r="C127" s="765">
        <v>4300</v>
      </c>
      <c r="D127" s="766" t="str">
        <f>'Revenues 9-14'!A204</f>
        <v>Total Title I</v>
      </c>
      <c r="E127" s="739"/>
      <c r="F127" s="1793">
        <f>SUM('Revenues 9-14'!C204,'Revenues 9-14'!D204,'Revenues 9-14'!F204,'Revenues 9-14'!G204)</f>
        <v>385452</v>
      </c>
      <c r="G127" s="763"/>
    </row>
    <row r="128" spans="1:7" x14ac:dyDescent="0.2">
      <c r="A128" s="760" t="s">
        <v>663</v>
      </c>
      <c r="B128" s="760" t="s">
        <v>1933</v>
      </c>
      <c r="C128" s="765">
        <v>4400</v>
      </c>
      <c r="D128" s="766" t="str">
        <f>'Revenues 9-14'!A209</f>
        <v>Total Title IV</v>
      </c>
      <c r="E128" s="739"/>
      <c r="F128" s="1793">
        <f>SUM('Revenues 9-14'!C209,'Revenues 9-14'!D209,'Revenues 9-14'!F209,'Revenues 9-14'!G209)</f>
        <v>15421</v>
      </c>
      <c r="G128" s="763"/>
    </row>
    <row r="129" spans="1:7" x14ac:dyDescent="0.2">
      <c r="A129" s="760" t="s">
        <v>663</v>
      </c>
      <c r="B129" s="760" t="s">
        <v>1934</v>
      </c>
      <c r="C129" s="765">
        <f>'Revenues 9-14'!B213</f>
        <v>4620</v>
      </c>
      <c r="D129" s="766" t="str">
        <f>'Revenues 9-14'!A213</f>
        <v>Fed - Spec Education - IDEA - Flow Through</v>
      </c>
      <c r="E129" s="739"/>
      <c r="F129" s="1793">
        <f>SUM('Revenues 9-14'!C213:D213,'Revenues 9-14'!F213:G213)</f>
        <v>165246</v>
      </c>
      <c r="G129" s="763"/>
    </row>
    <row r="130" spans="1:7" x14ac:dyDescent="0.2">
      <c r="A130" s="760" t="s">
        <v>663</v>
      </c>
      <c r="B130" s="760" t="s">
        <v>1935</v>
      </c>
      <c r="C130" s="765">
        <f>'Revenues 9-14'!B214</f>
        <v>4625</v>
      </c>
      <c r="D130" s="766" t="str">
        <f>'Revenues 9-14'!A214</f>
        <v>Fed - Spec Education - IDEA - Room &amp; Board</v>
      </c>
      <c r="E130" s="739"/>
      <c r="F130" s="1793">
        <f>SUM('Revenues 9-14'!C214,'Revenues 9-14'!D214,'Revenues 9-14'!F214,'Revenues 9-14'!G214)</f>
        <v>11167</v>
      </c>
      <c r="G130" s="763"/>
    </row>
    <row r="131" spans="1:7" x14ac:dyDescent="0.2">
      <c r="A131" s="760" t="s">
        <v>663</v>
      </c>
      <c r="B131" s="760" t="s">
        <v>1936</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1937</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793">
        <v>0</v>
      </c>
      <c r="G139" s="738"/>
    </row>
    <row r="140" spans="1:7" s="703" customFormat="1" hidden="1" x14ac:dyDescent="0.2">
      <c r="A140" s="767" t="s">
        <v>204</v>
      </c>
      <c r="B140" s="767" t="s">
        <v>1944</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1947</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1952</v>
      </c>
      <c r="C158" s="773" t="s">
        <v>836</v>
      </c>
      <c r="D158" s="774" t="s">
        <v>772</v>
      </c>
      <c r="E158" s="775"/>
      <c r="F158" s="1793">
        <f>SUM(F134:F157)</f>
        <v>0</v>
      </c>
      <c r="G158" s="738"/>
    </row>
    <row r="159" spans="1:7" s="703" customFormat="1" x14ac:dyDescent="0.2">
      <c r="A159" s="771" t="s">
        <v>456</v>
      </c>
      <c r="B159" s="772" t="s">
        <v>1953</v>
      </c>
      <c r="C159" s="773" t="s">
        <v>1413</v>
      </c>
      <c r="D159" s="774" t="s">
        <v>1414</v>
      </c>
      <c r="E159" s="775"/>
      <c r="F159" s="1793">
        <f>SUM('Revenues 9-14'!C253)</f>
        <v>0</v>
      </c>
      <c r="G159" s="738"/>
    </row>
    <row r="160" spans="1:7" s="703" customFormat="1" x14ac:dyDescent="0.2">
      <c r="A160" s="771" t="s">
        <v>497</v>
      </c>
      <c r="B160" s="772" t="s">
        <v>1954</v>
      </c>
      <c r="C160" s="773" t="s">
        <v>1452</v>
      </c>
      <c r="D160" s="774" t="s">
        <v>1453</v>
      </c>
      <c r="E160" s="775"/>
      <c r="F160" s="179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793">
        <f>SUM('Revenues 9-14'!C256,'Revenues 9-14'!F256,'Revenues 9-14'!G256)</f>
        <v>1808</v>
      </c>
      <c r="G162" s="776"/>
    </row>
    <row r="163" spans="1:7" x14ac:dyDescent="0.2">
      <c r="A163" s="760" t="s">
        <v>663</v>
      </c>
      <c r="B163" s="760" t="s">
        <v>1957</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1958</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1959</v>
      </c>
      <c r="C165" s="765">
        <f>'Revenues 9-14'!B259</f>
        <v>4932</v>
      </c>
      <c r="D165" s="766" t="str">
        <f>'Revenues 9-14'!A259</f>
        <v>Title II - Teacher Quality</v>
      </c>
      <c r="E165" s="739"/>
      <c r="F165" s="1792">
        <f>SUM('Revenues 9-14'!C259,'Revenues 9-14'!D259,'Revenues 9-14'!F259,'Revenues 9-14'!G259)</f>
        <v>42224</v>
      </c>
      <c r="G165" s="763"/>
    </row>
    <row r="166" spans="1:7" x14ac:dyDescent="0.2">
      <c r="A166" s="760" t="s">
        <v>663</v>
      </c>
      <c r="B166" s="760" t="s">
        <v>1960</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1905</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1906</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1961</v>
      </c>
      <c r="C169" s="765">
        <f>'Revenues 9-14'!B263</f>
        <v>4991</v>
      </c>
      <c r="D169" s="766" t="str">
        <f>'Revenues 9-14'!A263</f>
        <v>Medicaid Matching Funds - Administrative Outreach</v>
      </c>
      <c r="E169" s="739"/>
      <c r="F169" s="1793">
        <f>SUM('Revenues 9-14'!C263:D263,'Revenues 9-14'!F263:G263)</f>
        <v>9869</v>
      </c>
      <c r="G169" s="780">
        <v>6320</v>
      </c>
    </row>
    <row r="170" spans="1:7" x14ac:dyDescent="0.2">
      <c r="A170" s="760" t="s">
        <v>663</v>
      </c>
      <c r="B170" s="760" t="s">
        <v>1962</v>
      </c>
      <c r="C170" s="765">
        <f>'Revenues 9-14'!B264</f>
        <v>4992</v>
      </c>
      <c r="D170" s="766" t="str">
        <f>'Revenues 9-14'!A264</f>
        <v>Medicaid Matching Funds - Fee-for-Service Program</v>
      </c>
      <c r="E170" s="739"/>
      <c r="F170" s="1793">
        <f>SUM('Revenues 9-14'!C264:D264,'Revenues 9-14'!F264:G264)</f>
        <v>56560</v>
      </c>
      <c r="G170" s="780"/>
    </row>
    <row r="171" spans="1:7" x14ac:dyDescent="0.2">
      <c r="A171" s="781" t="s">
        <v>663</v>
      </c>
      <c r="B171" s="777" t="s">
        <v>1963</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1886</v>
      </c>
      <c r="C172" s="1531">
        <v>3100</v>
      </c>
      <c r="D172" s="1532" t="s">
        <v>1888</v>
      </c>
      <c r="E172" s="739"/>
      <c r="F172" s="1794">
        <v>337391</v>
      </c>
      <c r="G172" s="760"/>
    </row>
    <row r="173" spans="1:7" x14ac:dyDescent="0.2">
      <c r="A173" s="1529" t="s">
        <v>659</v>
      </c>
      <c r="B173" s="1530" t="s">
        <v>1886</v>
      </c>
      <c r="C173" s="1531">
        <v>3300</v>
      </c>
      <c r="D173" s="1532" t="s">
        <v>1889</v>
      </c>
      <c r="E173" s="739"/>
      <c r="F173" s="1794">
        <v>8636</v>
      </c>
      <c r="G173" s="760"/>
    </row>
    <row r="174" spans="1:7" ht="6" customHeight="1" x14ac:dyDescent="0.2">
      <c r="A174" s="760"/>
      <c r="B174" s="760"/>
      <c r="C174" s="782"/>
      <c r="D174" s="760"/>
      <c r="E174" s="739"/>
      <c r="F174" s="1795"/>
      <c r="G174" s="780"/>
    </row>
    <row r="175" spans="1:7" x14ac:dyDescent="0.2">
      <c r="A175" s="1443"/>
      <c r="B175" s="1453"/>
      <c r="C175" s="1454"/>
      <c r="D175" s="1455" t="s">
        <v>2017</v>
      </c>
      <c r="E175" s="1456" t="s">
        <v>952</v>
      </c>
      <c r="F175" s="1796">
        <f>SUM(F85:F133,F158:F173)</f>
        <v>2107445</v>
      </c>
    </row>
    <row r="176" spans="1:7" ht="12" customHeight="1" x14ac:dyDescent="0.2">
      <c r="A176" s="1443"/>
      <c r="B176" s="1453"/>
      <c r="C176" s="1454"/>
      <c r="D176" s="1455" t="s">
        <v>2015</v>
      </c>
      <c r="E176" s="1456"/>
      <c r="F176" s="1793">
        <f>'PCTC-OEPP 27-28'!F78-F175</f>
        <v>6425876</v>
      </c>
    </row>
    <row r="177" spans="1:9" ht="12" customHeight="1" x14ac:dyDescent="0.2">
      <c r="A177" s="1443"/>
      <c r="B177" s="1453"/>
      <c r="C177" s="1454"/>
      <c r="D177" s="1455" t="s">
        <v>1795</v>
      </c>
      <c r="E177" s="1456"/>
      <c r="F177" s="1793">
        <f>'Cap Outlay Deprec 26'!I18</f>
        <v>383876</v>
      </c>
    </row>
    <row r="178" spans="1:9" ht="12" customHeight="1" x14ac:dyDescent="0.2">
      <c r="A178" s="1443"/>
      <c r="B178" s="1453"/>
      <c r="C178" s="1454"/>
      <c r="D178" s="1455" t="s">
        <v>2016</v>
      </c>
      <c r="E178" s="1456"/>
      <c r="F178" s="1793">
        <f>F176+F177</f>
        <v>6809752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816.6</v>
      </c>
      <c r="G179" s="763"/>
      <c r="I179" s="701"/>
    </row>
    <row r="180" spans="1:9" ht="12" customHeight="1" thickBot="1" x14ac:dyDescent="0.25">
      <c r="A180" s="1443"/>
      <c r="B180" s="1457"/>
      <c r="C180" s="1454"/>
      <c r="D180" s="1455" t="s">
        <v>2018</v>
      </c>
      <c r="E180" s="1456" t="s">
        <v>1531</v>
      </c>
      <c r="F180" s="1798">
        <f>F178/F179</f>
        <v>8339.1525838843991</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1891</v>
      </c>
      <c r="B186" s="153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67"/>
  <sheetViews>
    <sheetView showGridLines="0" topLeftCell="A37" zoomScaleNormal="100" workbookViewId="0"/>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1808</v>
      </c>
      <c r="B1" s="1860"/>
      <c r="C1" s="1861"/>
      <c r="D1" s="1861"/>
      <c r="E1" s="1861"/>
      <c r="F1" s="1861"/>
    </row>
    <row r="2" spans="1:6" x14ac:dyDescent="0.25">
      <c r="A2" s="1863"/>
      <c r="B2" s="1864"/>
      <c r="C2" s="1912" t="s">
        <v>2004</v>
      </c>
      <c r="D2" s="1863"/>
      <c r="E2" s="1863"/>
      <c r="F2" s="1863"/>
    </row>
    <row r="3" spans="1:6" ht="5.25" customHeight="1" x14ac:dyDescent="0.25">
      <c r="A3" s="1865"/>
      <c r="B3" s="1866"/>
      <c r="C3" s="1865"/>
      <c r="D3" s="1865"/>
      <c r="E3" s="1865"/>
      <c r="F3" s="1865"/>
    </row>
    <row r="4" spans="1:6" ht="18.75" customHeight="1" x14ac:dyDescent="0.25">
      <c r="A4" s="2381" t="s">
        <v>1796</v>
      </c>
      <c r="B4" s="2382"/>
      <c r="C4" s="2382"/>
      <c r="D4" s="2382"/>
      <c r="E4" s="2382"/>
      <c r="F4" s="2383"/>
    </row>
    <row r="5" spans="1:6" x14ac:dyDescent="0.25">
      <c r="A5" s="2384"/>
      <c r="B5" s="2385"/>
      <c r="C5" s="2385"/>
      <c r="D5" s="2385"/>
      <c r="E5" s="2385"/>
      <c r="F5" s="2386"/>
    </row>
    <row r="6" spans="1:6" ht="18.75" x14ac:dyDescent="0.25">
      <c r="A6" s="1867" t="s">
        <v>1797</v>
      </c>
      <c r="B6" s="1868"/>
      <c r="C6" s="1869"/>
      <c r="D6" s="1869"/>
      <c r="E6" s="1869"/>
      <c r="F6" s="1870"/>
    </row>
    <row r="7" spans="1:6" ht="47.25" customHeight="1" x14ac:dyDescent="0.25">
      <c r="A7" s="2387" t="s">
        <v>1986</v>
      </c>
      <c r="B7" s="2388"/>
      <c r="C7" s="2388"/>
      <c r="D7" s="2388"/>
      <c r="E7" s="2388"/>
      <c r="F7" s="2389"/>
    </row>
    <row r="8" spans="1:6" ht="20.25" customHeight="1" x14ac:dyDescent="0.25">
      <c r="A8" s="1901" t="s">
        <v>1988</v>
      </c>
      <c r="B8" s="1902"/>
      <c r="C8" s="1902"/>
      <c r="D8" s="1902"/>
      <c r="E8" s="1871"/>
      <c r="F8" s="1872"/>
    </row>
    <row r="9" spans="1:6" ht="18" customHeight="1" x14ac:dyDescent="0.25">
      <c r="A9" s="1873" t="s">
        <v>1985</v>
      </c>
      <c r="B9" s="1875"/>
      <c r="C9" s="1875"/>
      <c r="D9" s="1875"/>
      <c r="E9" s="1871"/>
      <c r="F9" s="1872"/>
    </row>
    <row r="10" spans="1:6" ht="15.75" customHeight="1" x14ac:dyDescent="0.25">
      <c r="A10" s="2390" t="s">
        <v>1982</v>
      </c>
      <c r="B10" s="2391"/>
      <c r="C10" s="2391"/>
      <c r="D10" s="2391"/>
      <c r="E10" s="2391"/>
      <c r="F10" s="2392"/>
    </row>
    <row r="11" spans="1:6" ht="33" customHeight="1" x14ac:dyDescent="0.25">
      <c r="A11" s="2387" t="s">
        <v>1987</v>
      </c>
      <c r="B11" s="2388"/>
      <c r="C11" s="2388"/>
      <c r="D11" s="2388"/>
      <c r="E11" s="2388"/>
      <c r="F11" s="2389"/>
    </row>
    <row r="12" spans="1:6" ht="15" customHeight="1" x14ac:dyDescent="0.25">
      <c r="A12" s="1873" t="s">
        <v>1983</v>
      </c>
      <c r="B12" s="1874"/>
      <c r="C12" s="1875"/>
      <c r="D12" s="1875"/>
      <c r="E12" s="1875"/>
      <c r="F12" s="1876"/>
    </row>
    <row r="13" spans="1:6" ht="17.25" customHeight="1" x14ac:dyDescent="0.25">
      <c r="A13" s="2387" t="s">
        <v>1984</v>
      </c>
      <c r="B13" s="2388"/>
      <c r="C13" s="2388"/>
      <c r="D13" s="2388"/>
      <c r="E13" s="2388"/>
      <c r="F13" s="2389"/>
    </row>
    <row r="14" spans="1:6" ht="15" customHeight="1" x14ac:dyDescent="0.25">
      <c r="A14" s="1873" t="s">
        <v>1801</v>
      </c>
      <c r="B14" s="1874"/>
      <c r="C14" s="1875"/>
      <c r="D14" s="1875"/>
      <c r="E14" s="1875"/>
      <c r="F14" s="1876"/>
    </row>
    <row r="15" spans="1:6" ht="32.25" customHeight="1" x14ac:dyDescent="0.25">
      <c r="A15" s="237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9"/>
      <c r="C15" s="2379"/>
      <c r="D15" s="2379"/>
      <c r="E15" s="2379"/>
      <c r="F15" s="2380"/>
    </row>
    <row r="16" spans="1:6" ht="61.5" customHeight="1" x14ac:dyDescent="0.25">
      <c r="A16" s="1877" t="s">
        <v>1802</v>
      </c>
      <c r="B16" s="1878" t="s">
        <v>1803</v>
      </c>
      <c r="C16" s="1877" t="s">
        <v>1804</v>
      </c>
      <c r="D16" s="1879" t="s">
        <v>1805</v>
      </c>
      <c r="E16" s="1879" t="s">
        <v>1806</v>
      </c>
      <c r="F16" s="1879" t="s">
        <v>1807</v>
      </c>
    </row>
    <row r="17" spans="1:7" x14ac:dyDescent="0.25">
      <c r="A17" s="1880" t="s">
        <v>1809</v>
      </c>
      <c r="B17" s="1906" t="s">
        <v>1800</v>
      </c>
      <c r="C17" s="1881" t="s">
        <v>1798</v>
      </c>
      <c r="D17" s="1882">
        <v>500000</v>
      </c>
      <c r="E17" s="1882" t="str">
        <f>IF(D17&lt;25000,D17,"25,000")</f>
        <v>25,000</v>
      </c>
      <c r="F17" s="1883">
        <f>IF(D17&gt;=25000,(D17-E17),"0")</f>
        <v>475000</v>
      </c>
    </row>
    <row r="18" spans="1:7" x14ac:dyDescent="0.25">
      <c r="A18" s="1921" t="s">
        <v>2059</v>
      </c>
      <c r="B18" s="1907">
        <v>101000300</v>
      </c>
      <c r="C18" s="1922" t="s">
        <v>2066</v>
      </c>
      <c r="D18" s="1885">
        <v>12200</v>
      </c>
      <c r="E18" s="1905">
        <f t="shared" ref="E18:E65" si="0">IF(D18&lt;25000,D18,"25,000")</f>
        <v>12200</v>
      </c>
      <c r="F18" s="1905" t="str">
        <f t="shared" ref="F18:F65" si="1">IF(D18&gt;=25000,(D18-E18),"0")</f>
        <v>0</v>
      </c>
      <c r="G18" s="1886"/>
    </row>
    <row r="19" spans="1:7" x14ac:dyDescent="0.25">
      <c r="A19" s="1921" t="s">
        <v>2059</v>
      </c>
      <c r="B19" s="1907">
        <v>101000300</v>
      </c>
      <c r="C19" s="1922" t="s">
        <v>2067</v>
      </c>
      <c r="D19" s="1885">
        <v>10744</v>
      </c>
      <c r="E19" s="1905">
        <f t="shared" si="0"/>
        <v>10744</v>
      </c>
      <c r="F19" s="1905" t="str">
        <f t="shared" si="1"/>
        <v>0</v>
      </c>
    </row>
    <row r="20" spans="1:7" x14ac:dyDescent="0.25">
      <c r="A20" s="1921" t="s">
        <v>2059</v>
      </c>
      <c r="B20" s="1907">
        <v>101000300</v>
      </c>
      <c r="C20" s="1922" t="s">
        <v>2068</v>
      </c>
      <c r="D20" s="1885">
        <v>5795</v>
      </c>
      <c r="E20" s="1905">
        <f t="shared" si="0"/>
        <v>5795</v>
      </c>
      <c r="F20" s="1905" t="str">
        <f t="shared" si="1"/>
        <v>0</v>
      </c>
    </row>
    <row r="21" spans="1:7" x14ac:dyDescent="0.25">
      <c r="A21" s="1921" t="s">
        <v>2059</v>
      </c>
      <c r="B21" s="1907">
        <v>101000300</v>
      </c>
      <c r="C21" s="1922" t="s">
        <v>2069</v>
      </c>
      <c r="D21" s="1885">
        <v>2468</v>
      </c>
      <c r="E21" s="1905">
        <f t="shared" si="0"/>
        <v>2468</v>
      </c>
      <c r="F21" s="1905" t="str">
        <f t="shared" si="1"/>
        <v>0</v>
      </c>
    </row>
    <row r="22" spans="1:7" x14ac:dyDescent="0.25">
      <c r="A22" s="1921" t="s">
        <v>2059</v>
      </c>
      <c r="B22" s="1907">
        <v>101000300</v>
      </c>
      <c r="C22" s="1922" t="s">
        <v>2070</v>
      </c>
      <c r="D22" s="1885">
        <v>8940</v>
      </c>
      <c r="E22" s="1905">
        <f t="shared" si="0"/>
        <v>8940</v>
      </c>
      <c r="F22" s="1905" t="str">
        <f t="shared" si="1"/>
        <v>0</v>
      </c>
    </row>
    <row r="23" spans="1:7" x14ac:dyDescent="0.25">
      <c r="A23" s="1921" t="s">
        <v>2059</v>
      </c>
      <c r="B23" s="1907">
        <v>101000300</v>
      </c>
      <c r="C23" s="1884" t="s">
        <v>2071</v>
      </c>
      <c r="D23" s="1885">
        <v>9003</v>
      </c>
      <c r="E23" s="1905">
        <f t="shared" si="0"/>
        <v>9003</v>
      </c>
      <c r="F23" s="1905" t="str">
        <f t="shared" si="1"/>
        <v>0</v>
      </c>
    </row>
    <row r="24" spans="1:7" x14ac:dyDescent="0.25">
      <c r="A24" s="1921" t="s">
        <v>2059</v>
      </c>
      <c r="B24" s="1907">
        <v>101000300</v>
      </c>
      <c r="C24" s="1884" t="s">
        <v>2072</v>
      </c>
      <c r="D24" s="1885">
        <v>6363</v>
      </c>
      <c r="E24" s="1905">
        <f t="shared" si="0"/>
        <v>6363</v>
      </c>
      <c r="F24" s="1905" t="str">
        <f t="shared" si="1"/>
        <v>0</v>
      </c>
    </row>
    <row r="25" spans="1:7" x14ac:dyDescent="0.25">
      <c r="A25" s="1921" t="s">
        <v>2059</v>
      </c>
      <c r="B25" s="1907">
        <v>101000300</v>
      </c>
      <c r="C25" s="1884" t="s">
        <v>2073</v>
      </c>
      <c r="D25" s="1885">
        <v>5000</v>
      </c>
      <c r="E25" s="1905">
        <f t="shared" si="0"/>
        <v>5000</v>
      </c>
      <c r="F25" s="1905" t="str">
        <f t="shared" si="1"/>
        <v>0</v>
      </c>
    </row>
    <row r="26" spans="1:7" x14ac:dyDescent="0.25">
      <c r="A26" s="1921" t="s">
        <v>2059</v>
      </c>
      <c r="B26" s="1907">
        <v>101000300</v>
      </c>
      <c r="C26" s="1884" t="s">
        <v>2074</v>
      </c>
      <c r="D26" s="1885">
        <v>2380</v>
      </c>
      <c r="E26" s="1905">
        <f t="shared" si="0"/>
        <v>2380</v>
      </c>
      <c r="F26" s="1905" t="str">
        <f t="shared" si="1"/>
        <v>0</v>
      </c>
    </row>
    <row r="27" spans="1:7" x14ac:dyDescent="0.25">
      <c r="A27" s="1921" t="s">
        <v>2059</v>
      </c>
      <c r="B27" s="1907">
        <v>101000300</v>
      </c>
      <c r="C27" s="1888" t="s">
        <v>2075</v>
      </c>
      <c r="D27" s="1885">
        <v>1835</v>
      </c>
      <c r="E27" s="1905">
        <f t="shared" si="0"/>
        <v>1835</v>
      </c>
      <c r="F27" s="1905" t="str">
        <f t="shared" si="1"/>
        <v>0</v>
      </c>
    </row>
    <row r="28" spans="1:7" x14ac:dyDescent="0.25">
      <c r="A28" s="1921" t="s">
        <v>2059</v>
      </c>
      <c r="B28" s="1907">
        <v>101000300</v>
      </c>
      <c r="C28" s="1888" t="s">
        <v>2076</v>
      </c>
      <c r="D28" s="1885">
        <v>492</v>
      </c>
      <c r="E28" s="1905">
        <f t="shared" si="0"/>
        <v>492</v>
      </c>
      <c r="F28" s="1905" t="str">
        <f t="shared" si="1"/>
        <v>0</v>
      </c>
    </row>
    <row r="29" spans="1:7" x14ac:dyDescent="0.25">
      <c r="A29" s="1921" t="s">
        <v>2059</v>
      </c>
      <c r="B29" s="1907">
        <v>101000300</v>
      </c>
      <c r="C29" s="1888" t="s">
        <v>2077</v>
      </c>
      <c r="D29" s="1885">
        <v>3995</v>
      </c>
      <c r="E29" s="1905">
        <f t="shared" si="0"/>
        <v>3995</v>
      </c>
      <c r="F29" s="1905" t="str">
        <f t="shared" si="1"/>
        <v>0</v>
      </c>
    </row>
    <row r="30" spans="1:7" x14ac:dyDescent="0.25">
      <c r="A30" s="1921" t="s">
        <v>2065</v>
      </c>
      <c r="B30" s="1907">
        <v>102200300</v>
      </c>
      <c r="C30" s="1888" t="s">
        <v>2078</v>
      </c>
      <c r="D30" s="1885">
        <v>9656</v>
      </c>
      <c r="E30" s="1905">
        <f t="shared" si="0"/>
        <v>9656</v>
      </c>
      <c r="F30" s="1905" t="str">
        <f t="shared" si="1"/>
        <v>0</v>
      </c>
    </row>
    <row r="31" spans="1:7" x14ac:dyDescent="0.25">
      <c r="A31" s="1921" t="s">
        <v>2065</v>
      </c>
      <c r="B31" s="1907">
        <v>102200300</v>
      </c>
      <c r="C31" s="1888" t="s">
        <v>2079</v>
      </c>
      <c r="D31" s="1885">
        <v>12256</v>
      </c>
      <c r="E31" s="1905">
        <f t="shared" si="0"/>
        <v>12256</v>
      </c>
      <c r="F31" s="1905" t="str">
        <f t="shared" si="1"/>
        <v>0</v>
      </c>
    </row>
    <row r="32" spans="1:7" x14ac:dyDescent="0.25">
      <c r="A32" s="1921" t="s">
        <v>2065</v>
      </c>
      <c r="B32" s="1907">
        <v>102200300</v>
      </c>
      <c r="C32" s="1888" t="s">
        <v>2080</v>
      </c>
      <c r="D32" s="1885">
        <v>3744</v>
      </c>
      <c r="E32" s="1905">
        <f t="shared" si="0"/>
        <v>3744</v>
      </c>
      <c r="F32" s="1905" t="str">
        <f t="shared" si="1"/>
        <v>0</v>
      </c>
    </row>
    <row r="33" spans="1:6" x14ac:dyDescent="0.25">
      <c r="A33" s="1921" t="s">
        <v>2065</v>
      </c>
      <c r="B33" s="1907">
        <v>102200300</v>
      </c>
      <c r="C33" s="1888" t="s">
        <v>2081</v>
      </c>
      <c r="D33" s="1885">
        <v>3840</v>
      </c>
      <c r="E33" s="1905">
        <f t="shared" si="0"/>
        <v>3840</v>
      </c>
      <c r="F33" s="1905" t="str">
        <f t="shared" si="1"/>
        <v>0</v>
      </c>
    </row>
    <row r="34" spans="1:6" x14ac:dyDescent="0.25">
      <c r="A34" s="1921" t="s">
        <v>2065</v>
      </c>
      <c r="B34" s="1907">
        <v>102200300</v>
      </c>
      <c r="C34" s="1888" t="s">
        <v>2082</v>
      </c>
      <c r="D34" s="1885">
        <v>3383</v>
      </c>
      <c r="E34" s="1905">
        <f t="shared" si="0"/>
        <v>3383</v>
      </c>
      <c r="F34" s="1905" t="str">
        <f t="shared" si="1"/>
        <v>0</v>
      </c>
    </row>
    <row r="35" spans="1:6" x14ac:dyDescent="0.25">
      <c r="A35" s="1921" t="s">
        <v>2065</v>
      </c>
      <c r="B35" s="1907">
        <v>102200300</v>
      </c>
      <c r="C35" s="1888" t="s">
        <v>2083</v>
      </c>
      <c r="D35" s="1885">
        <v>3900</v>
      </c>
      <c r="E35" s="1905">
        <f t="shared" si="0"/>
        <v>3900</v>
      </c>
      <c r="F35" s="1905" t="str">
        <f t="shared" si="1"/>
        <v>0</v>
      </c>
    </row>
    <row r="36" spans="1:6" x14ac:dyDescent="0.25">
      <c r="A36" s="1921" t="s">
        <v>2065</v>
      </c>
      <c r="B36" s="1907">
        <v>102200300</v>
      </c>
      <c r="C36" s="1888" t="s">
        <v>2084</v>
      </c>
      <c r="D36" s="1885">
        <v>23</v>
      </c>
      <c r="E36" s="1905">
        <f t="shared" si="0"/>
        <v>23</v>
      </c>
      <c r="F36" s="1905" t="str">
        <f t="shared" si="1"/>
        <v>0</v>
      </c>
    </row>
    <row r="37" spans="1:6" x14ac:dyDescent="0.25">
      <c r="A37" s="1921" t="s">
        <v>2065</v>
      </c>
      <c r="B37" s="1907">
        <v>102200300</v>
      </c>
      <c r="C37" s="1888" t="s">
        <v>2072</v>
      </c>
      <c r="D37" s="1885">
        <v>1357</v>
      </c>
      <c r="E37" s="1905">
        <f t="shared" si="0"/>
        <v>1357</v>
      </c>
      <c r="F37" s="1905" t="str">
        <f t="shared" si="1"/>
        <v>0</v>
      </c>
    </row>
    <row r="38" spans="1:6" x14ac:dyDescent="0.25">
      <c r="A38" s="1921" t="s">
        <v>2065</v>
      </c>
      <c r="B38" s="1907">
        <v>102200300</v>
      </c>
      <c r="C38" s="1888" t="s">
        <v>2073</v>
      </c>
      <c r="D38" s="1885">
        <v>8149</v>
      </c>
      <c r="E38" s="1905">
        <f t="shared" si="0"/>
        <v>8149</v>
      </c>
      <c r="F38" s="1905" t="str">
        <f t="shared" si="1"/>
        <v>0</v>
      </c>
    </row>
    <row r="39" spans="1:6" x14ac:dyDescent="0.25">
      <c r="A39" s="1921" t="s">
        <v>2060</v>
      </c>
      <c r="B39" s="1908">
        <v>102300300</v>
      </c>
      <c r="C39" s="1888" t="s">
        <v>2085</v>
      </c>
      <c r="D39" s="1885">
        <v>350</v>
      </c>
      <c r="E39" s="1905">
        <f t="shared" si="0"/>
        <v>350</v>
      </c>
      <c r="F39" s="1905" t="str">
        <f t="shared" si="1"/>
        <v>0</v>
      </c>
    </row>
    <row r="40" spans="1:6" x14ac:dyDescent="0.25">
      <c r="A40" s="1921" t="s">
        <v>2060</v>
      </c>
      <c r="B40" s="1908">
        <v>102300300</v>
      </c>
      <c r="C40" s="1888" t="s">
        <v>2086</v>
      </c>
      <c r="D40" s="1885">
        <v>1519</v>
      </c>
      <c r="E40" s="1905">
        <f t="shared" si="0"/>
        <v>1519</v>
      </c>
      <c r="F40" s="1905" t="str">
        <f t="shared" si="1"/>
        <v>0</v>
      </c>
    </row>
    <row r="41" spans="1:6" x14ac:dyDescent="0.25">
      <c r="A41" s="1921" t="s">
        <v>2060</v>
      </c>
      <c r="B41" s="1908">
        <v>102300300</v>
      </c>
      <c r="C41" s="1888" t="s">
        <v>2087</v>
      </c>
      <c r="D41" s="1885">
        <v>12125</v>
      </c>
      <c r="E41" s="1905">
        <f t="shared" si="0"/>
        <v>12125</v>
      </c>
      <c r="F41" s="1905" t="str">
        <f t="shared" si="1"/>
        <v>0</v>
      </c>
    </row>
    <row r="42" spans="1:6" x14ac:dyDescent="0.25">
      <c r="A42" s="1921" t="s">
        <v>2060</v>
      </c>
      <c r="B42" s="1908">
        <v>102300300</v>
      </c>
      <c r="C42" s="1888" t="s">
        <v>2088</v>
      </c>
      <c r="D42" s="1885">
        <v>388</v>
      </c>
      <c r="E42" s="1905">
        <f t="shared" si="0"/>
        <v>388</v>
      </c>
      <c r="F42" s="1905" t="str">
        <f t="shared" si="1"/>
        <v>0</v>
      </c>
    </row>
    <row r="43" spans="1:6" x14ac:dyDescent="0.25">
      <c r="A43" s="1921" t="s">
        <v>2060</v>
      </c>
      <c r="B43" s="1908">
        <v>102300300</v>
      </c>
      <c r="C43" s="1888" t="s">
        <v>2089</v>
      </c>
      <c r="D43" s="1885">
        <v>459</v>
      </c>
      <c r="E43" s="1905">
        <f t="shared" si="0"/>
        <v>459</v>
      </c>
      <c r="F43" s="1905" t="str">
        <f t="shared" si="1"/>
        <v>0</v>
      </c>
    </row>
    <row r="44" spans="1:6" x14ac:dyDescent="0.25">
      <c r="A44" s="1921" t="s">
        <v>2060</v>
      </c>
      <c r="B44" s="1908">
        <v>102300300</v>
      </c>
      <c r="C44" s="1888" t="s">
        <v>2070</v>
      </c>
      <c r="D44" s="1885">
        <v>596</v>
      </c>
      <c r="E44" s="1905">
        <f t="shared" si="0"/>
        <v>596</v>
      </c>
      <c r="F44" s="1905" t="str">
        <f t="shared" si="1"/>
        <v>0</v>
      </c>
    </row>
    <row r="45" spans="1:6" x14ac:dyDescent="0.25">
      <c r="A45" s="1921" t="s">
        <v>2061</v>
      </c>
      <c r="B45" s="1908">
        <v>102520300</v>
      </c>
      <c r="C45" s="1888" t="s">
        <v>2090</v>
      </c>
      <c r="D45" s="1885">
        <v>10735</v>
      </c>
      <c r="E45" s="1905">
        <f t="shared" si="0"/>
        <v>10735</v>
      </c>
      <c r="F45" s="1905" t="str">
        <f t="shared" si="1"/>
        <v>0</v>
      </c>
    </row>
    <row r="46" spans="1:6" x14ac:dyDescent="0.25">
      <c r="A46" s="1921" t="s">
        <v>2062</v>
      </c>
      <c r="B46" s="1908">
        <v>202540300</v>
      </c>
      <c r="C46" s="1888" t="s">
        <v>2091</v>
      </c>
      <c r="D46" s="1885">
        <v>2250</v>
      </c>
      <c r="E46" s="1905">
        <f t="shared" si="0"/>
        <v>2250</v>
      </c>
      <c r="F46" s="1905" t="str">
        <f t="shared" si="1"/>
        <v>0</v>
      </c>
    </row>
    <row r="47" spans="1:6" x14ac:dyDescent="0.25">
      <c r="A47" s="1921" t="s">
        <v>2062</v>
      </c>
      <c r="B47" s="1908">
        <v>202540300</v>
      </c>
      <c r="C47" s="1888" t="s">
        <v>2092</v>
      </c>
      <c r="D47" s="1885">
        <v>3157</v>
      </c>
      <c r="E47" s="1905">
        <f t="shared" si="0"/>
        <v>3157</v>
      </c>
      <c r="F47" s="1905" t="str">
        <f t="shared" si="1"/>
        <v>0</v>
      </c>
    </row>
    <row r="48" spans="1:6" x14ac:dyDescent="0.25">
      <c r="A48" s="1921" t="s">
        <v>2062</v>
      </c>
      <c r="B48" s="1908">
        <v>202540300</v>
      </c>
      <c r="C48" s="1888" t="s">
        <v>2093</v>
      </c>
      <c r="D48" s="1885">
        <v>9035</v>
      </c>
      <c r="E48" s="1905">
        <f t="shared" si="0"/>
        <v>9035</v>
      </c>
      <c r="F48" s="1905" t="str">
        <f t="shared" si="1"/>
        <v>0</v>
      </c>
    </row>
    <row r="49" spans="1:6" x14ac:dyDescent="0.25">
      <c r="A49" s="1921" t="s">
        <v>2062</v>
      </c>
      <c r="B49" s="1908">
        <v>202540300</v>
      </c>
      <c r="C49" s="1888" t="s">
        <v>2094</v>
      </c>
      <c r="D49" s="1885">
        <v>9200</v>
      </c>
      <c r="E49" s="1905">
        <f t="shared" si="0"/>
        <v>9200</v>
      </c>
      <c r="F49" s="1905" t="str">
        <f t="shared" si="1"/>
        <v>0</v>
      </c>
    </row>
    <row r="50" spans="1:6" x14ac:dyDescent="0.25">
      <c r="A50" s="1921" t="s">
        <v>2062</v>
      </c>
      <c r="B50" s="1908">
        <v>202540300</v>
      </c>
      <c r="C50" s="1888" t="s">
        <v>2095</v>
      </c>
      <c r="D50" s="1885">
        <v>3554</v>
      </c>
      <c r="E50" s="1905">
        <f t="shared" si="0"/>
        <v>3554</v>
      </c>
      <c r="F50" s="1905" t="str">
        <f t="shared" si="1"/>
        <v>0</v>
      </c>
    </row>
    <row r="51" spans="1:6" x14ac:dyDescent="0.25">
      <c r="A51" s="1921" t="s">
        <v>2062</v>
      </c>
      <c r="B51" s="1908">
        <v>202540300</v>
      </c>
      <c r="C51" s="1888" t="s">
        <v>2096</v>
      </c>
      <c r="D51" s="1885">
        <v>6328</v>
      </c>
      <c r="E51" s="1905">
        <f t="shared" si="0"/>
        <v>6328</v>
      </c>
      <c r="F51" s="1905" t="str">
        <f t="shared" si="1"/>
        <v>0</v>
      </c>
    </row>
    <row r="52" spans="1:6" x14ac:dyDescent="0.25">
      <c r="A52" s="1921" t="s">
        <v>2062</v>
      </c>
      <c r="B52" s="1908">
        <v>202540300</v>
      </c>
      <c r="C52" s="1888" t="s">
        <v>2082</v>
      </c>
      <c r="D52" s="1885">
        <v>6883</v>
      </c>
      <c r="E52" s="1905">
        <f t="shared" si="0"/>
        <v>6883</v>
      </c>
      <c r="F52" s="1905" t="str">
        <f t="shared" si="1"/>
        <v>0</v>
      </c>
    </row>
    <row r="53" spans="1:6" x14ac:dyDescent="0.25">
      <c r="A53" s="1921" t="s">
        <v>2062</v>
      </c>
      <c r="B53" s="1908">
        <v>202540300</v>
      </c>
      <c r="C53" s="1888" t="s">
        <v>2089</v>
      </c>
      <c r="D53" s="1885">
        <v>823</v>
      </c>
      <c r="E53" s="1905">
        <f t="shared" si="0"/>
        <v>823</v>
      </c>
      <c r="F53" s="1905" t="str">
        <f t="shared" si="1"/>
        <v>0</v>
      </c>
    </row>
    <row r="54" spans="1:6" x14ac:dyDescent="0.25">
      <c r="A54" s="1921" t="s">
        <v>2063</v>
      </c>
      <c r="B54" s="1908">
        <v>402550300</v>
      </c>
      <c r="C54" s="1888" t="s">
        <v>2097</v>
      </c>
      <c r="D54" s="1885">
        <v>4550</v>
      </c>
      <c r="E54" s="1905">
        <f t="shared" si="0"/>
        <v>4550</v>
      </c>
      <c r="F54" s="1905" t="str">
        <f t="shared" si="1"/>
        <v>0</v>
      </c>
    </row>
    <row r="55" spans="1:6" x14ac:dyDescent="0.25">
      <c r="A55" s="1921" t="s">
        <v>2063</v>
      </c>
      <c r="B55" s="1908">
        <v>402550300</v>
      </c>
      <c r="C55" s="1888" t="s">
        <v>2098</v>
      </c>
      <c r="D55" s="1885">
        <v>2865</v>
      </c>
      <c r="E55" s="1905">
        <f t="shared" si="0"/>
        <v>2865</v>
      </c>
      <c r="F55" s="1905" t="str">
        <f t="shared" si="1"/>
        <v>0</v>
      </c>
    </row>
    <row r="56" spans="1:6" x14ac:dyDescent="0.25">
      <c r="A56" s="1921" t="s">
        <v>2064</v>
      </c>
      <c r="B56" s="1908">
        <v>802300300</v>
      </c>
      <c r="C56" s="1888" t="s">
        <v>2099</v>
      </c>
      <c r="D56" s="1885">
        <v>4800</v>
      </c>
      <c r="E56" s="1905">
        <f t="shared" si="0"/>
        <v>4800</v>
      </c>
      <c r="F56" s="1905" t="str">
        <f t="shared" si="1"/>
        <v>0</v>
      </c>
    </row>
    <row r="57" spans="1:6" x14ac:dyDescent="0.25">
      <c r="A57" s="1921" t="s">
        <v>2064</v>
      </c>
      <c r="B57" s="1908">
        <v>802300300</v>
      </c>
      <c r="C57" s="1888" t="s">
        <v>2100</v>
      </c>
      <c r="D57" s="1885">
        <v>1553</v>
      </c>
      <c r="E57" s="1905">
        <f t="shared" si="0"/>
        <v>1553</v>
      </c>
      <c r="F57" s="1905" t="str">
        <f t="shared" si="1"/>
        <v>0</v>
      </c>
    </row>
    <row r="58" spans="1:6" x14ac:dyDescent="0.25">
      <c r="A58" s="1921" t="s">
        <v>2064</v>
      </c>
      <c r="B58" s="1908">
        <v>802300300</v>
      </c>
      <c r="C58" s="1888" t="s">
        <v>2101</v>
      </c>
      <c r="D58" s="1885">
        <v>96707</v>
      </c>
      <c r="E58" s="1905" t="str">
        <f t="shared" si="0"/>
        <v>25,000</v>
      </c>
      <c r="F58" s="1905">
        <f t="shared" si="1"/>
        <v>71707</v>
      </c>
    </row>
    <row r="59" spans="1:6" x14ac:dyDescent="0.25">
      <c r="A59" s="1921" t="s">
        <v>2064</v>
      </c>
      <c r="B59" s="1908">
        <v>802300300</v>
      </c>
      <c r="C59" s="1888" t="s">
        <v>2102</v>
      </c>
      <c r="D59" s="1885">
        <v>2300</v>
      </c>
      <c r="E59" s="1905">
        <f t="shared" si="0"/>
        <v>2300</v>
      </c>
      <c r="F59" s="1905" t="str">
        <f t="shared" si="1"/>
        <v>0</v>
      </c>
    </row>
    <row r="60" spans="1:6" x14ac:dyDescent="0.25">
      <c r="A60" s="1921" t="s">
        <v>2064</v>
      </c>
      <c r="B60" s="1908">
        <v>802300300</v>
      </c>
      <c r="C60" s="1888" t="s">
        <v>2103</v>
      </c>
      <c r="D60" s="1885">
        <v>38058</v>
      </c>
      <c r="E60" s="1905" t="str">
        <f t="shared" si="0"/>
        <v>25,000</v>
      </c>
      <c r="F60" s="1905">
        <f t="shared" si="1"/>
        <v>13058</v>
      </c>
    </row>
    <row r="61" spans="1:6" x14ac:dyDescent="0.25">
      <c r="A61" s="1921" t="s">
        <v>2064</v>
      </c>
      <c r="B61" s="1908">
        <v>802300300</v>
      </c>
      <c r="C61" s="1888" t="s">
        <v>2104</v>
      </c>
      <c r="D61" s="1885">
        <v>9382</v>
      </c>
      <c r="E61" s="1905">
        <f t="shared" si="0"/>
        <v>9382</v>
      </c>
      <c r="F61" s="1905" t="str">
        <f t="shared" si="1"/>
        <v>0</v>
      </c>
    </row>
    <row r="62" spans="1:6" x14ac:dyDescent="0.25">
      <c r="A62" s="1921" t="s">
        <v>2064</v>
      </c>
      <c r="B62" s="1908">
        <v>802300300</v>
      </c>
      <c r="C62" s="1888" t="s">
        <v>2096</v>
      </c>
      <c r="D62" s="1885">
        <v>15286</v>
      </c>
      <c r="E62" s="1905">
        <f t="shared" si="0"/>
        <v>15286</v>
      </c>
      <c r="F62" s="1905" t="str">
        <f t="shared" si="1"/>
        <v>0</v>
      </c>
    </row>
    <row r="63" spans="1:6" x14ac:dyDescent="0.25">
      <c r="A63" s="1921" t="s">
        <v>2064</v>
      </c>
      <c r="B63" s="1908">
        <v>802300300</v>
      </c>
      <c r="C63" s="1888" t="s">
        <v>2105</v>
      </c>
      <c r="D63" s="1885">
        <v>1421</v>
      </c>
      <c r="E63" s="1905">
        <f t="shared" si="0"/>
        <v>1421</v>
      </c>
      <c r="F63" s="1905" t="str">
        <f t="shared" si="1"/>
        <v>0</v>
      </c>
    </row>
    <row r="64" spans="1:6" x14ac:dyDescent="0.25">
      <c r="A64" s="1921" t="s">
        <v>2064</v>
      </c>
      <c r="B64" s="1908">
        <v>802300300</v>
      </c>
      <c r="C64" s="1888" t="s">
        <v>2106</v>
      </c>
      <c r="D64" s="1885">
        <v>426</v>
      </c>
      <c r="E64" s="1905">
        <f t="shared" si="0"/>
        <v>426</v>
      </c>
      <c r="F64" s="1905" t="str">
        <f t="shared" si="1"/>
        <v>0</v>
      </c>
    </row>
    <row r="65" spans="1:6" x14ac:dyDescent="0.25">
      <c r="A65" s="1921" t="s">
        <v>2064</v>
      </c>
      <c r="B65" s="1908">
        <v>802300300</v>
      </c>
      <c r="C65" s="1884" t="s">
        <v>2088</v>
      </c>
      <c r="D65" s="1885">
        <v>3639</v>
      </c>
      <c r="E65" s="1905">
        <f t="shared" si="0"/>
        <v>3639</v>
      </c>
      <c r="F65" s="1905" t="str">
        <f t="shared" si="1"/>
        <v>0</v>
      </c>
    </row>
    <row r="66" spans="1:6" x14ac:dyDescent="0.25">
      <c r="A66" s="1887"/>
      <c r="B66" s="1909"/>
      <c r="C66" s="1888"/>
      <c r="D66" s="1885"/>
      <c r="E66" s="1905">
        <f t="shared" ref="E66" si="2">IF(D66&lt;25000,D66,"25,000")</f>
        <v>0</v>
      </c>
      <c r="F66" s="1905" t="str">
        <f t="shared" ref="F66" si="3">IF(D66&gt;=25000,(D66-E66),"0")</f>
        <v>0</v>
      </c>
    </row>
    <row r="67" spans="1:6" x14ac:dyDescent="0.25">
      <c r="A67" s="1889" t="s">
        <v>155</v>
      </c>
      <c r="B67" s="1910"/>
      <c r="C67" s="1890"/>
      <c r="D67" s="1891">
        <f>SUM(D18:D66)</f>
        <v>363912</v>
      </c>
      <c r="E67" s="1892">
        <f>SUM(E18:E66)</f>
        <v>229147</v>
      </c>
      <c r="F67" s="1893">
        <f>SUM(F18:F66)</f>
        <v>84765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3" t="s">
        <v>1663</v>
      </c>
      <c r="B5" s="2394"/>
      <c r="C5" s="2394"/>
      <c r="D5" s="2394"/>
      <c r="E5" s="2394"/>
      <c r="F5" s="2394"/>
      <c r="G5" s="239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1895</v>
      </c>
      <c r="B10" s="803"/>
      <c r="C10" s="807"/>
      <c r="D10" s="804"/>
      <c r="E10" s="1800">
        <v>125683</v>
      </c>
      <c r="F10" s="805"/>
      <c r="G10" s="806"/>
      <c r="H10" s="157"/>
      <c r="I10" s="157"/>
    </row>
    <row r="11" spans="1:13" s="542" customFormat="1" ht="22.5" customHeight="1" x14ac:dyDescent="0.2">
      <c r="A11" s="239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9"/>
      <c r="C11" s="2399"/>
      <c r="D11" s="2400"/>
      <c r="E11" s="1801">
        <v>24387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4623321</v>
      </c>
      <c r="F19" s="1802"/>
      <c r="G19" s="1804">
        <f>'Expenditures 15-22'!K33-SUM('Expenditures 15-22'!G33,'Expenditures 15-22'!I33)+'Expenditures 15-22'!D229</f>
        <v>4623321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262670</v>
      </c>
      <c r="F21" s="1805"/>
      <c r="G21" s="1808">
        <f>'Expenditures 15-22'!K42-SUM('Expenditures 15-22'!G42,'Expenditures 15-22'!I42)+'Expenditures 15-22'!K120-SUM('Expenditures 15-22'!G120,'Expenditures 15-22'!I120)+'Expenditures 15-22'!K180-SUM('Expenditures 15-22'!G180,'Expenditures 15-22'!I180)+'Expenditures 15-22'!D238</f>
        <v>262670</v>
      </c>
      <c r="H21" s="817"/>
      <c r="I21" s="157"/>
    </row>
    <row r="22" spans="1:9" s="542" customFormat="1" ht="12" customHeight="1" x14ac:dyDescent="0.2">
      <c r="A22" s="824" t="s">
        <v>560</v>
      </c>
      <c r="B22" s="825"/>
      <c r="C22" s="823">
        <v>2200</v>
      </c>
      <c r="D22" s="1805"/>
      <c r="E22" s="1807">
        <f>'Expenditures 15-22'!K47-SUM('Expenditures 15-22'!G47,'Expenditures 15-22'!I47)+'Expenditures 15-22'!D243</f>
        <v>435593</v>
      </c>
      <c r="F22" s="1805"/>
      <c r="G22" s="1808">
        <f>'Expenditures 15-22'!K47-SUM('Expenditures 15-22'!G47,'Expenditures 15-22'!I47)+'Expenditures 15-22'!D243</f>
        <v>435593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747492</v>
      </c>
      <c r="F23" s="1805"/>
      <c r="G23" s="1807">
        <f>'Expenditures 15-22'!K53-SUM('Expenditures 15-22'!G53,'Expenditures 15-22'!I53)+'Expenditures 15-22'!D257+'Expenditures 15-22'!K330-SUM('Expenditures 15-22'!G330,'Expenditures 15-22'!I330)</f>
        <v>747492</v>
      </c>
      <c r="H23" s="817"/>
      <c r="I23" s="157"/>
    </row>
    <row r="24" spans="1:9" s="542" customFormat="1" ht="12" customHeight="1" x14ac:dyDescent="0.2">
      <c r="A24" s="824" t="s">
        <v>562</v>
      </c>
      <c r="B24" s="825"/>
      <c r="C24" s="823">
        <v>2400</v>
      </c>
      <c r="D24" s="1805"/>
      <c r="E24" s="1807">
        <f>'Expenditures 15-22'!K57-SUM('Expenditures 15-22'!G57,'Expenditures 15-22'!I57)+'Expenditures 15-22'!D261</f>
        <v>571606</v>
      </c>
      <c r="F24" s="1805"/>
      <c r="G24" s="1808">
        <f>'Expenditures 15-22'!K57-SUM('Expenditures 15-22'!G57,'Expenditures 15-22'!I57)+'Expenditures 15-22'!D261</f>
        <v>571606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146577</v>
      </c>
      <c r="E27" s="1807">
        <f>E8</f>
        <v>0</v>
      </c>
      <c r="F27" s="1807">
        <f>'Expenditures 15-22'!K60-SUM('Expenditures 15-22'!G60,'Expenditures 15-22'!I60)+'Expenditures 15-22'!D264-E8</f>
        <v>146577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606232</v>
      </c>
      <c r="F28" s="1809">
        <f>'Expenditures 15-22'!K61-SUM('Expenditures 15-22'!G61,'Expenditures 15-22'!I61)+'Expenditures 15-22'!K124-SUM('Expenditures 15-22'!G124,'Expenditures 15-22'!I124)+'Expenditures 15-22'!D266-E9</f>
        <v>606232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692041</v>
      </c>
      <c r="F29" s="1805"/>
      <c r="G29" s="1808">
        <f>'Expenditures 15-22'!K62-SUM('Expenditures 15-22'!G62,'Expenditures 15-22'!I62)+'Expenditures 15-22'!K125-SUM('Expenditures 15-22'!G125,'Expenditures 15-22'!I125)+'Expenditures 15-22'!K182-SUM('Expenditures 15-22'!G182,'Expenditures 15-22'!I182)+'Expenditures 15-22'!D267</f>
        <v>692041</v>
      </c>
      <c r="H29" s="815"/>
    </row>
    <row r="30" spans="1:9" ht="12" customHeight="1" x14ac:dyDescent="0.2">
      <c r="A30" s="824" t="s">
        <v>100</v>
      </c>
      <c r="B30" s="827"/>
      <c r="C30" s="823">
        <v>2560</v>
      </c>
      <c r="D30" s="1805"/>
      <c r="E30" s="1807">
        <f>'Expenditures 15-22'!K63-SUM('Expenditures 15-22'!G63,'Expenditures 15-22'!I63)+'Expenditures 15-22'!D268-E10</f>
        <v>150792</v>
      </c>
      <c r="F30" s="1805"/>
      <c r="G30" s="1807">
        <f>'Expenditures 15-22'!K63-SUM('Expenditures 15-22'!G63,'Expenditures 15-22'!I63)+'Expenditures 15-22'!D268-E10</f>
        <v>150792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15</v>
      </c>
      <c r="F38" s="1805"/>
      <c r="G38" s="1807">
        <f>'Expenditures 15-22'!K73-SUM('Expenditures 15-22'!G73,'Expenditures 15-22'!I73)+'Expenditures 15-22'!K128-SUM('Expenditures 15-22'!G128,'Expenditures 15-22'!I128)+'Expenditures 15-22'!K183-SUM('Expenditures 15-22'!G183,'Expenditures 15-22'!I183)+'Expenditures 15-22'!D278</f>
        <v>15</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1667</v>
      </c>
      <c r="F39" s="1805"/>
      <c r="G39" s="1807">
        <f>'Expenditures 15-22'!K75-SUM('Expenditures 15-22'!G75,'Expenditures 15-22'!I75)+'Expenditures 15-22'!K130-SUM('Expenditures 15-22'!G130,'Expenditures 15-22'!I130)+'Expenditures 15-22'!K185-SUM('Expenditures 15-22'!G185,'Expenditures 15-22'!I185)+'Expenditures 15-22'!D280</f>
        <v>1667</v>
      </c>
    </row>
    <row r="40" spans="1:7" ht="12" customHeight="1" x14ac:dyDescent="0.2">
      <c r="A40" s="820" t="s">
        <v>1799</v>
      </c>
      <c r="B40" s="821"/>
      <c r="C40" s="823"/>
      <c r="D40" s="1805"/>
      <c r="E40" s="1809">
        <f>-'Contracts Paid in CY 29'!F67</f>
        <v>-84765</v>
      </c>
      <c r="F40" s="1805"/>
      <c r="G40" s="1809">
        <f>-'Contracts Paid in CY 29'!F67</f>
        <v>-84765</v>
      </c>
    </row>
    <row r="41" spans="1:7" ht="12" customHeight="1" x14ac:dyDescent="0.2">
      <c r="A41" s="828" t="s">
        <v>155</v>
      </c>
      <c r="B41" s="829"/>
      <c r="C41" s="830"/>
      <c r="D41" s="1809">
        <f>SUM(D19:D39)</f>
        <v>146577</v>
      </c>
      <c r="E41" s="1809">
        <f>SUM(E19:E40)</f>
        <v>8006664</v>
      </c>
      <c r="F41" s="1809">
        <f>SUM(F19:F39)</f>
        <v>752809</v>
      </c>
      <c r="G41" s="1809">
        <f>SUM(G19:G40)</f>
        <v>7400432</v>
      </c>
    </row>
    <row r="42" spans="1:7" x14ac:dyDescent="0.2">
      <c r="A42" s="817"/>
      <c r="B42" s="157"/>
      <c r="C42" s="831"/>
      <c r="D42" s="2396" t="s">
        <v>519</v>
      </c>
      <c r="E42" s="2397"/>
      <c r="F42" s="832" t="s">
        <v>520</v>
      </c>
      <c r="G42" s="833"/>
    </row>
    <row r="43" spans="1:7" ht="12" customHeight="1" x14ac:dyDescent="0.2">
      <c r="A43" s="817"/>
      <c r="B43" s="157"/>
      <c r="C43" s="831"/>
      <c r="D43" s="1458" t="s">
        <v>470</v>
      </c>
      <c r="E43" s="1810">
        <f>D41</f>
        <v>146577</v>
      </c>
      <c r="F43" s="1458" t="s">
        <v>470</v>
      </c>
      <c r="G43" s="1810">
        <f>F41</f>
        <v>752809</v>
      </c>
    </row>
    <row r="44" spans="1:7" ht="12" customHeight="1" x14ac:dyDescent="0.2">
      <c r="A44" s="817"/>
      <c r="B44" s="157"/>
      <c r="C44" s="831"/>
      <c r="D44" s="1458" t="s">
        <v>471</v>
      </c>
      <c r="E44" s="1810">
        <f>E41</f>
        <v>8006664</v>
      </c>
      <c r="F44" s="1458" t="s">
        <v>471</v>
      </c>
      <c r="G44" s="1810">
        <f>G41</f>
        <v>7400432</v>
      </c>
    </row>
    <row r="45" spans="1:7" ht="12" customHeight="1" x14ac:dyDescent="0.2">
      <c r="A45" s="817"/>
      <c r="B45" s="157"/>
      <c r="C45" s="157"/>
      <c r="D45" s="1459" t="s">
        <v>999</v>
      </c>
      <c r="E45" s="1811">
        <f>(E43/E44)</f>
        <v>1.8306875372814446E-2</v>
      </c>
      <c r="F45" s="1459" t="s">
        <v>999</v>
      </c>
      <c r="G45" s="1811">
        <f>(G43/G44)</f>
        <v>0.10172500740497312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7" bottom="0.34" header="0.42"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C33" sqref="C3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5" t="s">
        <v>1365</v>
      </c>
      <c r="B1" s="2415"/>
      <c r="C1" s="2415"/>
      <c r="D1" s="2415"/>
      <c r="E1" s="2415"/>
      <c r="F1" s="2415"/>
    </row>
    <row r="2" spans="1:15" x14ac:dyDescent="0.2">
      <c r="A2" s="1513" t="s">
        <v>1879</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6" t="s">
        <v>1532</v>
      </c>
      <c r="B5" s="2417"/>
      <c r="C5" s="2418"/>
      <c r="D5" s="2418"/>
      <c r="E5" s="2418"/>
      <c r="F5" s="2418"/>
      <c r="G5" s="1507"/>
      <c r="L5" s="1507"/>
      <c r="M5" s="1855"/>
      <c r="N5" s="1855"/>
      <c r="O5" s="1855"/>
    </row>
    <row r="6" spans="1:15" ht="12" customHeight="1" x14ac:dyDescent="0.25">
      <c r="A6" s="1480"/>
      <c r="B6" s="1481"/>
      <c r="C6" s="2419" t="str">
        <f>COVER!A17</f>
        <v xml:space="preserve">   TRICO CUSD 176</v>
      </c>
      <c r="D6" s="2419"/>
      <c r="E6" s="2419"/>
      <c r="F6" s="1482"/>
      <c r="G6" s="1507"/>
      <c r="L6" s="1507"/>
      <c r="M6" s="1855"/>
      <c r="N6" s="1855"/>
      <c r="O6" s="1855"/>
    </row>
    <row r="7" spans="1:15" ht="11.25" customHeight="1" thickBot="1" x14ac:dyDescent="0.3">
      <c r="A7" s="1480"/>
      <c r="B7" s="1481"/>
      <c r="C7" s="2420">
        <f>COVER!A13</f>
        <v>30039176026</v>
      </c>
      <c r="D7" s="2420"/>
      <c r="E7" s="2420"/>
      <c r="F7" s="1482"/>
      <c r="G7" s="1507"/>
      <c r="L7" s="1507"/>
      <c r="M7" s="1855"/>
      <c r="N7" s="1855"/>
      <c r="O7" s="1855"/>
    </row>
    <row r="8" spans="1:15" ht="25.5" customHeight="1" thickBot="1" x14ac:dyDescent="0.25">
      <c r="A8" s="1519" t="s">
        <v>1875</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t="s">
        <v>2023</v>
      </c>
      <c r="D19" s="1495" t="s">
        <v>2023</v>
      </c>
      <c r="E19" s="1498"/>
      <c r="F19" s="1497" t="s">
        <v>2054</v>
      </c>
      <c r="G19" s="1507"/>
      <c r="H19" s="1507">
        <f t="shared" si="0"/>
        <v>5</v>
      </c>
      <c r="I19" s="1507">
        <f t="shared" si="1"/>
        <v>5</v>
      </c>
      <c r="J19" s="1507">
        <f t="shared" si="2"/>
        <v>0</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t="s">
        <v>2023</v>
      </c>
      <c r="D21" s="1495" t="s">
        <v>2023</v>
      </c>
      <c r="E21" s="1498"/>
      <c r="F21" s="1497" t="s">
        <v>2055</v>
      </c>
      <c r="G21" s="1507"/>
      <c r="H21" s="1507">
        <f t="shared" si="0"/>
        <v>5</v>
      </c>
      <c r="I21" s="1507">
        <f t="shared" si="1"/>
        <v>5</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1519</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1520</v>
      </c>
      <c r="B26" s="1494"/>
      <c r="C26" s="1495" t="s">
        <v>2023</v>
      </c>
      <c r="D26" s="1495" t="s">
        <v>2023</v>
      </c>
      <c r="E26" s="1498"/>
      <c r="F26" s="1497" t="s">
        <v>2056</v>
      </c>
      <c r="G26" s="1507"/>
      <c r="H26" s="1507">
        <f t="shared" si="0"/>
        <v>5</v>
      </c>
      <c r="I26" s="1507">
        <f t="shared" si="1"/>
        <v>5</v>
      </c>
      <c r="J26" s="1507">
        <f t="shared" si="2"/>
        <v>0</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1525</v>
      </c>
      <c r="B31" s="1494"/>
      <c r="C31" s="1495" t="s">
        <v>2023</v>
      </c>
      <c r="D31" s="1495" t="s">
        <v>2023</v>
      </c>
      <c r="E31" s="1498"/>
      <c r="F31" s="1497" t="s">
        <v>2057</v>
      </c>
      <c r="G31" s="1507"/>
      <c r="H31" s="1507">
        <f t="shared" si="0"/>
        <v>5</v>
      </c>
      <c r="I31" s="1507">
        <f t="shared" si="1"/>
        <v>5</v>
      </c>
      <c r="J31" s="1507">
        <f t="shared" si="2"/>
        <v>0</v>
      </c>
      <c r="L31" s="1856"/>
      <c r="M31" s="1855"/>
      <c r="N31" s="1855"/>
      <c r="O31" s="1855"/>
    </row>
    <row r="32" spans="1:15" ht="12" customHeight="1" x14ac:dyDescent="0.2">
      <c r="A32" s="1493" t="s">
        <v>1526</v>
      </c>
      <c r="B32" s="1494"/>
      <c r="C32" s="1495" t="s">
        <v>2023</v>
      </c>
      <c r="D32" s="1495" t="s">
        <v>2023</v>
      </c>
      <c r="E32" s="1498"/>
      <c r="F32" s="1497" t="s">
        <v>2058</v>
      </c>
      <c r="G32" s="1507"/>
      <c r="H32" s="1507">
        <f t="shared" si="0"/>
        <v>5</v>
      </c>
      <c r="I32" s="1507">
        <f t="shared" si="1"/>
        <v>5</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2">
      <c r="A35" s="1500" t="s">
        <v>1378</v>
      </c>
      <c r="B35" s="1501"/>
      <c r="C35" s="2421"/>
      <c r="D35" s="2421"/>
      <c r="E35" s="2421"/>
      <c r="F35" s="2422"/>
    </row>
    <row r="36" spans="1:15" ht="12" customHeight="1" x14ac:dyDescent="0.2">
      <c r="A36" s="2404"/>
      <c r="B36" s="2405"/>
      <c r="C36" s="2405"/>
      <c r="D36" s="2405"/>
      <c r="E36" s="2405"/>
      <c r="F36" s="2406"/>
    </row>
    <row r="37" spans="1:15" ht="12" customHeight="1" x14ac:dyDescent="0.2">
      <c r="A37" s="2404"/>
      <c r="B37" s="2405"/>
      <c r="C37" s="2405"/>
      <c r="D37" s="2405"/>
      <c r="E37" s="2405"/>
      <c r="F37" s="2406"/>
    </row>
    <row r="38" spans="1:15" ht="12" customHeight="1" x14ac:dyDescent="0.2">
      <c r="A38" s="2407"/>
      <c r="B38" s="2408"/>
      <c r="C38" s="2408"/>
      <c r="D38" s="2408"/>
      <c r="E38" s="2408"/>
      <c r="F38" s="2409"/>
    </row>
    <row r="39" spans="1:15" ht="4.5" hidden="1" customHeight="1" x14ac:dyDescent="0.2">
      <c r="A39" s="1502"/>
      <c r="B39" s="1502"/>
      <c r="C39" s="1502"/>
      <c r="D39" s="1502"/>
      <c r="E39" s="1502"/>
      <c r="F39" s="1502"/>
    </row>
    <row r="40" spans="1:15" s="1499" customFormat="1" ht="12" customHeight="1" x14ac:dyDescent="0.25">
      <c r="A40" s="1503" t="s">
        <v>1377</v>
      </c>
      <c r="B40" s="1504"/>
      <c r="C40" s="2410"/>
      <c r="D40" s="2410"/>
      <c r="E40" s="2410"/>
      <c r="F40" s="2411"/>
      <c r="H40" s="1508"/>
      <c r="I40" s="1508"/>
      <c r="J40" s="1508"/>
      <c r="K40" s="1508"/>
    </row>
    <row r="41" spans="1:15" s="1499" customFormat="1" ht="12" customHeight="1" x14ac:dyDescent="0.25">
      <c r="A41" s="2412"/>
      <c r="B41" s="2413"/>
      <c r="C41" s="2413"/>
      <c r="D41" s="2413"/>
      <c r="E41" s="2413"/>
      <c r="F41" s="2414"/>
      <c r="H41" s="1508"/>
      <c r="I41" s="1508"/>
      <c r="J41" s="1508"/>
      <c r="K41" s="1508"/>
    </row>
    <row r="42" spans="1:15" s="1499" customFormat="1" ht="12" customHeight="1" x14ac:dyDescent="0.25">
      <c r="A42" s="2412"/>
      <c r="B42" s="2413"/>
      <c r="C42" s="2413"/>
      <c r="D42" s="2413"/>
      <c r="E42" s="2413"/>
      <c r="F42" s="2414"/>
      <c r="H42" s="1508"/>
      <c r="I42" s="1508"/>
      <c r="J42" s="1508"/>
      <c r="K42" s="1508"/>
    </row>
    <row r="43" spans="1:15" s="1499" customFormat="1" ht="15" x14ac:dyDescent="0.25">
      <c r="A43" s="2401"/>
      <c r="B43" s="2402"/>
      <c r="C43" s="2402"/>
      <c r="D43" s="2402"/>
      <c r="E43" s="2402"/>
      <c r="F43" s="2403"/>
      <c r="H43" s="1508"/>
      <c r="I43" s="1508"/>
      <c r="J43" s="1508"/>
      <c r="K43" s="1508"/>
    </row>
    <row r="44" spans="1:15" s="1499" customFormat="1" ht="12" hidden="1" customHeight="1" x14ac:dyDescent="0.25">
      <c r="A44" s="2401"/>
      <c r="B44" s="2402"/>
      <c r="C44" s="2402"/>
      <c r="D44" s="2402"/>
      <c r="E44" s="2402"/>
      <c r="F44" s="240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view="pageBreakPreview" topLeftCell="A49" zoomScale="90" zoomScaleNormal="100" zoomScaleSheetLayoutView="90" workbookViewId="0">
      <selection activeCell="E67" sqref="E67"/>
    </sheetView>
  </sheetViews>
  <sheetFormatPr defaultRowHeight="15" x14ac:dyDescent="0.25"/>
  <cols>
    <col min="1" max="1" width="2.7109375" style="1923" customWidth="1"/>
    <col min="2" max="2" width="3" style="1923" customWidth="1"/>
    <col min="3" max="3" width="38" style="1923" customWidth="1"/>
    <col min="4" max="4" width="7.7109375" style="1923" customWidth="1"/>
    <col min="5" max="5" width="10.7109375" style="1923" customWidth="1"/>
    <col min="6" max="6" width="11" style="1923" customWidth="1"/>
    <col min="7" max="8" width="9.140625" style="1923"/>
    <col min="9" max="9" width="10.85546875" style="1923" customWidth="1"/>
    <col min="10" max="10" width="12.42578125" style="1923" customWidth="1"/>
    <col min="11" max="11" width="9.140625" style="1923"/>
    <col min="12" max="12" width="13.140625" style="1923" customWidth="1"/>
    <col min="13" max="13" width="9.140625" style="1923"/>
    <col min="14" max="14" width="17.85546875" style="1923" customWidth="1"/>
    <col min="15" max="16384" width="9.140625" style="1923"/>
  </cols>
  <sheetData>
    <row r="1" spans="1:14" x14ac:dyDescent="0.25">
      <c r="A1" s="2038"/>
      <c r="B1" s="2035"/>
      <c r="C1" s="2035"/>
      <c r="D1" s="2035"/>
      <c r="E1" s="2035"/>
      <c r="F1" s="2035"/>
      <c r="G1" s="2037" t="s">
        <v>402</v>
      </c>
      <c r="H1" s="2036"/>
      <c r="I1" s="2035"/>
      <c r="J1" s="2035"/>
      <c r="K1" s="2035"/>
      <c r="L1" s="2035"/>
      <c r="M1" s="2035"/>
      <c r="N1" s="2034"/>
    </row>
    <row r="2" spans="1:14" x14ac:dyDescent="0.25">
      <c r="A2" s="1969"/>
      <c r="B2" s="838"/>
      <c r="C2" s="838"/>
      <c r="D2" s="838"/>
      <c r="E2" s="838"/>
      <c r="F2" s="838"/>
      <c r="G2" s="2030" t="s">
        <v>2003</v>
      </c>
      <c r="H2" s="2033"/>
      <c r="I2" s="838"/>
      <c r="J2" s="838"/>
      <c r="K2" s="838"/>
      <c r="L2" s="838"/>
      <c r="M2" s="838"/>
      <c r="N2" s="1967"/>
    </row>
    <row r="3" spans="1:14" x14ac:dyDescent="0.25">
      <c r="A3" s="1969"/>
      <c r="B3" s="838"/>
      <c r="C3" s="838"/>
      <c r="D3" s="838"/>
      <c r="E3" s="838"/>
      <c r="F3" s="838"/>
      <c r="G3" s="2030" t="s">
        <v>403</v>
      </c>
      <c r="H3" s="838"/>
      <c r="I3" s="838"/>
      <c r="J3" s="838"/>
      <c r="K3" s="838"/>
      <c r="L3" s="838"/>
      <c r="M3" s="838"/>
      <c r="N3" s="1967"/>
    </row>
    <row r="4" spans="1:14" x14ac:dyDescent="0.25">
      <c r="A4" s="1969"/>
      <c r="B4" s="838"/>
      <c r="C4" s="838"/>
      <c r="D4" s="838"/>
      <c r="E4" s="838"/>
      <c r="F4" s="838"/>
      <c r="G4" s="2030" t="s">
        <v>863</v>
      </c>
      <c r="H4" s="838"/>
      <c r="I4" s="838"/>
      <c r="J4" s="838"/>
      <c r="K4" s="838"/>
      <c r="L4" s="838"/>
      <c r="M4" s="838"/>
      <c r="N4" s="1967"/>
    </row>
    <row r="5" spans="1:14" x14ac:dyDescent="0.25">
      <c r="A5" s="1969"/>
      <c r="B5" s="838"/>
      <c r="C5" s="838"/>
      <c r="D5" s="838"/>
      <c r="E5" s="838"/>
      <c r="F5" s="2030"/>
      <c r="G5" s="2030"/>
      <c r="H5" s="838"/>
      <c r="I5" s="838"/>
      <c r="J5" s="838"/>
      <c r="K5" s="838"/>
      <c r="L5" s="838"/>
      <c r="M5" s="838"/>
      <c r="N5" s="1967"/>
    </row>
    <row r="6" spans="1:14" x14ac:dyDescent="0.25">
      <c r="A6" s="2032" t="s">
        <v>667</v>
      </c>
      <c r="B6" s="1377"/>
      <c r="C6" s="1377"/>
      <c r="D6" s="1377"/>
      <c r="E6" s="1378"/>
      <c r="F6" s="2031"/>
      <c r="G6" s="2030"/>
      <c r="H6" s="838"/>
      <c r="I6" s="1956" t="s">
        <v>1021</v>
      </c>
      <c r="J6" s="2466" t="str">
        <f>COVER!A17</f>
        <v xml:space="preserve">   TRICO CUSD 176</v>
      </c>
      <c r="K6" s="2466"/>
      <c r="L6" s="2467"/>
      <c r="M6" s="838"/>
      <c r="N6" s="1967"/>
    </row>
    <row r="7" spans="1:14" x14ac:dyDescent="0.25">
      <c r="A7" s="2468" t="s">
        <v>864</v>
      </c>
      <c r="B7" s="2469"/>
      <c r="C7" s="2469"/>
      <c r="D7" s="2469"/>
      <c r="E7" s="2470"/>
      <c r="F7" s="839"/>
      <c r="G7" s="838"/>
      <c r="H7" s="838"/>
      <c r="I7" s="1956" t="s">
        <v>369</v>
      </c>
      <c r="J7" s="2471">
        <f>COVER!A13</f>
        <v>30039176026</v>
      </c>
      <c r="K7" s="2471"/>
      <c r="L7" s="2471"/>
      <c r="M7" s="838"/>
      <c r="N7" s="1967"/>
    </row>
    <row r="8" spans="1:14" x14ac:dyDescent="0.25">
      <c r="A8" s="2029"/>
      <c r="B8" s="2028"/>
      <c r="C8" s="2028"/>
      <c r="D8" s="2028"/>
      <c r="E8" s="2027"/>
      <c r="F8" s="2026"/>
      <c r="G8" s="1911"/>
      <c r="H8" s="1911"/>
      <c r="I8" s="1911"/>
      <c r="J8" s="1911"/>
      <c r="K8" s="1911"/>
      <c r="L8" s="1911"/>
      <c r="M8" s="838"/>
      <c r="N8" s="1967"/>
    </row>
    <row r="9" spans="1:14" x14ac:dyDescent="0.25">
      <c r="A9" s="2025"/>
      <c r="B9" s="840"/>
      <c r="C9" s="840"/>
      <c r="D9" s="841"/>
      <c r="E9" s="2024" t="s">
        <v>2152</v>
      </c>
      <c r="F9" s="1857"/>
      <c r="G9" s="1857"/>
      <c r="H9" s="1857"/>
      <c r="I9" s="2023" t="s">
        <v>2151</v>
      </c>
      <c r="J9" s="1857"/>
      <c r="K9" s="1857"/>
      <c r="L9" s="1858"/>
      <c r="M9" s="838"/>
      <c r="N9" s="1967"/>
    </row>
    <row r="10" spans="1:14" x14ac:dyDescent="0.25">
      <c r="A10" s="2022"/>
      <c r="B10" s="2021"/>
      <c r="C10" s="2020"/>
      <c r="D10" s="2019"/>
      <c r="E10" s="2018" t="s">
        <v>422</v>
      </c>
      <c r="F10" s="2015" t="s">
        <v>423</v>
      </c>
      <c r="G10" s="2016" t="s">
        <v>429</v>
      </c>
      <c r="H10" s="2017"/>
      <c r="I10" s="2015" t="s">
        <v>422</v>
      </c>
      <c r="J10" s="2015" t="s">
        <v>423</v>
      </c>
      <c r="K10" s="2016" t="s">
        <v>429</v>
      </c>
      <c r="L10" s="2015"/>
      <c r="M10" s="838"/>
      <c r="N10" s="1967"/>
    </row>
    <row r="11" spans="1:14" ht="51" x14ac:dyDescent="0.25">
      <c r="A11" s="2472" t="s">
        <v>478</v>
      </c>
      <c r="B11" s="2473"/>
      <c r="C11" s="2474"/>
      <c r="D11" s="2014" t="s">
        <v>866</v>
      </c>
      <c r="E11" s="2014" t="s">
        <v>64</v>
      </c>
      <c r="F11" s="2014" t="s">
        <v>6</v>
      </c>
      <c r="G11" s="2013" t="s">
        <v>2150</v>
      </c>
      <c r="H11" s="2012" t="s">
        <v>155</v>
      </c>
      <c r="I11" s="2014" t="s">
        <v>64</v>
      </c>
      <c r="J11" s="2014" t="s">
        <v>6</v>
      </c>
      <c r="K11" s="2013" t="s">
        <v>2002</v>
      </c>
      <c r="L11" s="2012" t="s">
        <v>155</v>
      </c>
      <c r="M11" s="838"/>
      <c r="N11" s="1967"/>
    </row>
    <row r="12" spans="1:14" x14ac:dyDescent="0.25">
      <c r="A12" s="1997">
        <v>1</v>
      </c>
      <c r="B12" s="2010" t="s">
        <v>813</v>
      </c>
      <c r="C12" s="842"/>
      <c r="D12" s="2009">
        <v>2320</v>
      </c>
      <c r="E12" s="2008">
        <f>'Expenditures 15-22'!K50</f>
        <v>147373</v>
      </c>
      <c r="F12" s="2006"/>
      <c r="G12" s="2007">
        <f>G68</f>
        <v>10800</v>
      </c>
      <c r="H12" s="2001">
        <f t="shared" ref="H12:H18" si="0">SUM(E12:G12)</f>
        <v>158173</v>
      </c>
      <c r="I12" s="2002">
        <v>152200</v>
      </c>
      <c r="J12" s="2006"/>
      <c r="K12" s="2002">
        <v>11400</v>
      </c>
      <c r="L12" s="2001">
        <f t="shared" ref="L12:L18" si="1">SUM(I12:K12)</f>
        <v>163600</v>
      </c>
      <c r="M12" s="838"/>
      <c r="N12" s="1967"/>
    </row>
    <row r="13" spans="1:14" x14ac:dyDescent="0.25">
      <c r="A13" s="1997">
        <v>2</v>
      </c>
      <c r="B13" s="2010" t="s">
        <v>42</v>
      </c>
      <c r="C13" s="842"/>
      <c r="D13" s="2009">
        <v>2330</v>
      </c>
      <c r="E13" s="2008">
        <f>'Expenditures 15-22'!K51</f>
        <v>7493</v>
      </c>
      <c r="F13" s="2006"/>
      <c r="G13" s="2007">
        <f>H68</f>
        <v>0</v>
      </c>
      <c r="H13" s="2001">
        <f t="shared" si="0"/>
        <v>7493</v>
      </c>
      <c r="I13" s="2002"/>
      <c r="J13" s="2006"/>
      <c r="K13" s="2002"/>
      <c r="L13" s="2001">
        <f t="shared" si="1"/>
        <v>0</v>
      </c>
      <c r="M13" s="838"/>
      <c r="N13" s="1967"/>
    </row>
    <row r="14" spans="1:14" x14ac:dyDescent="0.25">
      <c r="A14" s="1997">
        <v>3</v>
      </c>
      <c r="B14" s="2010" t="s">
        <v>43</v>
      </c>
      <c r="C14" s="842"/>
      <c r="D14" s="2011">
        <v>2490</v>
      </c>
      <c r="E14" s="2008">
        <f>'Expenditures 15-22'!K56</f>
        <v>0</v>
      </c>
      <c r="F14" s="2006"/>
      <c r="G14" s="2007">
        <f>I68</f>
        <v>0</v>
      </c>
      <c r="H14" s="2001">
        <f t="shared" si="0"/>
        <v>0</v>
      </c>
      <c r="I14" s="2002"/>
      <c r="J14" s="2006"/>
      <c r="K14" s="2002"/>
      <c r="L14" s="2001">
        <f t="shared" si="1"/>
        <v>0</v>
      </c>
      <c r="M14" s="838"/>
      <c r="N14" s="1967"/>
    </row>
    <row r="15" spans="1:14" x14ac:dyDescent="0.25">
      <c r="A15" s="1997">
        <v>4</v>
      </c>
      <c r="B15" s="2010" t="s">
        <v>1061</v>
      </c>
      <c r="C15" s="842"/>
      <c r="D15" s="2009">
        <v>2510</v>
      </c>
      <c r="E15" s="2008">
        <f>'Expenditures 15-22'!K59</f>
        <v>0</v>
      </c>
      <c r="F15" s="2008">
        <f>'Expenditures 15-22'!K122</f>
        <v>0</v>
      </c>
      <c r="G15" s="2007">
        <f>J68</f>
        <v>0</v>
      </c>
      <c r="H15" s="2001">
        <f t="shared" si="0"/>
        <v>0</v>
      </c>
      <c r="I15" s="2002"/>
      <c r="J15" s="2002"/>
      <c r="K15" s="2002"/>
      <c r="L15" s="2001">
        <f t="shared" si="1"/>
        <v>0</v>
      </c>
      <c r="M15" s="838"/>
      <c r="N15" s="1967"/>
    </row>
    <row r="16" spans="1:14" x14ac:dyDescent="0.25">
      <c r="A16" s="1997">
        <v>5</v>
      </c>
      <c r="B16" s="2010" t="s">
        <v>101</v>
      </c>
      <c r="C16" s="842"/>
      <c r="D16" s="2009">
        <v>2570</v>
      </c>
      <c r="E16" s="2008">
        <f>'Expenditures 15-22'!K64</f>
        <v>0</v>
      </c>
      <c r="F16" s="2006"/>
      <c r="G16" s="2007">
        <f>K68</f>
        <v>0</v>
      </c>
      <c r="H16" s="2001">
        <f t="shared" si="0"/>
        <v>0</v>
      </c>
      <c r="I16" s="2002"/>
      <c r="J16" s="2006"/>
      <c r="K16" s="2002"/>
      <c r="L16" s="2001">
        <f t="shared" si="1"/>
        <v>0</v>
      </c>
      <c r="M16" s="838"/>
      <c r="N16" s="1967"/>
    </row>
    <row r="17" spans="1:14" x14ac:dyDescent="0.25">
      <c r="A17" s="1997">
        <v>6</v>
      </c>
      <c r="B17" s="2010" t="s">
        <v>1053</v>
      </c>
      <c r="C17" s="842"/>
      <c r="D17" s="2009">
        <v>2610</v>
      </c>
      <c r="E17" s="2008">
        <f>'Expenditures 15-22'!K67</f>
        <v>0</v>
      </c>
      <c r="F17" s="2006"/>
      <c r="G17" s="2007">
        <f>L68</f>
        <v>0</v>
      </c>
      <c r="H17" s="2001">
        <f t="shared" si="0"/>
        <v>0</v>
      </c>
      <c r="I17" s="2002"/>
      <c r="J17" s="2006"/>
      <c r="K17" s="2002"/>
      <c r="L17" s="2001">
        <f t="shared" si="1"/>
        <v>0</v>
      </c>
      <c r="M17" s="838"/>
      <c r="N17" s="1967"/>
    </row>
    <row r="18" spans="1:14" ht="28.5" customHeight="1" x14ac:dyDescent="0.25">
      <c r="A18" s="2005">
        <v>7</v>
      </c>
      <c r="B18" s="2475" t="s">
        <v>7</v>
      </c>
      <c r="C18" s="2476"/>
      <c r="D18" s="2477"/>
      <c r="E18" s="2004"/>
      <c r="F18" s="2004"/>
      <c r="G18" s="2002"/>
      <c r="H18" s="2003">
        <f t="shared" si="0"/>
        <v>0</v>
      </c>
      <c r="I18" s="2002"/>
      <c r="J18" s="2002"/>
      <c r="K18" s="2002"/>
      <c r="L18" s="2001">
        <f t="shared" si="1"/>
        <v>0</v>
      </c>
      <c r="M18" s="838"/>
      <c r="N18" s="1967"/>
    </row>
    <row r="19" spans="1:14" ht="15.75" thickBot="1" x14ac:dyDescent="0.3">
      <c r="A19" s="1997">
        <v>8</v>
      </c>
      <c r="B19" s="2000" t="s">
        <v>1153</v>
      </c>
      <c r="C19" s="838"/>
      <c r="D19" s="1999"/>
      <c r="E19" s="1998">
        <f t="shared" ref="E19:L19" si="2">SUM(E12:E17)-E18</f>
        <v>154866</v>
      </c>
      <c r="F19" s="1998">
        <f t="shared" si="2"/>
        <v>0</v>
      </c>
      <c r="G19" s="1998">
        <f t="shared" si="2"/>
        <v>10800</v>
      </c>
      <c r="H19" s="1998">
        <f t="shared" si="2"/>
        <v>165666</v>
      </c>
      <c r="I19" s="1998">
        <f t="shared" si="2"/>
        <v>152200</v>
      </c>
      <c r="J19" s="1998">
        <f t="shared" si="2"/>
        <v>0</v>
      </c>
      <c r="K19" s="1998">
        <f t="shared" si="2"/>
        <v>11400</v>
      </c>
      <c r="L19" s="1998">
        <f t="shared" si="2"/>
        <v>163600</v>
      </c>
      <c r="M19" s="838"/>
      <c r="N19" s="1967"/>
    </row>
    <row r="20" spans="1:14" ht="15.75" thickTop="1" x14ac:dyDescent="0.25">
      <c r="A20" s="1997">
        <v>9</v>
      </c>
      <c r="B20" s="2460" t="s">
        <v>2149</v>
      </c>
      <c r="C20" s="2460"/>
      <c r="D20" s="2461"/>
      <c r="E20" s="1996"/>
      <c r="F20" s="1996"/>
      <c r="G20" s="1996"/>
      <c r="H20" s="1996"/>
      <c r="I20" s="1996"/>
      <c r="J20" s="1996"/>
      <c r="K20" s="1996"/>
      <c r="L20" s="1995">
        <f>IF(AND(H19&gt;0,L19&gt;0),(((L19-H19)/H19)),"Enter Budget Data")</f>
        <v>-1.2470875134306376E-2</v>
      </c>
      <c r="M20" s="838"/>
      <c r="N20" s="1967"/>
    </row>
    <row r="21" spans="1:14" x14ac:dyDescent="0.25">
      <c r="A21" s="1994" t="s">
        <v>194</v>
      </c>
      <c r="B21" s="1993" t="s">
        <v>2148</v>
      </c>
      <c r="C21" s="838"/>
      <c r="D21" s="1979"/>
      <c r="E21" s="1978"/>
      <c r="F21" s="1992"/>
      <c r="G21" s="1992"/>
      <c r="H21" s="1992"/>
      <c r="I21" s="1992"/>
      <c r="J21" s="1992"/>
      <c r="K21" s="1992"/>
      <c r="L21" s="1991"/>
      <c r="M21" s="838"/>
      <c r="N21" s="1967"/>
    </row>
    <row r="22" spans="1:14" x14ac:dyDescent="0.25">
      <c r="A22" s="1969"/>
      <c r="B22" s="1981"/>
      <c r="C22" s="838"/>
      <c r="D22" s="838"/>
      <c r="E22" s="838"/>
      <c r="F22" s="838"/>
      <c r="G22" s="838"/>
      <c r="H22" s="838"/>
      <c r="I22" s="838"/>
      <c r="J22" s="838"/>
      <c r="K22" s="838"/>
      <c r="L22" s="838"/>
      <c r="M22" s="838"/>
      <c r="N22" s="1967"/>
    </row>
    <row r="23" spans="1:14" x14ac:dyDescent="0.25">
      <c r="A23" s="1990" t="s">
        <v>132</v>
      </c>
      <c r="B23" s="1981"/>
      <c r="C23" s="838"/>
      <c r="D23" s="838"/>
      <c r="E23" s="838"/>
      <c r="F23" s="838"/>
      <c r="G23" s="838"/>
      <c r="H23" s="838"/>
      <c r="I23" s="838"/>
      <c r="J23" s="838"/>
      <c r="K23" s="838"/>
      <c r="L23" s="838"/>
      <c r="M23" s="838"/>
      <c r="N23" s="1967"/>
    </row>
    <row r="24" spans="1:14" x14ac:dyDescent="0.25">
      <c r="A24" s="1989" t="s">
        <v>2147</v>
      </c>
      <c r="B24" s="1988"/>
      <c r="C24" s="1987"/>
      <c r="D24" s="1987"/>
      <c r="E24" s="1987"/>
      <c r="F24" s="1987"/>
      <c r="G24" s="1987"/>
      <c r="H24" s="1987"/>
      <c r="I24" s="1987"/>
      <c r="J24" s="1987"/>
      <c r="K24" s="1987"/>
      <c r="L24" s="838"/>
      <c r="M24" s="838"/>
      <c r="N24" s="1967"/>
    </row>
    <row r="25" spans="1:14" x14ac:dyDescent="0.25">
      <c r="A25" s="1989" t="s">
        <v>2146</v>
      </c>
      <c r="B25" s="1988"/>
      <c r="C25" s="1987"/>
      <c r="D25" s="1987"/>
      <c r="E25" s="1987"/>
      <c r="F25" s="1987"/>
      <c r="G25" s="1987"/>
      <c r="H25" s="1987"/>
      <c r="I25" s="1987"/>
      <c r="J25" s="1987"/>
      <c r="K25" s="1987"/>
      <c r="L25" s="838"/>
      <c r="M25" s="838"/>
      <c r="N25" s="1967"/>
    </row>
    <row r="26" spans="1:14" x14ac:dyDescent="0.25">
      <c r="A26" s="1986"/>
      <c r="B26" s="1981"/>
      <c r="C26" s="838"/>
      <c r="D26" s="838"/>
      <c r="E26" s="838"/>
      <c r="F26" s="838"/>
      <c r="G26" s="838"/>
      <c r="H26" s="838"/>
      <c r="I26" s="838"/>
      <c r="J26" s="838"/>
      <c r="K26" s="838"/>
      <c r="L26" s="838"/>
      <c r="M26" s="838"/>
      <c r="N26" s="1967"/>
    </row>
    <row r="27" spans="1:14" x14ac:dyDescent="0.25">
      <c r="A27" s="1969"/>
      <c r="B27" s="1981"/>
      <c r="C27" s="2462"/>
      <c r="D27" s="2462"/>
      <c r="E27" s="843"/>
      <c r="F27" s="2463"/>
      <c r="G27" s="2463"/>
      <c r="H27" s="2463"/>
      <c r="I27" s="838"/>
      <c r="J27" s="838"/>
      <c r="K27" s="838"/>
      <c r="L27" s="838"/>
      <c r="M27" s="838"/>
      <c r="N27" s="1967"/>
    </row>
    <row r="28" spans="1:14" x14ac:dyDescent="0.25">
      <c r="A28" s="1969"/>
      <c r="B28" s="1981"/>
      <c r="C28" s="1985" t="s">
        <v>1026</v>
      </c>
      <c r="D28" s="844"/>
      <c r="E28" s="1984"/>
      <c r="F28" s="2464" t="s">
        <v>1495</v>
      </c>
      <c r="G28" s="2464"/>
      <c r="H28" s="2464"/>
      <c r="I28" s="838"/>
      <c r="J28" s="838"/>
      <c r="K28" s="838"/>
      <c r="L28" s="838"/>
      <c r="M28" s="838"/>
      <c r="N28" s="1967"/>
    </row>
    <row r="29" spans="1:14" x14ac:dyDescent="0.25">
      <c r="A29" s="1969"/>
      <c r="B29" s="1981"/>
      <c r="C29" s="2465"/>
      <c r="D29" s="2465"/>
      <c r="E29" s="845"/>
      <c r="F29" s="2465"/>
      <c r="G29" s="2465"/>
      <c r="H29" s="2465"/>
      <c r="I29" s="838"/>
      <c r="J29" s="838"/>
      <c r="K29" s="838"/>
      <c r="L29" s="838"/>
      <c r="M29" s="838"/>
      <c r="N29" s="1967"/>
    </row>
    <row r="30" spans="1:14" x14ac:dyDescent="0.25">
      <c r="A30" s="1969"/>
      <c r="B30" s="1981"/>
      <c r="C30" s="1983" t="s">
        <v>1547</v>
      </c>
      <c r="D30" s="838"/>
      <c r="E30" s="1982"/>
      <c r="F30" s="2455" t="s">
        <v>1496</v>
      </c>
      <c r="G30" s="2455"/>
      <c r="H30" s="2455"/>
      <c r="I30" s="838"/>
      <c r="J30" s="838"/>
      <c r="K30" s="838"/>
      <c r="L30" s="838"/>
      <c r="M30" s="838"/>
      <c r="N30" s="1967"/>
    </row>
    <row r="31" spans="1:14" x14ac:dyDescent="0.25">
      <c r="A31" s="1969"/>
      <c r="B31" s="1981"/>
      <c r="C31" s="1980"/>
      <c r="D31" s="838"/>
      <c r="E31" s="1979"/>
      <c r="F31" s="1978"/>
      <c r="G31" s="1978"/>
      <c r="H31" s="1978"/>
      <c r="I31" s="838"/>
      <c r="J31" s="838"/>
      <c r="K31" s="838"/>
      <c r="L31" s="838"/>
      <c r="M31" s="838"/>
      <c r="N31" s="1967"/>
    </row>
    <row r="32" spans="1:14" x14ac:dyDescent="0.25">
      <c r="A32" s="1969"/>
      <c r="B32" s="1977" t="s">
        <v>1027</v>
      </c>
      <c r="C32" s="838"/>
      <c r="D32" s="838"/>
      <c r="E32" s="838"/>
      <c r="F32" s="838"/>
      <c r="G32" s="838"/>
      <c r="H32" s="838"/>
      <c r="I32" s="838"/>
      <c r="J32" s="838"/>
      <c r="K32" s="838"/>
      <c r="L32" s="838"/>
      <c r="M32" s="838"/>
      <c r="N32" s="1967"/>
    </row>
    <row r="33" spans="1:14" x14ac:dyDescent="0.25">
      <c r="A33" s="1969"/>
      <c r="B33" s="1976"/>
      <c r="C33" s="838"/>
      <c r="D33" s="838"/>
      <c r="E33" s="838"/>
      <c r="F33" s="838"/>
      <c r="G33" s="838"/>
      <c r="H33" s="838"/>
      <c r="I33" s="838"/>
      <c r="J33" s="838"/>
      <c r="K33" s="838"/>
      <c r="L33" s="838"/>
      <c r="M33" s="838"/>
      <c r="N33" s="1967"/>
    </row>
    <row r="34" spans="1:14" x14ac:dyDescent="0.25">
      <c r="A34" s="1969"/>
      <c r="B34" s="846"/>
      <c r="C34" s="2456" t="s">
        <v>2145</v>
      </c>
      <c r="D34" s="2457"/>
      <c r="E34" s="2457"/>
      <c r="F34" s="2457"/>
      <c r="G34" s="2457"/>
      <c r="H34" s="2457"/>
      <c r="I34" s="2457"/>
      <c r="J34" s="2457"/>
      <c r="K34" s="1975"/>
      <c r="L34" s="838"/>
      <c r="M34" s="838"/>
      <c r="N34" s="1967"/>
    </row>
    <row r="35" spans="1:14" x14ac:dyDescent="0.25">
      <c r="A35" s="1969"/>
      <c r="B35" s="838"/>
      <c r="C35" s="2457"/>
      <c r="D35" s="2457"/>
      <c r="E35" s="2457"/>
      <c r="F35" s="2457"/>
      <c r="G35" s="2457"/>
      <c r="H35" s="2457"/>
      <c r="I35" s="2457"/>
      <c r="J35" s="2457"/>
      <c r="K35" s="1975"/>
      <c r="L35" s="838"/>
      <c r="M35" s="838"/>
      <c r="N35" s="1967"/>
    </row>
    <row r="36" spans="1:14" x14ac:dyDescent="0.25">
      <c r="A36" s="1969"/>
      <c r="B36" s="838"/>
      <c r="C36" s="1973"/>
      <c r="D36" s="838"/>
      <c r="E36" s="838"/>
      <c r="F36" s="838"/>
      <c r="G36" s="838"/>
      <c r="H36" s="838"/>
      <c r="I36" s="838"/>
      <c r="J36" s="838"/>
      <c r="K36" s="838"/>
      <c r="L36" s="838"/>
      <c r="M36" s="838"/>
      <c r="N36" s="1967"/>
    </row>
    <row r="37" spans="1:14" x14ac:dyDescent="0.25">
      <c r="A37" s="1969"/>
      <c r="B37" s="846"/>
      <c r="C37" s="2456" t="s">
        <v>2144</v>
      </c>
      <c r="D37" s="2457"/>
      <c r="E37" s="2457"/>
      <c r="F37" s="2457"/>
      <c r="G37" s="2457"/>
      <c r="H37" s="2457"/>
      <c r="I37" s="2457"/>
      <c r="J37" s="2457"/>
      <c r="K37" s="1975"/>
      <c r="L37" s="1974"/>
      <c r="M37" s="838"/>
      <c r="N37" s="1967"/>
    </row>
    <row r="38" spans="1:14" x14ac:dyDescent="0.25">
      <c r="A38" s="1969"/>
      <c r="B38" s="838"/>
      <c r="C38" s="2457"/>
      <c r="D38" s="2457"/>
      <c r="E38" s="2457"/>
      <c r="F38" s="2457"/>
      <c r="G38" s="2457"/>
      <c r="H38" s="2457"/>
      <c r="I38" s="2457"/>
      <c r="J38" s="2457"/>
      <c r="K38" s="1975"/>
      <c r="L38" s="1974"/>
      <c r="M38" s="838"/>
      <c r="N38" s="1967"/>
    </row>
    <row r="39" spans="1:14" x14ac:dyDescent="0.25">
      <c r="A39" s="1969"/>
      <c r="B39" s="838"/>
      <c r="C39" s="1973"/>
      <c r="D39" s="838"/>
      <c r="E39" s="1971"/>
      <c r="F39" s="1972"/>
      <c r="G39" s="1972"/>
      <c r="H39" s="1971"/>
      <c r="I39" s="838"/>
      <c r="J39" s="838"/>
      <c r="K39" s="838"/>
      <c r="L39" s="838"/>
      <c r="M39" s="838"/>
      <c r="N39" s="1967"/>
    </row>
    <row r="40" spans="1:14" x14ac:dyDescent="0.25">
      <c r="A40" s="1969"/>
      <c r="B40" s="846"/>
      <c r="C40" s="2458" t="s">
        <v>2143</v>
      </c>
      <c r="D40" s="2459"/>
      <c r="E40" s="2459"/>
      <c r="F40" s="2459"/>
      <c r="G40" s="2459"/>
      <c r="H40" s="2459"/>
      <c r="I40" s="2459"/>
      <c r="J40" s="2459"/>
      <c r="K40" s="1970"/>
      <c r="L40" s="838"/>
      <c r="M40" s="838"/>
      <c r="N40" s="1967"/>
    </row>
    <row r="41" spans="1:14" x14ac:dyDescent="0.25">
      <c r="A41" s="1969"/>
      <c r="B41" s="838"/>
      <c r="C41" s="1968"/>
      <c r="D41" s="1968"/>
      <c r="E41" s="1968"/>
      <c r="F41" s="1968"/>
      <c r="G41" s="1968"/>
      <c r="H41" s="1968"/>
      <c r="I41" s="1968"/>
      <c r="J41" s="1968"/>
      <c r="K41" s="1968"/>
      <c r="L41" s="838"/>
      <c r="M41" s="838"/>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434" t="s">
        <v>2142</v>
      </c>
      <c r="B43" s="2435"/>
      <c r="C43" s="2435"/>
      <c r="D43" s="2435"/>
      <c r="E43" s="2435"/>
      <c r="F43" s="2435"/>
      <c r="G43" s="2435"/>
      <c r="H43" s="2435"/>
      <c r="I43" s="2435"/>
      <c r="J43" s="2435"/>
      <c r="K43" s="2435"/>
      <c r="L43" s="2435"/>
      <c r="M43" s="2435"/>
      <c r="N43" s="2436"/>
    </row>
    <row r="44" spans="1:14" x14ac:dyDescent="0.25">
      <c r="A44" s="1955"/>
      <c r="B44" s="1954"/>
      <c r="C44" s="1954"/>
      <c r="D44" s="1954"/>
      <c r="E44" s="1954"/>
      <c r="F44" s="1954"/>
      <c r="G44" s="1954"/>
      <c r="H44" s="1954"/>
      <c r="I44" s="1954"/>
      <c r="J44" s="1954"/>
      <c r="K44" s="1954"/>
      <c r="L44" s="1954"/>
      <c r="M44" s="1954"/>
      <c r="N44" s="1953"/>
    </row>
    <row r="45" spans="1:14" x14ac:dyDescent="0.25">
      <c r="A45" s="1955" t="s">
        <v>2141</v>
      </c>
      <c r="B45" s="1954"/>
      <c r="C45" s="1954"/>
      <c r="D45" s="1954"/>
      <c r="E45" s="1954"/>
      <c r="F45" s="1954"/>
      <c r="G45" s="1954"/>
      <c r="H45" s="1954"/>
      <c r="I45" s="1954"/>
      <c r="J45" s="1954"/>
      <c r="K45" s="1954"/>
      <c r="L45" s="1954"/>
      <c r="M45" s="1954"/>
      <c r="N45" s="1953"/>
    </row>
    <row r="46" spans="1:14" x14ac:dyDescent="0.25">
      <c r="A46" s="2437" t="s">
        <v>2140</v>
      </c>
      <c r="B46" s="2438"/>
      <c r="C46" s="2438"/>
      <c r="D46" s="2438"/>
      <c r="E46" s="2438"/>
      <c r="F46" s="2438"/>
      <c r="G46" s="2438"/>
      <c r="H46" s="2438"/>
      <c r="I46" s="2438"/>
      <c r="J46" s="2438"/>
      <c r="K46" s="2438"/>
      <c r="L46" s="2438"/>
      <c r="M46" s="2438"/>
      <c r="N46" s="2439"/>
    </row>
    <row r="47" spans="1:14" x14ac:dyDescent="0.25">
      <c r="A47" s="2437"/>
      <c r="B47" s="2438"/>
      <c r="C47" s="2438"/>
      <c r="D47" s="2438"/>
      <c r="E47" s="2438"/>
      <c r="F47" s="2438"/>
      <c r="G47" s="2438"/>
      <c r="H47" s="2438"/>
      <c r="I47" s="2438"/>
      <c r="J47" s="2438"/>
      <c r="K47" s="2438"/>
      <c r="L47" s="2438"/>
      <c r="M47" s="2438"/>
      <c r="N47" s="2439"/>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2139</v>
      </c>
      <c r="B49" s="1960"/>
      <c r="C49" s="1960"/>
      <c r="D49" s="1959"/>
      <c r="E49" s="1959"/>
      <c r="F49" s="1959"/>
      <c r="G49" s="1959"/>
      <c r="H49" s="1959"/>
      <c r="I49" s="1959"/>
      <c r="J49" s="1959"/>
      <c r="K49" s="1959"/>
      <c r="L49" s="1959"/>
      <c r="M49" s="1959"/>
      <c r="N49" s="1958"/>
    </row>
    <row r="50" spans="1:14" x14ac:dyDescent="0.25">
      <c r="A50" s="1957" t="s">
        <v>2138</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1021</v>
      </c>
      <c r="L52" s="2453" t="str">
        <f>J6</f>
        <v xml:space="preserve">   TRICO CUSD 176</v>
      </c>
      <c r="M52" s="2453"/>
      <c r="N52" s="2454"/>
    </row>
    <row r="53" spans="1:14" x14ac:dyDescent="0.25">
      <c r="A53" s="1955"/>
      <c r="B53" s="1954"/>
      <c r="C53" s="1954"/>
      <c r="D53" s="1954"/>
      <c r="E53" s="1954"/>
      <c r="F53" s="1954"/>
      <c r="G53" s="1954"/>
      <c r="H53" s="1954"/>
      <c r="I53" s="1954"/>
      <c r="J53" s="1954"/>
      <c r="K53" s="1956" t="s">
        <v>369</v>
      </c>
      <c r="L53" s="2440">
        <f>J7</f>
        <v>30039176026</v>
      </c>
      <c r="M53" s="2440"/>
      <c r="N53" s="2441"/>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442"/>
      <c r="B55" s="2443"/>
      <c r="C55" s="2443"/>
      <c r="D55" s="1935"/>
      <c r="E55" s="1935"/>
      <c r="F55" s="1935"/>
      <c r="G55" s="2444" t="s">
        <v>2137</v>
      </c>
      <c r="H55" s="2444"/>
      <c r="I55" s="2444"/>
      <c r="J55" s="2444"/>
      <c r="K55" s="2444"/>
      <c r="L55" s="2444"/>
      <c r="M55" s="2444"/>
      <c r="N55" s="2445"/>
    </row>
    <row r="56" spans="1:14" ht="64.5" x14ac:dyDescent="0.25">
      <c r="A56" s="2446" t="s">
        <v>2136</v>
      </c>
      <c r="B56" s="2447"/>
      <c r="C56" s="2448"/>
      <c r="D56" s="1951" t="s">
        <v>2135</v>
      </c>
      <c r="E56" s="1951" t="s">
        <v>2134</v>
      </c>
      <c r="F56" s="1952"/>
      <c r="G56" s="1951" t="s">
        <v>2133</v>
      </c>
      <c r="H56" s="1951" t="s">
        <v>2132</v>
      </c>
      <c r="I56" s="1951" t="s">
        <v>2131</v>
      </c>
      <c r="J56" s="1951" t="s">
        <v>2130</v>
      </c>
      <c r="K56" s="1951" t="s">
        <v>2129</v>
      </c>
      <c r="L56" s="1951" t="s">
        <v>2128</v>
      </c>
      <c r="M56" s="1951" t="s">
        <v>2127</v>
      </c>
      <c r="N56" s="1950" t="s">
        <v>2126</v>
      </c>
    </row>
    <row r="57" spans="1:14" ht="24" customHeight="1" x14ac:dyDescent="0.25">
      <c r="A57" s="2449" t="s">
        <v>296</v>
      </c>
      <c r="B57" s="2450"/>
      <c r="C57" s="2450"/>
      <c r="D57" s="1949">
        <v>2361</v>
      </c>
      <c r="E57" s="1948">
        <f>'Expenditures 15-22'!K319</f>
        <v>0</v>
      </c>
      <c r="F57" s="1939"/>
      <c r="G57" s="1947"/>
      <c r="H57" s="1946"/>
      <c r="I57" s="1946"/>
      <c r="J57" s="1946"/>
      <c r="K57" s="1946"/>
      <c r="L57" s="1946"/>
      <c r="M57" s="1946"/>
      <c r="N57" s="1936">
        <f t="shared" ref="N57:N67" si="3">IF((SUM(G57:M57))=E57,SUM(G57:M57),"Column N does not agree with Column E")</f>
        <v>0</v>
      </c>
    </row>
    <row r="58" spans="1:14" ht="24.75" customHeight="1" x14ac:dyDescent="0.25">
      <c r="A58" s="2451" t="s">
        <v>2125</v>
      </c>
      <c r="B58" s="2452"/>
      <c r="C58" s="2452"/>
      <c r="D58" s="1945">
        <v>2362</v>
      </c>
      <c r="E58" s="1944">
        <f>'Expenditures 15-22'!K320</f>
        <v>0</v>
      </c>
      <c r="F58" s="1939"/>
      <c r="G58" s="1943"/>
      <c r="H58" s="1942"/>
      <c r="I58" s="1942"/>
      <c r="J58" s="1942"/>
      <c r="K58" s="1942"/>
      <c r="L58" s="1942"/>
      <c r="M58" s="1942"/>
      <c r="N58" s="1936">
        <f t="shared" si="3"/>
        <v>0</v>
      </c>
    </row>
    <row r="59" spans="1:14" ht="24.75" customHeight="1" x14ac:dyDescent="0.25">
      <c r="A59" s="2428" t="s">
        <v>297</v>
      </c>
      <c r="B59" s="2429"/>
      <c r="C59" s="2429"/>
      <c r="D59" s="1945">
        <v>2363</v>
      </c>
      <c r="E59" s="1944">
        <f>'Expenditures 15-22'!K321</f>
        <v>0</v>
      </c>
      <c r="F59" s="1939"/>
      <c r="G59" s="1943"/>
      <c r="H59" s="1942"/>
      <c r="I59" s="1942"/>
      <c r="J59" s="1942"/>
      <c r="K59" s="1942"/>
      <c r="L59" s="1942"/>
      <c r="M59" s="1942"/>
      <c r="N59" s="1936">
        <f t="shared" si="3"/>
        <v>0</v>
      </c>
    </row>
    <row r="60" spans="1:14" ht="24.75" customHeight="1" x14ac:dyDescent="0.25">
      <c r="A60" s="2428" t="s">
        <v>236</v>
      </c>
      <c r="B60" s="2429"/>
      <c r="C60" s="2429"/>
      <c r="D60" s="1945">
        <v>2364</v>
      </c>
      <c r="E60" s="1944">
        <f>'Expenditures 15-22'!K322</f>
        <v>101940</v>
      </c>
      <c r="F60" s="1939"/>
      <c r="G60" s="1943"/>
      <c r="H60" s="1942"/>
      <c r="I60" s="1942"/>
      <c r="J60" s="1942"/>
      <c r="K60" s="1942"/>
      <c r="L60" s="1942"/>
      <c r="M60" s="1942">
        <v>101940</v>
      </c>
      <c r="N60" s="1936">
        <f t="shared" si="3"/>
        <v>101940</v>
      </c>
    </row>
    <row r="61" spans="1:14" ht="24.75" customHeight="1" x14ac:dyDescent="0.25">
      <c r="A61" s="2428" t="s">
        <v>697</v>
      </c>
      <c r="B61" s="2429"/>
      <c r="C61" s="2429"/>
      <c r="D61" s="1945">
        <v>2365</v>
      </c>
      <c r="E61" s="1944">
        <f>'Expenditures 15-22'!K323</f>
        <v>0</v>
      </c>
      <c r="F61" s="1939"/>
      <c r="G61" s="1943"/>
      <c r="H61" s="1942"/>
      <c r="I61" s="1942"/>
      <c r="J61" s="1942"/>
      <c r="K61" s="1942"/>
      <c r="L61" s="1942"/>
      <c r="M61" s="1942"/>
      <c r="N61" s="1936">
        <f t="shared" si="3"/>
        <v>0</v>
      </c>
    </row>
    <row r="62" spans="1:14" ht="24.75" customHeight="1" x14ac:dyDescent="0.25">
      <c r="A62" s="2428" t="s">
        <v>237</v>
      </c>
      <c r="B62" s="2429"/>
      <c r="C62" s="2429"/>
      <c r="D62" s="1945">
        <v>2366</v>
      </c>
      <c r="E62" s="1944">
        <f>'Expenditures 15-22'!K324</f>
        <v>0</v>
      </c>
      <c r="F62" s="1939"/>
      <c r="G62" s="1943"/>
      <c r="H62" s="1942"/>
      <c r="I62" s="1942"/>
      <c r="J62" s="1942"/>
      <c r="K62" s="1942"/>
      <c r="L62" s="1942"/>
      <c r="M62" s="1942"/>
      <c r="N62" s="1936">
        <f t="shared" si="3"/>
        <v>0</v>
      </c>
    </row>
    <row r="63" spans="1:14" ht="24.75" customHeight="1" x14ac:dyDescent="0.25">
      <c r="A63" s="2451" t="s">
        <v>1022</v>
      </c>
      <c r="B63" s="2452"/>
      <c r="C63" s="2452"/>
      <c r="D63" s="1945">
        <v>2367</v>
      </c>
      <c r="E63" s="1944">
        <f>'Expenditures 15-22'!K325</f>
        <v>457021</v>
      </c>
      <c r="F63" s="1939"/>
      <c r="G63" s="1943">
        <v>10800</v>
      </c>
      <c r="H63" s="1942"/>
      <c r="I63" s="1942"/>
      <c r="J63" s="1942"/>
      <c r="K63" s="1942"/>
      <c r="L63" s="1942"/>
      <c r="M63" s="1942">
        <v>446221</v>
      </c>
      <c r="N63" s="1936">
        <f t="shared" si="3"/>
        <v>457021</v>
      </c>
    </row>
    <row r="64" spans="1:14" ht="24.75" customHeight="1" x14ac:dyDescent="0.25">
      <c r="A64" s="2428" t="s">
        <v>1023</v>
      </c>
      <c r="B64" s="2429"/>
      <c r="C64" s="2429"/>
      <c r="D64" s="1945">
        <v>2368</v>
      </c>
      <c r="E64" s="1944">
        <f>'Expenditures 15-22'!K326</f>
        <v>0</v>
      </c>
      <c r="F64" s="1939"/>
      <c r="G64" s="1943"/>
      <c r="H64" s="1942"/>
      <c r="I64" s="1942"/>
      <c r="J64" s="1942"/>
      <c r="K64" s="1942"/>
      <c r="L64" s="1942"/>
      <c r="M64" s="1942"/>
      <c r="N64" s="1936">
        <f t="shared" si="3"/>
        <v>0</v>
      </c>
    </row>
    <row r="65" spans="1:14" ht="24" customHeight="1" x14ac:dyDescent="0.25">
      <c r="A65" s="2428" t="s">
        <v>965</v>
      </c>
      <c r="B65" s="2429"/>
      <c r="C65" s="2429"/>
      <c r="D65" s="1945">
        <v>2369</v>
      </c>
      <c r="E65" s="1944">
        <f>'Expenditures 15-22'!K327</f>
        <v>3213</v>
      </c>
      <c r="F65" s="1939"/>
      <c r="G65" s="1943"/>
      <c r="H65" s="1942"/>
      <c r="I65" s="1942"/>
      <c r="J65" s="1942"/>
      <c r="K65" s="1942"/>
      <c r="L65" s="1942"/>
      <c r="M65" s="1942">
        <v>3213</v>
      </c>
      <c r="N65" s="1936">
        <f t="shared" si="3"/>
        <v>3213</v>
      </c>
    </row>
    <row r="66" spans="1:14" ht="24.75" customHeight="1" x14ac:dyDescent="0.25">
      <c r="A66" s="2428" t="s">
        <v>469</v>
      </c>
      <c r="B66" s="2429"/>
      <c r="C66" s="2429"/>
      <c r="D66" s="1945">
        <v>2371</v>
      </c>
      <c r="E66" s="1944">
        <f>'Expenditures 15-22'!K328</f>
        <v>0</v>
      </c>
      <c r="F66" s="1939"/>
      <c r="G66" s="1943"/>
      <c r="H66" s="1942"/>
      <c r="I66" s="1942"/>
      <c r="J66" s="1942"/>
      <c r="K66" s="1942"/>
      <c r="L66" s="1942"/>
      <c r="M66" s="1942"/>
      <c r="N66" s="1936">
        <f t="shared" si="3"/>
        <v>0</v>
      </c>
    </row>
    <row r="67" spans="1:14" ht="24.75" customHeight="1" x14ac:dyDescent="0.25">
      <c r="A67" s="2430" t="s">
        <v>2124</v>
      </c>
      <c r="B67" s="2431"/>
      <c r="C67" s="2431"/>
      <c r="D67" s="1941">
        <v>2372</v>
      </c>
      <c r="E67" s="1940">
        <f>'Expenditures 15-22'!K329</f>
        <v>0</v>
      </c>
      <c r="F67" s="1939"/>
      <c r="G67" s="1938"/>
      <c r="H67" s="1937"/>
      <c r="I67" s="1937"/>
      <c r="J67" s="1937"/>
      <c r="K67" s="1937"/>
      <c r="L67" s="1937"/>
      <c r="M67" s="1937"/>
      <c r="N67" s="1936">
        <f t="shared" si="3"/>
        <v>0</v>
      </c>
    </row>
    <row r="68" spans="1:14" x14ac:dyDescent="0.25">
      <c r="A68" s="2432" t="s">
        <v>1153</v>
      </c>
      <c r="B68" s="2433"/>
      <c r="C68" s="2433"/>
      <c r="D68" s="1935"/>
      <c r="E68" s="1933">
        <f>SUM(E57:E67)</f>
        <v>562174</v>
      </c>
      <c r="F68" s="1934"/>
      <c r="G68" s="1933">
        <f t="shared" ref="G68:N68" si="4">SUM(G57:G67)</f>
        <v>10800</v>
      </c>
      <c r="H68" s="1933">
        <f t="shared" si="4"/>
        <v>0</v>
      </c>
      <c r="I68" s="1933">
        <f t="shared" si="4"/>
        <v>0</v>
      </c>
      <c r="J68" s="1933">
        <f t="shared" si="4"/>
        <v>0</v>
      </c>
      <c r="K68" s="1933">
        <f t="shared" si="4"/>
        <v>0</v>
      </c>
      <c r="L68" s="1933">
        <f t="shared" si="4"/>
        <v>0</v>
      </c>
      <c r="M68" s="1933">
        <f t="shared" si="4"/>
        <v>551374</v>
      </c>
      <c r="N68" s="1932">
        <f t="shared" si="4"/>
        <v>562174</v>
      </c>
    </row>
    <row r="69" spans="1:14" x14ac:dyDescent="0.25">
      <c r="A69" s="1928"/>
      <c r="B69" s="1927"/>
      <c r="C69" s="1927"/>
      <c r="D69" s="1927"/>
      <c r="E69" s="1927"/>
      <c r="F69" s="1927"/>
      <c r="G69" s="1927"/>
      <c r="H69" s="1931" t="s">
        <v>2123</v>
      </c>
      <c r="I69" s="1927"/>
      <c r="J69" s="1927"/>
      <c r="K69" s="1927"/>
      <c r="L69" s="1931" t="s">
        <v>2122</v>
      </c>
      <c r="M69" s="1927"/>
      <c r="N69" s="1930"/>
    </row>
    <row r="70" spans="1:14" ht="46.5" customHeight="1" x14ac:dyDescent="0.25">
      <c r="A70" s="1929" t="s">
        <v>2121</v>
      </c>
      <c r="B70" s="1927"/>
      <c r="C70" s="1927"/>
      <c r="D70" s="1927"/>
      <c r="E70" s="1927"/>
      <c r="F70" s="1927"/>
      <c r="G70" s="1927"/>
      <c r="H70" s="2424" t="s">
        <v>2120</v>
      </c>
      <c r="I70" s="2424"/>
      <c r="J70" s="2424"/>
      <c r="K70" s="1927"/>
      <c r="L70" s="2424" t="s">
        <v>2119</v>
      </c>
      <c r="M70" s="2424"/>
      <c r="N70" s="2425"/>
    </row>
    <row r="71" spans="1:14" ht="42.75" customHeight="1" x14ac:dyDescent="0.25">
      <c r="A71" s="1928"/>
      <c r="B71" s="1927"/>
      <c r="C71" s="1927"/>
      <c r="D71" s="1927"/>
      <c r="E71" s="1927"/>
      <c r="F71" s="1927"/>
      <c r="G71" s="1927"/>
      <c r="H71" s="2424" t="s">
        <v>2118</v>
      </c>
      <c r="I71" s="2424"/>
      <c r="J71" s="2424"/>
      <c r="K71" s="1927"/>
      <c r="L71" s="2426" t="s">
        <v>2117</v>
      </c>
      <c r="M71" s="2426"/>
      <c r="N71" s="2427"/>
    </row>
    <row r="72" spans="1:14" ht="52.5" customHeight="1" thickBot="1" x14ac:dyDescent="0.3">
      <c r="A72" s="1926"/>
      <c r="B72" s="1925"/>
      <c r="C72" s="1925"/>
      <c r="D72" s="1925"/>
      <c r="E72" s="1925"/>
      <c r="F72" s="1925"/>
      <c r="G72" s="1925"/>
      <c r="H72" s="2423" t="s">
        <v>2116</v>
      </c>
      <c r="I72" s="2423"/>
      <c r="J72" s="2423"/>
      <c r="K72" s="1925"/>
      <c r="L72" s="1925"/>
      <c r="M72" s="1925"/>
      <c r="N72" s="1924"/>
    </row>
  </sheetData>
  <sheetProtection algorithmName="SHA-512" hashValue="wvV9QtWobMydH3zGoZz4VH+4X7hhi5SFuwYWT02VSVdUMMTuzYuDKS4SLK3LuMMhVy9kUHZEYRZOaax5h3gvwA==" saltValue="UOJPWUTUEcLsbKlWyYUckw==" spinCount="100000" sheet="1" objects="1" scenarios="1"/>
  <mergeCells count="39">
    <mergeCell ref="J6:L6"/>
    <mergeCell ref="A7:E7"/>
    <mergeCell ref="J7:L7"/>
    <mergeCell ref="A11:C11"/>
    <mergeCell ref="B18:D18"/>
    <mergeCell ref="F30:H30"/>
    <mergeCell ref="C34:J35"/>
    <mergeCell ref="C37:J38"/>
    <mergeCell ref="C40:J40"/>
    <mergeCell ref="B20:D20"/>
    <mergeCell ref="C27:D27"/>
    <mergeCell ref="F27:H27"/>
    <mergeCell ref="F28:H28"/>
    <mergeCell ref="C29:D29"/>
    <mergeCell ref="F29:H29"/>
    <mergeCell ref="A43:N43"/>
    <mergeCell ref="A46:N47"/>
    <mergeCell ref="A64:C64"/>
    <mergeCell ref="L53:N53"/>
    <mergeCell ref="A55:C55"/>
    <mergeCell ref="G55:N55"/>
    <mergeCell ref="A56:C56"/>
    <mergeCell ref="A57:C57"/>
    <mergeCell ref="A58:C58"/>
    <mergeCell ref="A59:C59"/>
    <mergeCell ref="L52:N52"/>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0" zoomScaleNormal="110" workbookViewId="0">
      <selection activeCell="A24" sqref="A2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4" spans="1:2" x14ac:dyDescent="0.2">
      <c r="B4" s="1919" t="s">
        <v>1147</v>
      </c>
    </row>
    <row r="5" spans="1:2" x14ac:dyDescent="0.2">
      <c r="A5" s="847">
        <v>1</v>
      </c>
      <c r="B5" s="307" t="s">
        <v>2041</v>
      </c>
    </row>
    <row r="6" spans="1:2" x14ac:dyDescent="0.2">
      <c r="A6" s="847">
        <v>2</v>
      </c>
      <c r="B6" s="307" t="s">
        <v>2042</v>
      </c>
    </row>
    <row r="7" spans="1:2" x14ac:dyDescent="0.2">
      <c r="A7" s="847">
        <v>3</v>
      </c>
      <c r="B7" s="307" t="s">
        <v>2043</v>
      </c>
    </row>
    <row r="8" spans="1:2" x14ac:dyDescent="0.2">
      <c r="A8" s="847">
        <v>4</v>
      </c>
      <c r="B8" s="307" t="s">
        <v>2046</v>
      </c>
    </row>
    <row r="9" spans="1:2" x14ac:dyDescent="0.2">
      <c r="A9" s="848">
        <v>5</v>
      </c>
      <c r="B9" s="307" t="s">
        <v>2048</v>
      </c>
    </row>
    <row r="10" spans="1:2" x14ac:dyDescent="0.2">
      <c r="A10" s="848">
        <v>6</v>
      </c>
      <c r="B10" s="307" t="s">
        <v>2049</v>
      </c>
    </row>
    <row r="11" spans="1:2" x14ac:dyDescent="0.2">
      <c r="A11" s="848">
        <v>7</v>
      </c>
      <c r="B11" s="307" t="s">
        <v>2050</v>
      </c>
    </row>
    <row r="12" spans="1:2" x14ac:dyDescent="0.2">
      <c r="A12" s="848"/>
    </row>
    <row r="13" spans="1:2" x14ac:dyDescent="0.2">
      <c r="A13" s="848"/>
      <c r="B13" s="1919" t="s">
        <v>865</v>
      </c>
    </row>
    <row r="14" spans="1:2" x14ac:dyDescent="0.2">
      <c r="A14" s="848">
        <v>1</v>
      </c>
      <c r="B14" s="307" t="s">
        <v>2044</v>
      </c>
    </row>
    <row r="15" spans="1:2" x14ac:dyDescent="0.2">
      <c r="A15" s="848">
        <v>2</v>
      </c>
      <c r="B15" s="307" t="s">
        <v>2047</v>
      </c>
    </row>
    <row r="16" spans="1:2" x14ac:dyDescent="0.2">
      <c r="A16" s="848"/>
    </row>
    <row r="17" spans="1:2" x14ac:dyDescent="0.2">
      <c r="A17" s="848"/>
    </row>
    <row r="18" spans="1:2" x14ac:dyDescent="0.2">
      <c r="A18" s="848"/>
      <c r="B18" s="1919" t="s">
        <v>154</v>
      </c>
    </row>
    <row r="19" spans="1:2" x14ac:dyDescent="0.2">
      <c r="A19" s="848">
        <v>1</v>
      </c>
      <c r="B19" s="307" t="s">
        <v>2045</v>
      </c>
    </row>
    <row r="20" spans="1:2" x14ac:dyDescent="0.2">
      <c r="A20" s="848">
        <v>2</v>
      </c>
      <c r="B20" s="307" t="s">
        <v>2113</v>
      </c>
    </row>
    <row r="21" spans="1:2" x14ac:dyDescent="0.2">
      <c r="A21" s="848"/>
    </row>
    <row r="22" spans="1:2" x14ac:dyDescent="0.2">
      <c r="A22" s="848"/>
      <c r="B22" s="1920"/>
    </row>
    <row r="23" spans="1:2" x14ac:dyDescent="0.2">
      <c r="A23" s="848"/>
      <c r="B23" s="1919" t="s">
        <v>944</v>
      </c>
    </row>
    <row r="24" spans="1:2" x14ac:dyDescent="0.2">
      <c r="A24" s="848">
        <v>1</v>
      </c>
      <c r="B24" s="307" t="s">
        <v>2051</v>
      </c>
    </row>
    <row r="25" spans="1:2" x14ac:dyDescent="0.2">
      <c r="A25" s="848"/>
      <c r="B25" s="307" t="s">
        <v>2052</v>
      </c>
    </row>
    <row r="26" spans="1:2" x14ac:dyDescent="0.2">
      <c r="A26" s="848"/>
    </row>
    <row r="27" spans="1:2" x14ac:dyDescent="0.2">
      <c r="A27" s="848"/>
      <c r="B27" s="1919" t="s">
        <v>1056</v>
      </c>
    </row>
    <row r="28" spans="1:2" x14ac:dyDescent="0.2">
      <c r="A28" s="848">
        <v>1</v>
      </c>
      <c r="B28" s="307" t="s">
        <v>2053</v>
      </c>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253"/>
    </row>
    <row r="64" spans="1:2" x14ac:dyDescent="0.2">
      <c r="A64" s="307" t="s">
        <v>2114</v>
      </c>
      <c r="B64" s="849"/>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16" sqref="E1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1831</v>
      </c>
      <c r="C4" s="157" t="s">
        <v>1161</v>
      </c>
      <c r="D4" s="164" t="s">
        <v>10</v>
      </c>
      <c r="E4" s="165" t="s">
        <v>22</v>
      </c>
    </row>
    <row r="5" spans="1:5" x14ac:dyDescent="0.2">
      <c r="A5" s="163" t="s">
        <v>1833</v>
      </c>
      <c r="C5" s="157" t="s">
        <v>1161</v>
      </c>
      <c r="D5" s="164" t="s">
        <v>10</v>
      </c>
      <c r="E5" s="165" t="s">
        <v>22</v>
      </c>
    </row>
    <row r="6" spans="1:5" x14ac:dyDescent="0.2">
      <c r="A6" s="163" t="s">
        <v>1832</v>
      </c>
      <c r="C6" s="157" t="s">
        <v>1161</v>
      </c>
      <c r="D6" s="162" t="s">
        <v>11</v>
      </c>
      <c r="E6" s="165" t="s">
        <v>935</v>
      </c>
    </row>
    <row r="7" spans="1:5" x14ac:dyDescent="0.2">
      <c r="A7" s="163" t="s">
        <v>1834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1835</v>
      </c>
      <c r="C11" s="157" t="s">
        <v>1161</v>
      </c>
      <c r="D11" s="164" t="s">
        <v>14</v>
      </c>
      <c r="E11" s="165" t="s">
        <v>1148</v>
      </c>
    </row>
    <row r="12" spans="1:5" x14ac:dyDescent="0.2">
      <c r="B12" s="164" t="s">
        <v>1836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1837</v>
      </c>
      <c r="C15" s="157" t="s">
        <v>1161</v>
      </c>
      <c r="D15" s="164" t="s">
        <v>17</v>
      </c>
      <c r="E15" s="165" t="s">
        <v>631</v>
      </c>
    </row>
    <row r="16" spans="1:5" x14ac:dyDescent="0.2">
      <c r="A16" s="167"/>
      <c r="B16" s="157" t="s">
        <v>1838</v>
      </c>
      <c r="C16" s="157" t="s">
        <v>1161</v>
      </c>
      <c r="D16" s="164" t="s">
        <v>676</v>
      </c>
      <c r="E16" s="165" t="s">
        <v>1033</v>
      </c>
    </row>
    <row r="17" spans="1:5" x14ac:dyDescent="0.2">
      <c r="B17" s="162" t="s">
        <v>981</v>
      </c>
      <c r="C17" s="157" t="s">
        <v>1161</v>
      </c>
    </row>
    <row r="18" spans="1:5" x14ac:dyDescent="0.2">
      <c r="B18" s="162" t="s">
        <v>1844</v>
      </c>
      <c r="D18" s="164" t="s">
        <v>18</v>
      </c>
      <c r="E18" s="165" t="s">
        <v>1034</v>
      </c>
    </row>
    <row r="19" spans="1:5" x14ac:dyDescent="0.2">
      <c r="A19" s="163" t="s">
        <v>1092</v>
      </c>
      <c r="C19" s="157" t="s">
        <v>1161</v>
      </c>
      <c r="D19" s="164"/>
      <c r="E19" s="166"/>
    </row>
    <row r="20" spans="1:5" x14ac:dyDescent="0.2">
      <c r="B20" s="162" t="s">
        <v>1839</v>
      </c>
      <c r="C20" s="157" t="s">
        <v>1161</v>
      </c>
      <c r="D20" s="164" t="s">
        <v>19</v>
      </c>
      <c r="E20" s="165" t="s">
        <v>51</v>
      </c>
    </row>
    <row r="21" spans="1:5" x14ac:dyDescent="0.2">
      <c r="B21" s="162" t="s">
        <v>1840</v>
      </c>
      <c r="C21" s="157" t="s">
        <v>1161</v>
      </c>
      <c r="D21" s="164" t="s">
        <v>20</v>
      </c>
      <c r="E21" s="165" t="s">
        <v>1596</v>
      </c>
    </row>
    <row r="22" spans="1:5" x14ac:dyDescent="0.2">
      <c r="A22" s="163"/>
      <c r="B22" s="157" t="s">
        <v>1828</v>
      </c>
      <c r="C22" s="157" t="s">
        <v>1161</v>
      </c>
      <c r="D22" s="162" t="s">
        <v>1830</v>
      </c>
      <c r="E22" s="1470" t="s">
        <v>1597</v>
      </c>
    </row>
    <row r="23" spans="1:5" x14ac:dyDescent="0.2">
      <c r="A23" s="163"/>
      <c r="B23" s="157" t="s">
        <v>1829</v>
      </c>
      <c r="D23" s="162" t="s">
        <v>632</v>
      </c>
      <c r="E23" s="1470" t="s">
        <v>953</v>
      </c>
    </row>
    <row r="24" spans="1:5" x14ac:dyDescent="0.2">
      <c r="A24" s="163" t="s">
        <v>1595</v>
      </c>
      <c r="C24" s="157" t="s">
        <v>1161</v>
      </c>
      <c r="D24" s="162" t="s">
        <v>1379</v>
      </c>
      <c r="E24" s="165" t="s">
        <v>954</v>
      </c>
    </row>
    <row r="25" spans="1:5" x14ac:dyDescent="0.2">
      <c r="A25" s="163" t="s">
        <v>1841</v>
      </c>
      <c r="C25" s="157" t="s">
        <v>1161</v>
      </c>
      <c r="D25" s="164" t="s">
        <v>21</v>
      </c>
      <c r="E25" s="165" t="s">
        <v>1035</v>
      </c>
    </row>
    <row r="26" spans="1:5" x14ac:dyDescent="0.2">
      <c r="A26" s="163" t="s">
        <v>1842</v>
      </c>
      <c r="C26" s="157" t="s">
        <v>1161</v>
      </c>
      <c r="D26" s="164" t="s">
        <v>559</v>
      </c>
      <c r="E26" s="165" t="s">
        <v>1036</v>
      </c>
    </row>
    <row r="27" spans="1:5" x14ac:dyDescent="0.2">
      <c r="A27" s="163" t="s">
        <v>1843</v>
      </c>
      <c r="C27" s="157" t="s">
        <v>1161</v>
      </c>
      <c r="D27" s="164" t="s">
        <v>553</v>
      </c>
      <c r="E27" s="165" t="s">
        <v>678</v>
      </c>
    </row>
    <row r="28" spans="1:5" x14ac:dyDescent="0.2">
      <c r="A28" s="163" t="s">
        <v>1845</v>
      </c>
      <c r="D28" s="164" t="s">
        <v>679</v>
      </c>
      <c r="E28" s="165" t="s">
        <v>1352</v>
      </c>
    </row>
    <row r="29" spans="1:5" x14ac:dyDescent="0.2">
      <c r="A29" s="163" t="s">
        <v>1846</v>
      </c>
      <c r="D29" s="164" t="s">
        <v>1380</v>
      </c>
      <c r="E29" s="165" t="s">
        <v>1361</v>
      </c>
    </row>
    <row r="30" spans="1:5" x14ac:dyDescent="0.2">
      <c r="A30" s="168" t="s">
        <v>1847</v>
      </c>
      <c r="C30" s="157" t="s">
        <v>1161</v>
      </c>
      <c r="D30" s="164" t="s">
        <v>40</v>
      </c>
      <c r="E30" s="165" t="s">
        <v>975</v>
      </c>
    </row>
    <row r="31" spans="1:5" x14ac:dyDescent="0.2">
      <c r="A31" s="163" t="s">
        <v>1507</v>
      </c>
      <c r="C31" s="157" t="s">
        <v>1161</v>
      </c>
      <c r="D31" s="162"/>
      <c r="E31" s="166"/>
    </row>
    <row r="32" spans="1:5" x14ac:dyDescent="0.2">
      <c r="B32" s="162" t="s">
        <v>1848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7" t="s">
        <v>1058</v>
      </c>
      <c r="B35" s="2157"/>
      <c r="C35" s="2157"/>
      <c r="D35" s="2157"/>
      <c r="E35" s="215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4" t="s">
        <v>686</v>
      </c>
      <c r="B40" s="2154"/>
      <c r="C40" s="2154"/>
      <c r="D40" s="2154"/>
      <c r="E40" s="2154"/>
    </row>
    <row r="41" spans="1:5" x14ac:dyDescent="0.2">
      <c r="A41" s="2155" t="s">
        <v>1594</v>
      </c>
      <c r="B41" s="2155"/>
      <c r="C41" s="2155"/>
      <c r="D41" s="2155"/>
      <c r="E41" s="2155"/>
    </row>
    <row r="42" spans="1:5" ht="12.75" customHeight="1" x14ac:dyDescent="0.2">
      <c r="A42" s="2156" t="s">
        <v>1015</v>
      </c>
      <c r="B42" s="2156"/>
      <c r="C42" s="2156"/>
      <c r="D42" s="2156"/>
      <c r="E42" s="2156"/>
    </row>
    <row r="43" spans="1:5" ht="6.75" customHeight="1" x14ac:dyDescent="0.2">
      <c r="A43" s="162"/>
      <c r="B43" s="171"/>
    </row>
    <row r="44" spans="1:5" x14ac:dyDescent="0.2">
      <c r="A44" s="180" t="s">
        <v>976</v>
      </c>
      <c r="B44" s="181" t="s">
        <v>1871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256" t="s">
        <v>1754</v>
      </c>
    </row>
    <row r="60" spans="1:3" x14ac:dyDescent="0.2">
      <c r="A60" s="191"/>
      <c r="B60" s="1256" t="s">
        <v>1755</v>
      </c>
    </row>
    <row r="61" spans="1:3" ht="6" customHeight="1" x14ac:dyDescent="0.2">
      <c r="A61" s="192"/>
      <c r="B61" s="184"/>
    </row>
    <row r="62" spans="1:3" x14ac:dyDescent="0.2">
      <c r="A62" s="164" t="s">
        <v>1602</v>
      </c>
      <c r="B62" s="193" t="s">
        <v>1751</v>
      </c>
    </row>
    <row r="63" spans="1:3" x14ac:dyDescent="0.2">
      <c r="A63" s="183"/>
      <c r="B63" s="164" t="s">
        <v>1766</v>
      </c>
    </row>
    <row r="64" spans="1:3" x14ac:dyDescent="0.2">
      <c r="A64" s="190"/>
      <c r="B64" s="1258"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257" t="s">
        <v>1605</v>
      </c>
    </row>
    <row r="72" spans="1:9" ht="9" customHeight="1" x14ac:dyDescent="0.2">
      <c r="A72" s="187"/>
      <c r="B72" s="194"/>
    </row>
    <row r="73" spans="1:9" x14ac:dyDescent="0.2">
      <c r="A73" s="184" t="s">
        <v>1606</v>
      </c>
      <c r="B73" s="164" t="s">
        <v>1762</v>
      </c>
    </row>
    <row r="74" spans="1:9" x14ac:dyDescent="0.2">
      <c r="A74" s="184"/>
      <c r="B74" s="164" t="s">
        <v>1761</v>
      </c>
    </row>
    <row r="75" spans="1:9" ht="8.25" customHeight="1" x14ac:dyDescent="0.2">
      <c r="A75" s="184"/>
      <c r="B75" s="184"/>
    </row>
    <row r="76" spans="1:9" ht="12.2" customHeight="1" x14ac:dyDescent="0.2">
      <c r="A76" s="184" t="s">
        <v>1607</v>
      </c>
      <c r="B76" s="193" t="s">
        <v>1763</v>
      </c>
    </row>
    <row r="77" spans="1:9" ht="12.2" customHeight="1" x14ac:dyDescent="0.2">
      <c r="A77" s="185"/>
      <c r="B77" s="164" t="s">
        <v>1608</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7" sqref="H7"/>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1974</v>
      </c>
    </row>
    <row r="17" spans="1:2" ht="6" customHeight="1" x14ac:dyDescent="0.2"/>
    <row r="18" spans="1:2" ht="24.75" customHeight="1" x14ac:dyDescent="0.2">
      <c r="A18" s="2478" t="s">
        <v>1668</v>
      </c>
      <c r="B18" s="247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3</xdr:col>
                <xdr:colOff>0</xdr:colOff>
                <xdr:row>6</xdr:row>
                <xdr:rowOff>0</xdr:rowOff>
              </from>
              <to>
                <xdr:col>4</xdr:col>
                <xdr:colOff>304800</xdr:colOff>
                <xdr:row>10</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5</xdr:col>
                <xdr:colOff>0</xdr:colOff>
                <xdr:row>6</xdr:row>
                <xdr:rowOff>0</xdr:rowOff>
              </from>
              <to>
                <xdr:col>6</xdr:col>
                <xdr:colOff>304800</xdr:colOff>
                <xdr:row>10</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Worksheet" dvAspect="DVASPECT_ICON" shapeId="43011" r:id="rId8">
          <objectPr defaultSize="0" r:id="rId9">
            <anchor moveWithCells="1">
              <from>
                <xdr:col>7</xdr:col>
                <xdr:colOff>0</xdr:colOff>
                <xdr:row>6</xdr:row>
                <xdr:rowOff>0</xdr:rowOff>
              </from>
              <to>
                <xdr:col>8</xdr:col>
                <xdr:colOff>304800</xdr:colOff>
                <xdr:row>10</xdr:row>
                <xdr:rowOff>38100</xdr:rowOff>
              </to>
            </anchor>
          </objectPr>
        </oleObject>
      </mc:Choice>
      <mc:Fallback>
        <oleObject progId="Workshee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25" sqref="H2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9" t="s">
        <v>1672</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53"/>
      <c r="H2" s="853"/>
    </row>
    <row r="3" spans="1:8" ht="57" customHeight="1" x14ac:dyDescent="0.2">
      <c r="A3" s="2492" t="s">
        <v>1973</v>
      </c>
      <c r="B3" s="2493"/>
      <c r="C3" s="2493"/>
      <c r="D3" s="2493"/>
      <c r="E3" s="2493"/>
      <c r="F3" s="2494"/>
      <c r="G3" s="853"/>
      <c r="H3" s="853"/>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53"/>
      <c r="H4" s="853"/>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53"/>
      <c r="H5" s="853"/>
    </row>
    <row r="6" spans="1:8" s="854" customFormat="1" ht="41.25" customHeight="1" x14ac:dyDescent="0.2">
      <c r="A6" s="2495" t="s">
        <v>1673</v>
      </c>
      <c r="B6" s="2496"/>
      <c r="C6" s="2496"/>
      <c r="D6" s="2496"/>
      <c r="E6" s="2496"/>
      <c r="F6" s="2497"/>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8042954</v>
      </c>
      <c r="C8" s="1813">
        <f>'Acct Summary 7-8'!D8</f>
        <v>307202</v>
      </c>
      <c r="D8" s="1813">
        <f>'Acct Summary 7-8'!F8</f>
        <v>804154</v>
      </c>
      <c r="E8" s="1813">
        <f>'Acct Summary 7-8'!I8</f>
        <v>42024</v>
      </c>
      <c r="F8" s="1813">
        <f>SUM(B8:E8)</f>
        <v>9196334</v>
      </c>
    </row>
    <row r="9" spans="1:8" s="858" customFormat="1" ht="14.25" customHeight="1" thickBot="1" x14ac:dyDescent="0.25">
      <c r="A9" s="857" t="s">
        <v>1355</v>
      </c>
      <c r="B9" s="1814">
        <f>'Acct Summary 7-8'!C17</f>
        <v>7298505</v>
      </c>
      <c r="C9" s="1814">
        <f>'Acct Summary 7-8'!D17</f>
        <v>395449</v>
      </c>
      <c r="D9" s="1814">
        <f>'Acct Summary 7-8'!F17</f>
        <v>810414</v>
      </c>
      <c r="E9" s="1813"/>
      <c r="F9" s="1813">
        <f>SUM(B9:E9)</f>
        <v>8504368</v>
      </c>
    </row>
    <row r="10" spans="1:8" s="858" customFormat="1" ht="14.25" thickTop="1" thickBot="1" x14ac:dyDescent="0.25">
      <c r="A10" s="859" t="s">
        <v>1356</v>
      </c>
      <c r="B10" s="1815">
        <f>(B8-B9)</f>
        <v>744449</v>
      </c>
      <c r="C10" s="1815">
        <f>(C8-C9)</f>
        <v>-88247</v>
      </c>
      <c r="D10" s="1815">
        <f>(D8-D9)</f>
        <v>-6260</v>
      </c>
      <c r="E10" s="1814">
        <f>(E8-E9)</f>
        <v>42024</v>
      </c>
      <c r="F10" s="1816">
        <f>SUM(F8-F9)</f>
        <v>691966</v>
      </c>
    </row>
    <row r="11" spans="1:8" s="858" customFormat="1" ht="14.25" thickTop="1" thickBot="1" x14ac:dyDescent="0.25">
      <c r="A11" s="860" t="s">
        <v>1904</v>
      </c>
      <c r="B11" s="1817">
        <f>'Acct Summary 7-8'!C81</f>
        <v>1787062</v>
      </c>
      <c r="C11" s="1817">
        <f>'Acct Summary 7-8'!D81</f>
        <v>98446</v>
      </c>
      <c r="D11" s="1817">
        <f>'Acct Summary 7-8'!F81</f>
        <v>1012095</v>
      </c>
      <c r="E11" s="1817">
        <f>'Acct Summary 7-8'!I81</f>
        <v>1891445</v>
      </c>
      <c r="F11" s="1818">
        <f>SUM(B11:E11)</f>
        <v>4789048</v>
      </c>
    </row>
    <row r="12" spans="1:8" ht="16.5" customHeight="1" thickTop="1" x14ac:dyDescent="0.2">
      <c r="A12" s="861"/>
      <c r="B12" s="862"/>
      <c r="C12" s="2483" t="str">
        <f>IF(AND(F10&lt;0,F11&gt;=0,ABS(F10*3)&gt;ABS(F11)),A16,IF(AND(F10&lt;0,F11&gt;0,ABS(F10*3)&lt;=ABS(F11)),A17,IF(AND(F10&lt;0,F11&lt;0),A16,IF(F11=0,A19,A18))))</f>
        <v>Balanced - no deficit reduction plan is required.</v>
      </c>
      <c r="D12" s="2484"/>
      <c r="E12" s="2484"/>
      <c r="F12" s="2485"/>
    </row>
    <row r="13" spans="1:8" ht="19.5" customHeight="1" x14ac:dyDescent="0.2">
      <c r="A13" s="863"/>
      <c r="B13" s="864"/>
      <c r="C13" s="2483"/>
      <c r="D13" s="2484"/>
      <c r="E13" s="2484"/>
      <c r="F13" s="2485"/>
      <c r="H13" s="853"/>
    </row>
    <row r="14" spans="1:8" ht="19.5" customHeight="1" x14ac:dyDescent="0.2">
      <c r="A14" s="863"/>
      <c r="B14" s="864"/>
      <c r="C14" s="2483"/>
      <c r="D14" s="2484"/>
      <c r="E14" s="2484"/>
      <c r="F14" s="2485"/>
      <c r="H14" s="853"/>
    </row>
    <row r="15" spans="1:8" ht="17.25" customHeight="1" x14ac:dyDescent="0.2">
      <c r="A15" s="863"/>
      <c r="B15" s="864"/>
      <c r="C15" s="2486"/>
      <c r="D15" s="2487"/>
      <c r="E15" s="2487"/>
      <c r="F15" s="2488"/>
      <c r="H15" s="853"/>
    </row>
    <row r="16" spans="1:8" s="288" customFormat="1" ht="51.75" hidden="1" customHeight="1" x14ac:dyDescent="0.2">
      <c r="A16" s="2482" t="s">
        <v>1669</v>
      </c>
      <c r="B16" s="2482"/>
      <c r="C16" s="2482"/>
      <c r="D16" s="2482"/>
      <c r="E16" s="2482"/>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G23" sqref="G2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4" t="s">
        <v>660</v>
      </c>
      <c r="B3" s="2505"/>
      <c r="C3" s="2505"/>
      <c r="D3" s="2506"/>
    </row>
    <row r="4" spans="1:4" x14ac:dyDescent="0.2">
      <c r="A4" s="931" t="s">
        <v>1674</v>
      </c>
      <c r="B4" s="932"/>
      <c r="C4" s="933"/>
      <c r="D4" s="934"/>
    </row>
    <row r="5" spans="1:4" ht="21" customHeight="1" x14ac:dyDescent="0.2">
      <c r="A5" s="927"/>
      <c r="B5" s="928">
        <v>1</v>
      </c>
      <c r="C5" s="929" t="s">
        <v>1975</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5" t="s">
        <v>1490</v>
      </c>
      <c r="D7" s="2516"/>
    </row>
    <row r="8" spans="1:4" s="542" customFormat="1" ht="12.75" x14ac:dyDescent="0.2">
      <c r="A8" s="917"/>
      <c r="B8" s="872"/>
      <c r="C8" s="875" t="s">
        <v>1489</v>
      </c>
      <c r="D8" s="876"/>
    </row>
    <row r="9" spans="1:4" s="542" customFormat="1" ht="14.25" customHeight="1" x14ac:dyDescent="0.2">
      <c r="A9" s="917"/>
      <c r="B9" s="872">
        <f>B7+1</f>
        <v>4</v>
      </c>
      <c r="C9" s="873" t="s">
        <v>1880</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07" t="s">
        <v>1001</v>
      </c>
      <c r="B15" s="2508"/>
      <c r="C15" s="2508"/>
      <c r="D15" s="2509"/>
    </row>
    <row r="16" spans="1:4" s="542" customFormat="1" ht="24" customHeight="1" x14ac:dyDescent="0.2">
      <c r="A16" s="2510" t="s">
        <v>658</v>
      </c>
      <c r="B16" s="2511"/>
      <c r="C16" s="2511"/>
      <c r="D16" s="2512"/>
    </row>
    <row r="17" spans="1:10" s="542" customFormat="1" ht="12.75" customHeight="1" x14ac:dyDescent="0.2">
      <c r="A17" s="935" t="s">
        <v>1675</v>
      </c>
      <c r="B17" s="936"/>
      <c r="C17" s="937"/>
      <c r="D17" s="938"/>
    </row>
    <row r="18" spans="1:10" s="542" customFormat="1" ht="12.75" customHeight="1" x14ac:dyDescent="0.2">
      <c r="A18" s="939" t="s">
        <v>1976</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9" t="s">
        <v>311</v>
      </c>
      <c r="D21" s="2520"/>
    </row>
    <row r="22" spans="1:10" ht="12.75" x14ac:dyDescent="0.2">
      <c r="A22" s="918"/>
      <c r="B22" s="919">
        <v>2</v>
      </c>
      <c r="C22" s="2517" t="s">
        <v>1510</v>
      </c>
      <c r="D22" s="251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1" t="s">
        <v>533</v>
      </c>
      <c r="D43" s="2522"/>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13" t="s">
        <v>779</v>
      </c>
      <c r="D56" s="2514"/>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1881</v>
      </c>
      <c r="D66" s="904"/>
    </row>
    <row r="67" spans="1:4" x14ac:dyDescent="0.2">
      <c r="A67" s="898"/>
      <c r="B67" s="919"/>
      <c r="C67" s="926" t="s">
        <v>1014</v>
      </c>
      <c r="D67" s="904"/>
    </row>
    <row r="68" spans="1:4" x14ac:dyDescent="0.2">
      <c r="A68" s="879"/>
      <c r="B68" s="889"/>
      <c r="C68" s="881" t="s">
        <v>1882</v>
      </c>
      <c r="D68" s="903" t="str">
        <f>IF('Short-Term Long-Term Debt 24'!F49=SUM(,'Acct Summary 7-8'!C33:K33),"OK","ERROR!")</f>
        <v>OK</v>
      </c>
    </row>
    <row r="69" spans="1:4" x14ac:dyDescent="0.2">
      <c r="A69" s="879"/>
      <c r="B69" s="889"/>
      <c r="C69" s="881" t="s">
        <v>1883</v>
      </c>
      <c r="D69" s="903" t="str">
        <f>IF('Expenditures 15-22'!H170&lt;&gt;'Short-Term Long-Term Debt 24'!H49,"ERROR!","OK")</f>
        <v>OK</v>
      </c>
    </row>
    <row r="70" spans="1:4" x14ac:dyDescent="0.2">
      <c r="A70" s="877"/>
      <c r="B70" s="899">
        <f>B66+1</f>
        <v>9</v>
      </c>
      <c r="C70" s="2513" t="s">
        <v>1677</v>
      </c>
      <c r="D70" s="2514"/>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1884</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1989</v>
      </c>
      <c r="D78" s="903" t="str">
        <f>IF(ISNUMBER('Acct Summary 7-8'!C9),"OK","ENTRY IS REQUIRED!")</f>
        <v>OK</v>
      </c>
    </row>
    <row r="79" spans="1:4" x14ac:dyDescent="0.2">
      <c r="A79" s="898"/>
      <c r="B79" s="899">
        <f>B74+1+1</f>
        <v>12</v>
      </c>
      <c r="C79" s="909" t="s">
        <v>1872</v>
      </c>
      <c r="D79" s="910" t="str">
        <f>IF(OR(COVER!$B$6="X",'PCTC-OEPP 27-28'!F79&gt;0),"OK","PLEASE ENTER 9 MO ADA.")</f>
        <v>OK</v>
      </c>
    </row>
    <row r="80" spans="1:4" x14ac:dyDescent="0.2">
      <c r="A80" s="877"/>
      <c r="B80" s="899">
        <v>13</v>
      </c>
      <c r="C80" s="909" t="s">
        <v>1977</v>
      </c>
      <c r="D80" s="910" t="str">
        <f>IF(OR(COVER!$B$6="X",ISNUMBER('PCTC-OEPP 27-28'!F172)),"OK","PLEASE ENTER AMOUNT or 0.")</f>
        <v>OK</v>
      </c>
    </row>
    <row r="81" spans="1:4" x14ac:dyDescent="0.2">
      <c r="A81" s="877"/>
      <c r="B81" s="899">
        <v>14</v>
      </c>
      <c r="C81" s="909" t="s">
        <v>1978</v>
      </c>
      <c r="D81" s="910" t="str">
        <f>IF(OR(COVER!$B$6="X",ISNUMBER('PCTC-OEPP 27-28'!F173)),"OK","PLEASE ENTER AMOUNT or 0.")</f>
        <v>OK</v>
      </c>
    </row>
    <row r="82" spans="1:4" x14ac:dyDescent="0.2">
      <c r="A82" s="877"/>
      <c r="B82" s="899">
        <v>15</v>
      </c>
      <c r="C82" s="909" t="s">
        <v>1885</v>
      </c>
      <c r="D82" s="1900" t="str">
        <f>IF('Contracts Paid in CY 29'!$D$67&gt;0,"OK","PLEASE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1968</v>
      </c>
      <c r="F1" s="1543" t="s">
        <v>1969</v>
      </c>
      <c r="G1" s="1899" t="s">
        <v>1979</v>
      </c>
    </row>
    <row r="2" spans="1:7" ht="15.75" x14ac:dyDescent="0.25">
      <c r="A2" t="s">
        <v>260</v>
      </c>
      <c r="B2" s="135">
        <f>COVER!A13</f>
        <v>30039176026</v>
      </c>
      <c r="E2" s="1542">
        <v>2020</v>
      </c>
      <c r="F2" s="1542">
        <v>1</v>
      </c>
      <c r="G2" s="1898">
        <v>101000300</v>
      </c>
    </row>
    <row r="3" spans="1:7" ht="15" x14ac:dyDescent="0.25">
      <c r="A3" t="s">
        <v>950</v>
      </c>
      <c r="B3" s="135" t="str">
        <f>COVER!A15</f>
        <v>Perry/Randolph/Jackson</v>
      </c>
      <c r="E3" s="1830" t="s">
        <v>1972</v>
      </c>
      <c r="F3" s="1830" t="s">
        <v>1971</v>
      </c>
      <c r="G3" s="1898">
        <v>101000400</v>
      </c>
    </row>
    <row r="4" spans="1:7" ht="15" x14ac:dyDescent="0.25">
      <c r="A4" t="s">
        <v>1000</v>
      </c>
      <c r="B4" s="135" t="str">
        <f>COVER!A17</f>
        <v xml:space="preserve">   TRICO CUSD 176</v>
      </c>
      <c r="E4" s="1828">
        <v>44119</v>
      </c>
      <c r="F4" s="1829">
        <v>44151</v>
      </c>
      <c r="G4" s="1898">
        <v>101000600</v>
      </c>
    </row>
    <row r="5" spans="1:7" ht="15" x14ac:dyDescent="0.25">
      <c r="A5" t="s">
        <v>699</v>
      </c>
      <c r="B5" s="135" t="str">
        <f>COVER!A38</f>
        <v>Larry Lovel</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1529</v>
      </c>
      <c r="B12" s="135" t="str">
        <f>IF(COVER!J29="x","Yes",IF(COVER!L29="X","No",0))</f>
        <v>Yes</v>
      </c>
      <c r="G12" s="1898">
        <v>202100600</v>
      </c>
    </row>
    <row r="13" spans="1:7" ht="15" x14ac:dyDescent="0.25">
      <c r="A13" s="1" t="s">
        <v>1530</v>
      </c>
      <c r="B13" s="135" t="str">
        <f>IF(COVER!J30="x","Yes",IF(COVER!L30="x","No",0))</f>
        <v>Yes</v>
      </c>
      <c r="G13" s="1898">
        <v>202100800</v>
      </c>
    </row>
    <row r="14" spans="1:7" ht="15" x14ac:dyDescent="0.25">
      <c r="A14" t="s">
        <v>473</v>
      </c>
      <c r="B14" s="135" t="str">
        <f>IF(COVER!J31="x","Yes",IF(COVER!L31="x","No",0))</f>
        <v>No</v>
      </c>
      <c r="G14" s="1898">
        <v>402100300</v>
      </c>
    </row>
    <row r="15" spans="1:7" ht="15" x14ac:dyDescent="0.25">
      <c r="A15" t="s">
        <v>573</v>
      </c>
      <c r="B15" s="135" t="str">
        <f>COVER!T23</f>
        <v>066-003998</v>
      </c>
      <c r="G15" s="1898">
        <v>402100400</v>
      </c>
    </row>
    <row r="16" spans="1:7" ht="15" x14ac:dyDescent="0.25">
      <c r="A16" t="s">
        <v>419</v>
      </c>
      <c r="B16" s="135" t="str">
        <f>COVER!T13</f>
        <v>Kemper CPA Group, LLP</v>
      </c>
      <c r="G16" s="1898">
        <v>402100600</v>
      </c>
    </row>
    <row r="17" spans="1:7" ht="15" x14ac:dyDescent="0.25">
      <c r="A17" t="s">
        <v>878</v>
      </c>
      <c r="B17" s="135" t="str">
        <f>COVER!T15</f>
        <v>Kimberly Walker, CPA</v>
      </c>
      <c r="G17" s="1898">
        <v>402100800</v>
      </c>
    </row>
    <row r="18" spans="1:7" ht="15" x14ac:dyDescent="0.25">
      <c r="A18" t="s">
        <v>1142</v>
      </c>
      <c r="B18" s="135" t="str">
        <f>COVER!T17</f>
        <v>3401 Professional Park Drive, PO BOX 129</v>
      </c>
      <c r="G18" s="1898">
        <v>102200300</v>
      </c>
    </row>
    <row r="19" spans="1:7" ht="15" x14ac:dyDescent="0.25">
      <c r="A19" t="s">
        <v>880</v>
      </c>
      <c r="B19" s="135" t="str">
        <f>COVER!T25</f>
        <v>kwalker@kcpag.com</v>
      </c>
      <c r="G19" s="1898">
        <v>102200400</v>
      </c>
    </row>
    <row r="20" spans="1:7" ht="15" x14ac:dyDescent="0.25">
      <c r="A20" t="s">
        <v>881</v>
      </c>
      <c r="B20" s="135" t="str">
        <f>COVER!T19</f>
        <v>Marion</v>
      </c>
      <c r="G20" s="1898">
        <v>102200600</v>
      </c>
    </row>
    <row r="21" spans="1:7" ht="15" x14ac:dyDescent="0.25">
      <c r="A21" t="s">
        <v>476</v>
      </c>
      <c r="B21" s="135" t="str">
        <f>COVER!X19</f>
        <v>IL</v>
      </c>
      <c r="G21" s="1898">
        <v>102200800</v>
      </c>
    </row>
    <row r="22" spans="1:7" ht="15" x14ac:dyDescent="0.25">
      <c r="A22" t="s">
        <v>882</v>
      </c>
      <c r="B22" s="135">
        <f>COVER!Z19</f>
        <v>62959</v>
      </c>
      <c r="G22" s="1898">
        <v>102300300</v>
      </c>
    </row>
    <row r="23" spans="1:7" ht="15" x14ac:dyDescent="0.25">
      <c r="A23" t="s">
        <v>1144</v>
      </c>
      <c r="B23" s="135" t="str">
        <f>COVER!T21</f>
        <v>618-997-3055</v>
      </c>
      <c r="G23" s="1898">
        <v>102300400</v>
      </c>
    </row>
    <row r="24" spans="1:7" ht="15" x14ac:dyDescent="0.25">
      <c r="A24" t="s">
        <v>1143</v>
      </c>
      <c r="B24" s="135">
        <f>COVER!Y21</f>
        <v>0</v>
      </c>
      <c r="G24" s="1898">
        <v>102300600</v>
      </c>
    </row>
    <row r="25" spans="1:7" ht="15" x14ac:dyDescent="0.25">
      <c r="A25" t="s">
        <v>756</v>
      </c>
      <c r="B25" s="135" t="str">
        <f>COVER!B34</f>
        <v>X</v>
      </c>
      <c r="G25" s="1898">
        <v>102300800</v>
      </c>
    </row>
    <row r="26" spans="1:7" ht="15" x14ac:dyDescent="0.25">
      <c r="A26" t="s">
        <v>1145</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1467</v>
      </c>
      <c r="B49" s="135" t="str">
        <f>IF('Aud Quest 2'!B53="x","Yes",IF('Aud Quest 2'!B53&lt;&gt;"x","0"))</f>
        <v>0</v>
      </c>
      <c r="G49" s="1898">
        <v>102540800</v>
      </c>
    </row>
    <row r="50" spans="1:7" ht="15" x14ac:dyDescent="0.25">
      <c r="A50" s="1" t="s">
        <v>1466</v>
      </c>
      <c r="B50" s="146">
        <f>'Aud Quest 2'!H53</f>
        <v>0</v>
      </c>
      <c r="G50" s="1898">
        <v>202540300</v>
      </c>
    </row>
    <row r="51" spans="1:7" ht="15" x14ac:dyDescent="0.25">
      <c r="A51" s="1" t="s">
        <v>1468</v>
      </c>
      <c r="B51" s="135" t="str">
        <f>IF('Aud Quest 2'!B54="x","Yes",IF('Aud Quest 2'!B54&lt;&gt;"x","0"))</f>
        <v>Yes</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1796246</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9184</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9184</v>
      </c>
      <c r="C91" s="2" t="s">
        <v>569</v>
      </c>
      <c r="D91" s="2" t="str">
        <f t="shared" si="0"/>
        <v>Error?</v>
      </c>
      <c r="G91" s="1898">
        <v>102640400</v>
      </c>
    </row>
    <row r="92" spans="1:7" ht="15" x14ac:dyDescent="0.25">
      <c r="A92" s="5">
        <v>31</v>
      </c>
      <c r="B92" s="1832">
        <f>'Assets-Liab 5-6'!C39</f>
        <v>1764871</v>
      </c>
      <c r="D92" s="2" t="str">
        <f t="shared" si="0"/>
        <v>Error?</v>
      </c>
      <c r="G92" s="1898">
        <v>102640600</v>
      </c>
    </row>
    <row r="93" spans="1:7" ht="15" x14ac:dyDescent="0.25">
      <c r="A93" s="5">
        <v>32</v>
      </c>
      <c r="B93" s="1832">
        <f>'Assets-Liab 5-6'!C41</f>
        <v>1796246</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398446</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300000</v>
      </c>
      <c r="C122" s="2" t="s">
        <v>569</v>
      </c>
      <c r="D122" s="2" t="str">
        <f t="shared" si="0"/>
        <v>Error?</v>
      </c>
      <c r="G122" s="1898">
        <v>203000300</v>
      </c>
    </row>
    <row r="123" spans="1:7" ht="15" x14ac:dyDescent="0.25">
      <c r="A123" s="5">
        <v>62</v>
      </c>
      <c r="B123" s="1832">
        <f>'Assets-Liab 5-6'!D39</f>
        <v>98446</v>
      </c>
      <c r="D123" s="2" t="str">
        <f t="shared" si="0"/>
        <v>Error?</v>
      </c>
      <c r="G123" s="1898">
        <v>203000400</v>
      </c>
    </row>
    <row r="124" spans="1:7" ht="15" x14ac:dyDescent="0.25">
      <c r="A124" s="5">
        <v>63</v>
      </c>
      <c r="B124" s="1832">
        <f>'Assets-Liab 5-6'!D41</f>
        <v>398446</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185949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185949</v>
      </c>
      <c r="D140" s="2" t="str">
        <f t="shared" si="1"/>
        <v>Error?</v>
      </c>
    </row>
    <row r="141" spans="1:7" x14ac:dyDescent="0.2">
      <c r="A141" s="5">
        <v>80</v>
      </c>
      <c r="B141" s="1832">
        <f>'Assets-Liab 5-6'!E41</f>
        <v>185949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1513005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910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500910</v>
      </c>
      <c r="C169" s="2" t="s">
        <v>569</v>
      </c>
      <c r="D169" s="2" t="str">
        <f t="shared" si="1"/>
        <v>Error?</v>
      </c>
    </row>
    <row r="170" spans="1:4" x14ac:dyDescent="0.2">
      <c r="A170" s="5">
        <v>109</v>
      </c>
      <c r="B170" s="1832">
        <f>'Assets-Liab 5-6'!F39</f>
        <v>1012095</v>
      </c>
      <c r="D170" s="2" t="str">
        <f t="shared" si="1"/>
        <v>Error?</v>
      </c>
    </row>
    <row r="171" spans="1:4" x14ac:dyDescent="0.2">
      <c r="A171" s="5">
        <v>110</v>
      </c>
      <c r="B171" s="1832">
        <f>'Assets-Liab 5-6'!F41</f>
        <v>1513005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911281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911281</v>
      </c>
      <c r="D189" s="2" t="str">
        <f t="shared" si="1"/>
        <v>Error?</v>
      </c>
    </row>
    <row r="190" spans="1:4" x14ac:dyDescent="0.2">
      <c r="A190" s="5">
        <v>129</v>
      </c>
      <c r="B190" s="1832">
        <f>'Assets-Liab 5-6'!G41</f>
        <v>911281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2447574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2447574</v>
      </c>
      <c r="D212" s="2" t="str">
        <f t="shared" si="2"/>
        <v>Error?</v>
      </c>
    </row>
    <row r="213" spans="1:4" x14ac:dyDescent="0.2">
      <c r="A213" s="12">
        <v>152</v>
      </c>
      <c r="B213" s="1832">
        <f>'Assets-Liab 5-6'!H41</f>
        <v>2447574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43000</v>
      </c>
      <c r="D273" s="2" t="str">
        <f t="shared" si="3"/>
        <v>Error?</v>
      </c>
    </row>
    <row r="274" spans="1:4" x14ac:dyDescent="0.2">
      <c r="A274" s="5">
        <v>213</v>
      </c>
      <c r="B274" s="1832">
        <f>'Assets-Liab 5-6'!M17</f>
        <v>9798242</v>
      </c>
      <c r="D274" s="2" t="str">
        <f t="shared" si="3"/>
        <v>Error?</v>
      </c>
    </row>
    <row r="275" spans="1:4" x14ac:dyDescent="0.2">
      <c r="A275" s="5">
        <v>214</v>
      </c>
      <c r="B275" s="1832">
        <f>'Assets-Liab 5-6'!M18</f>
        <v>697983</v>
      </c>
      <c r="D275" s="2" t="str">
        <f t="shared" si="3"/>
        <v>Error?</v>
      </c>
    </row>
    <row r="276" spans="1:4" x14ac:dyDescent="0.2">
      <c r="A276" s="5">
        <v>215</v>
      </c>
      <c r="B276" s="1832">
        <f>'Assets-Liab 5-6'!M19</f>
        <v>2726747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13418916</v>
      </c>
      <c r="C279" s="2" t="s">
        <v>569</v>
      </c>
      <c r="D279" s="2" t="str">
        <f t="shared" si="3"/>
        <v>Error?</v>
      </c>
    </row>
    <row r="280" spans="1:4" x14ac:dyDescent="0.2">
      <c r="A280" s="5">
        <v>219</v>
      </c>
      <c r="B280" s="1832">
        <f>'Assets-Liab 5-6'!M40</f>
        <v>13418916</v>
      </c>
      <c r="D280" s="2" t="str">
        <f t="shared" si="3"/>
        <v>Error?</v>
      </c>
    </row>
    <row r="281" spans="1:4" x14ac:dyDescent="0.2">
      <c r="A281" s="5">
        <v>220</v>
      </c>
      <c r="B281" s="1832">
        <f>'Assets-Liab 5-6'!M41</f>
        <v>13418916</v>
      </c>
      <c r="C281" s="2" t="s">
        <v>569</v>
      </c>
      <c r="D281" s="2" t="str">
        <f t="shared" si="3"/>
        <v>Error?</v>
      </c>
    </row>
    <row r="282" spans="1:4" x14ac:dyDescent="0.2">
      <c r="A282" s="5">
        <v>221</v>
      </c>
      <c r="B282" s="1832">
        <f>'Assets-Liab 5-6'!N21</f>
        <v>185949</v>
      </c>
      <c r="D282" s="2" t="str">
        <f t="shared" si="3"/>
        <v>Error?</v>
      </c>
    </row>
    <row r="283" spans="1:4" x14ac:dyDescent="0.2">
      <c r="A283" s="5">
        <v>222</v>
      </c>
      <c r="B283" s="1832">
        <f>'Assets-Liab 5-6'!N22</f>
        <v>4096751</v>
      </c>
      <c r="D283" s="2" t="str">
        <f t="shared" si="3"/>
        <v>Error?</v>
      </c>
    </row>
    <row r="284" spans="1:4" x14ac:dyDescent="0.2">
      <c r="A284" s="5">
        <v>223</v>
      </c>
      <c r="B284" s="1832">
        <f>'Assets-Liab 5-6'!N23</f>
        <v>4282700</v>
      </c>
      <c r="C284" s="2" t="s">
        <v>569</v>
      </c>
      <c r="D284" s="2" t="str">
        <f t="shared" si="3"/>
        <v>Error?</v>
      </c>
    </row>
    <row r="285" spans="1:4" x14ac:dyDescent="0.2">
      <c r="A285" s="5">
        <v>224</v>
      </c>
      <c r="B285" s="1832">
        <f>'Assets-Liab 5-6'!N36</f>
        <v>4282700</v>
      </c>
      <c r="D285" s="2" t="str">
        <f t="shared" si="3"/>
        <v>Error?</v>
      </c>
    </row>
    <row r="286" spans="1:4" x14ac:dyDescent="0.2">
      <c r="A286" s="10">
        <v>225</v>
      </c>
      <c r="B286" s="1832"/>
      <c r="D286" s="2" t="str">
        <f t="shared" si="3"/>
        <v>OK</v>
      </c>
    </row>
    <row r="287" spans="1:4" x14ac:dyDescent="0.2">
      <c r="A287" s="5">
        <v>226</v>
      </c>
      <c r="B287" s="1832">
        <f>'Assets-Liab 5-6'!N37</f>
        <v>4282700</v>
      </c>
      <c r="C287" s="2" t="s">
        <v>569</v>
      </c>
      <c r="D287" s="2" t="str">
        <f t="shared" si="3"/>
        <v>Error?</v>
      </c>
    </row>
    <row r="288" spans="1:4" x14ac:dyDescent="0.2">
      <c r="A288" s="5">
        <v>227</v>
      </c>
      <c r="B288" s="1832">
        <f>'Assets-Liab 5-6'!N41</f>
        <v>4282700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2146879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36497</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215897</v>
      </c>
      <c r="D717" s="2" t="str">
        <f t="shared" si="10"/>
        <v>Error?</v>
      </c>
    </row>
    <row r="718" spans="1:4" x14ac:dyDescent="0.2">
      <c r="A718" s="5">
        <v>657</v>
      </c>
      <c r="B718" s="1832">
        <f>'Expenditures 15-22'!C14</f>
        <v>88657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3144625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93648</v>
      </c>
      <c r="D722" s="2" t="str">
        <f t="shared" si="10"/>
        <v>Error?</v>
      </c>
    </row>
    <row r="723" spans="1:4" x14ac:dyDescent="0.2">
      <c r="A723" s="5">
        <v>662</v>
      </c>
      <c r="B723" s="1832">
        <f>'Expenditures 15-22'!C38</f>
        <v>25692</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56286</v>
      </c>
      <c r="D725" s="2" t="str">
        <f t="shared" si="10"/>
        <v>Error?</v>
      </c>
    </row>
    <row r="726" spans="1:4" x14ac:dyDescent="0.2">
      <c r="A726" s="5">
        <v>665</v>
      </c>
      <c r="B726" s="1832">
        <f>'Expenditures 15-22'!C41</f>
        <v>6543</v>
      </c>
      <c r="D726" s="2" t="str">
        <f t="shared" si="10"/>
        <v>Error?</v>
      </c>
    </row>
    <row r="727" spans="1:4" x14ac:dyDescent="0.2">
      <c r="A727" s="5">
        <v>666</v>
      </c>
      <c r="B727" s="1832">
        <f>'Expenditures 15-22'!C42</f>
        <v>182169</v>
      </c>
      <c r="C727" s="2" t="s">
        <v>569</v>
      </c>
      <c r="D727" s="2" t="str">
        <f t="shared" si="10"/>
        <v>Error?</v>
      </c>
    </row>
    <row r="728" spans="1:4" x14ac:dyDescent="0.2">
      <c r="A728" s="5">
        <v>667</v>
      </c>
      <c r="B728" s="1832">
        <f>'Expenditures 15-22'!C44</f>
        <v>121510</v>
      </c>
      <c r="D728" s="2" t="str">
        <f t="shared" si="10"/>
        <v>Error?</v>
      </c>
    </row>
    <row r="729" spans="1:4" x14ac:dyDescent="0.2">
      <c r="A729" s="5">
        <v>668</v>
      </c>
      <c r="B729" s="1832">
        <f>'Expenditures 15-22'!C45</f>
        <v>64331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185841</v>
      </c>
      <c r="C731" s="2" t="s">
        <v>569</v>
      </c>
      <c r="D731" s="2" t="str">
        <f t="shared" si="10"/>
        <v>Error?</v>
      </c>
    </row>
    <row r="732" spans="1:4" x14ac:dyDescent="0.2">
      <c r="A732" s="5">
        <v>671</v>
      </c>
      <c r="B732" s="1832">
        <f>'Expenditures 15-22'!C49</f>
        <v>3465</v>
      </c>
      <c r="D732" s="2" t="str">
        <f t="shared" si="10"/>
        <v>Error?</v>
      </c>
    </row>
    <row r="733" spans="1:4" x14ac:dyDescent="0.2">
      <c r="A733" s="5">
        <v>672</v>
      </c>
      <c r="B733" s="1832">
        <f>'Expenditures 15-22'!C50</f>
        <v>98444</v>
      </c>
      <c r="D733" s="2" t="str">
        <f t="shared" si="10"/>
        <v>Error?</v>
      </c>
    </row>
    <row r="734" spans="1:4" x14ac:dyDescent="0.2">
      <c r="A734" s="5">
        <v>673</v>
      </c>
      <c r="B734" s="1832">
        <f>'Expenditures 15-22'!C53</f>
        <v>107909</v>
      </c>
      <c r="C734" s="2" t="s">
        <v>569</v>
      </c>
      <c r="D734" s="2" t="str">
        <f t="shared" si="10"/>
        <v>Error?</v>
      </c>
    </row>
    <row r="735" spans="1:4" x14ac:dyDescent="0.2">
      <c r="A735" s="5">
        <v>674</v>
      </c>
      <c r="B735" s="1832">
        <f>'Expenditures 15-22'!C55</f>
        <v>410022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410022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92925</v>
      </c>
      <c r="D739" s="2" t="str">
        <f t="shared" si="10"/>
        <v>Error?</v>
      </c>
    </row>
    <row r="740" spans="1:4" x14ac:dyDescent="0.2">
      <c r="A740" s="5">
        <v>679</v>
      </c>
      <c r="B740" s="1832">
        <f>'Expenditures 15-22'!C61</f>
        <v>155807</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82204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330936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1216877</v>
      </c>
      <c r="C755" s="2" t="s">
        <v>569</v>
      </c>
      <c r="D755" s="2" t="str">
        <f t="shared" si="10"/>
        <v>Error?</v>
      </c>
    </row>
    <row r="756" spans="1:4" x14ac:dyDescent="0.2">
      <c r="A756" s="5">
        <v>695</v>
      </c>
      <c r="B756" s="1832">
        <f>'Expenditures 15-22'!C75</f>
        <v>1425</v>
      </c>
      <c r="D756" s="2" t="str">
        <f t="shared" si="10"/>
        <v>Error?</v>
      </c>
    </row>
    <row r="757" spans="1:4" x14ac:dyDescent="0.2">
      <c r="A757" s="5">
        <v>696</v>
      </c>
      <c r="B757" s="1832">
        <f>'Expenditures 15-22'!C114</f>
        <v>4362927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674785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5713</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58363</v>
      </c>
      <c r="D775" s="2" t="str">
        <f t="shared" si="11"/>
        <v>Error?</v>
      </c>
    </row>
    <row r="776" spans="1:4" x14ac:dyDescent="0.2">
      <c r="A776" s="5">
        <v>715</v>
      </c>
      <c r="B776" s="1832">
        <f>'Expenditures 15-22'!D14</f>
        <v>27415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974600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25455</v>
      </c>
      <c r="D780" s="2" t="str">
        <f t="shared" si="11"/>
        <v>Error?</v>
      </c>
    </row>
    <row r="781" spans="1:4" x14ac:dyDescent="0.2">
      <c r="A781" s="5">
        <v>720</v>
      </c>
      <c r="B781" s="1832">
        <f>'Expenditures 15-22'!D38</f>
        <v>8154</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17888</v>
      </c>
      <c r="D783" s="2" t="str">
        <f t="shared" si="11"/>
        <v>Error?</v>
      </c>
    </row>
    <row r="784" spans="1:4" x14ac:dyDescent="0.2">
      <c r="A784" s="5">
        <v>723</v>
      </c>
      <c r="B784" s="1832">
        <f>'Expenditures 15-22'!D41</f>
        <v>4470</v>
      </c>
      <c r="D784" s="2" t="str">
        <f t="shared" si="11"/>
        <v>Error?</v>
      </c>
    </row>
    <row r="785" spans="1:4" x14ac:dyDescent="0.2">
      <c r="A785" s="5">
        <v>724</v>
      </c>
      <c r="B785" s="1832">
        <f>'Expenditures 15-22'!D42</f>
        <v>55967</v>
      </c>
      <c r="C785" s="2" t="s">
        <v>569</v>
      </c>
      <c r="D785" s="2" t="str">
        <f t="shared" si="11"/>
        <v>Error?</v>
      </c>
    </row>
    <row r="786" spans="1:4" x14ac:dyDescent="0.2">
      <c r="A786" s="5">
        <v>725</v>
      </c>
      <c r="B786" s="1832">
        <f>'Expenditures 15-22'!D44</f>
        <v>34283</v>
      </c>
      <c r="D786" s="2" t="str">
        <f t="shared" si="11"/>
        <v>Error?</v>
      </c>
    </row>
    <row r="787" spans="1:4" x14ac:dyDescent="0.2">
      <c r="A787" s="5">
        <v>726</v>
      </c>
      <c r="B787" s="1832">
        <f>'Expenditures 15-22'!D45</f>
        <v>13613</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47896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38972</v>
      </c>
      <c r="D791" s="2" t="str">
        <f t="shared" si="11"/>
        <v>Error?</v>
      </c>
    </row>
    <row r="792" spans="1:4" x14ac:dyDescent="0.2">
      <c r="A792" s="5">
        <v>731</v>
      </c>
      <c r="B792" s="1832">
        <f>'Expenditures 15-22'!D53</f>
        <v>40465</v>
      </c>
      <c r="C792" s="2" t="s">
        <v>569</v>
      </c>
      <c r="D792" s="2" t="str">
        <f t="shared" si="11"/>
        <v>Error?</v>
      </c>
    </row>
    <row r="793" spans="1:4" x14ac:dyDescent="0.2">
      <c r="A793" s="5">
        <v>732</v>
      </c>
      <c r="B793" s="1832">
        <f>'Expenditures 15-22'!D55</f>
        <v>116300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116300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19702</v>
      </c>
      <c r="D797" s="2" t="str">
        <f t="shared" si="11"/>
        <v>Error?</v>
      </c>
    </row>
    <row r="798" spans="1:4" x14ac:dyDescent="0.2">
      <c r="A798" s="5">
        <v>737</v>
      </c>
      <c r="B798" s="1832">
        <f>'Expenditures 15-22'!D61</f>
        <v>56431</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42977</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119110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379738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1354338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59440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572</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492</v>
      </c>
      <c r="D833" s="2" t="str">
        <f t="shared" si="12"/>
        <v>Error?</v>
      </c>
    </row>
    <row r="834" spans="1:4" x14ac:dyDescent="0.2">
      <c r="A834" s="5">
        <v>773</v>
      </c>
      <c r="B834" s="1832">
        <f>'Expenditures 15-22'!E14</f>
        <v>36670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121352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1556</v>
      </c>
      <c r="D838" s="2" t="str">
        <f t="shared" si="12"/>
        <v>Error?</v>
      </c>
    </row>
    <row r="839" spans="1:4" x14ac:dyDescent="0.2">
      <c r="A839" s="5">
        <v>778</v>
      </c>
      <c r="B839" s="1832">
        <f>'Expenditures 15-22'!E38</f>
        <v>268</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1824</v>
      </c>
      <c r="C843" s="2" t="s">
        <v>569</v>
      </c>
      <c r="D843" s="2" t="str">
        <f t="shared" si="12"/>
        <v>Error?</v>
      </c>
    </row>
    <row r="844" spans="1:4" x14ac:dyDescent="0.2">
      <c r="A844" s="5">
        <v>783</v>
      </c>
      <c r="B844" s="1832">
        <f>'Expenditures 15-22'!E44</f>
        <v>68562</v>
      </c>
      <c r="D844" s="2" t="str">
        <f t="shared" si="12"/>
        <v>Error?</v>
      </c>
    </row>
    <row r="845" spans="1:4" x14ac:dyDescent="0.2">
      <c r="A845" s="5">
        <v>784</v>
      </c>
      <c r="B845" s="1832">
        <f>'Expenditures 15-22'!E45</f>
        <v>18480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87042</v>
      </c>
      <c r="C847" s="2" t="s">
        <v>569</v>
      </c>
      <c r="D847" s="2" t="str">
        <f t="shared" si="12"/>
        <v>Error?</v>
      </c>
    </row>
    <row r="848" spans="1:4" x14ac:dyDescent="0.2">
      <c r="A848" s="5">
        <v>787</v>
      </c>
      <c r="B848" s="1832">
        <f>'Expenditures 15-22'!E49</f>
        <v>22775</v>
      </c>
      <c r="D848" s="2" t="str">
        <f t="shared" si="12"/>
        <v>Error?</v>
      </c>
    </row>
    <row r="849" spans="1:4" x14ac:dyDescent="0.2">
      <c r="A849" s="5">
        <v>788</v>
      </c>
      <c r="B849" s="1832">
        <f>'Expenditures 15-22'!E50</f>
        <v>8679</v>
      </c>
      <c r="D849" s="2" t="str">
        <f t="shared" si="12"/>
        <v>Error?</v>
      </c>
    </row>
    <row r="850" spans="1:4" x14ac:dyDescent="0.2">
      <c r="A850" s="5">
        <v>789</v>
      </c>
      <c r="B850" s="1832">
        <f>'Expenditures 15-22'!E53</f>
        <v>31454</v>
      </c>
      <c r="C850" s="2" t="s">
        <v>569</v>
      </c>
      <c r="D850" s="2" t="str">
        <f t="shared" si="12"/>
        <v>Error?</v>
      </c>
    </row>
    <row r="851" spans="1:4" x14ac:dyDescent="0.2">
      <c r="A851" s="5">
        <v>790</v>
      </c>
      <c r="B851" s="1832">
        <f>'Expenditures 15-22'!E55</f>
        <v>5681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5681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13840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1863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15703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15</v>
      </c>
      <c r="D870" s="2" t="str">
        <f t="shared" si="12"/>
        <v>Error?</v>
      </c>
    </row>
    <row r="871" spans="1:4" x14ac:dyDescent="0.2">
      <c r="A871" s="5">
        <v>810</v>
      </c>
      <c r="B871" s="1832">
        <f>'Expenditures 15-22'!E74</f>
        <v>141719</v>
      </c>
      <c r="C871" s="2" t="s">
        <v>569</v>
      </c>
      <c r="D871" s="2" t="str">
        <f t="shared" si="12"/>
        <v>Error?</v>
      </c>
    </row>
    <row r="872" spans="1:4" x14ac:dyDescent="0.2">
      <c r="A872" s="5">
        <v>811</v>
      </c>
      <c r="B872" s="1832">
        <f>'Expenditures 15-22'!E75</f>
        <v>30</v>
      </c>
      <c r="D872" s="2" t="str">
        <f t="shared" si="12"/>
        <v>Error?</v>
      </c>
    </row>
    <row r="873" spans="1:4" x14ac:dyDescent="0.2">
      <c r="A873" s="5">
        <v>812</v>
      </c>
      <c r="B873" s="1832">
        <f>'Expenditures 15-22'!E114</f>
        <v>469668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150504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6975</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9279</v>
      </c>
      <c r="D891" s="2" t="str">
        <f t="shared" si="12"/>
        <v>Error?</v>
      </c>
    </row>
    <row r="892" spans="1:4" x14ac:dyDescent="0.2">
      <c r="A892" s="5">
        <v>831</v>
      </c>
      <c r="B892" s="1832">
        <f>'Expenditures 15-22'!F14</f>
        <v>13853</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280171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1529</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576</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2105</v>
      </c>
      <c r="C901" s="2" t="s">
        <v>569</v>
      </c>
      <c r="D901" s="2" t="str">
        <f t="shared" si="13"/>
        <v>Error?</v>
      </c>
    </row>
    <row r="902" spans="1:4" x14ac:dyDescent="0.2">
      <c r="A902" s="5">
        <v>841</v>
      </c>
      <c r="B902" s="1832">
        <f>'Expenditures 15-22'!F44</f>
        <v>88333</v>
      </c>
      <c r="D902" s="2" t="str">
        <f t="shared" si="13"/>
        <v>Error?</v>
      </c>
    </row>
    <row r="903" spans="1:4" x14ac:dyDescent="0.2">
      <c r="A903" s="5">
        <v>842</v>
      </c>
      <c r="B903" s="1832">
        <f>'Expenditures 15-22'!F45</f>
        <v>10927</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99260</v>
      </c>
      <c r="C905" s="2" t="s">
        <v>569</v>
      </c>
      <c r="D905" s="2" t="str">
        <f t="shared" si="13"/>
        <v>Error?</v>
      </c>
    </row>
    <row r="906" spans="1:4" x14ac:dyDescent="0.2">
      <c r="A906" s="5">
        <v>845</v>
      </c>
      <c r="B906" s="1832">
        <f>'Expenditures 15-22'!F49</f>
        <v>3494</v>
      </c>
      <c r="D906" s="2" t="str">
        <f t="shared" si="13"/>
        <v>Error?</v>
      </c>
    </row>
    <row r="907" spans="1:4" x14ac:dyDescent="0.2">
      <c r="A907" s="5">
        <v>846</v>
      </c>
      <c r="B907" s="1832">
        <f>'Expenditures 15-22'!F50</f>
        <v>1278</v>
      </c>
      <c r="D907" s="2" t="str">
        <f t="shared" si="13"/>
        <v>Error?</v>
      </c>
    </row>
    <row r="908" spans="1:4" x14ac:dyDescent="0.2">
      <c r="A908" s="5">
        <v>847</v>
      </c>
      <c r="B908" s="1832">
        <f>'Expenditures 15-22'!F53</f>
        <v>4772</v>
      </c>
      <c r="C908" s="2" t="s">
        <v>569</v>
      </c>
      <c r="D908" s="2" t="str">
        <f t="shared" si="13"/>
        <v>Error?</v>
      </c>
    </row>
    <row r="909" spans="1:4" x14ac:dyDescent="0.2">
      <c r="A909" s="5">
        <v>848</v>
      </c>
      <c r="B909" s="1832">
        <f>'Expenditures 15-22'!F55</f>
        <v>1216</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1216</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3072</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130947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134019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241372</v>
      </c>
      <c r="C929" s="2" t="s">
        <v>569</v>
      </c>
      <c r="D929" s="2" t="str">
        <f t="shared" si="13"/>
        <v>Error?</v>
      </c>
    </row>
    <row r="930" spans="1:4" x14ac:dyDescent="0.2">
      <c r="A930" s="5">
        <v>869</v>
      </c>
      <c r="B930" s="1832">
        <f>'Expenditures 15-22'!F75</f>
        <v>103</v>
      </c>
      <c r="D930" s="2" t="str">
        <f t="shared" si="13"/>
        <v>Error?</v>
      </c>
    </row>
    <row r="931" spans="1:4" x14ac:dyDescent="0.2">
      <c r="A931" s="5">
        <v>870</v>
      </c>
      <c r="B931" s="1832">
        <f>'Expenditures 15-22'!F114</f>
        <v>521646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171033</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1380</v>
      </c>
      <c r="D949" s="2" t="str">
        <f t="shared" si="13"/>
        <v>Error?</v>
      </c>
    </row>
    <row r="950" spans="1:4" x14ac:dyDescent="0.2">
      <c r="A950" s="5">
        <v>889</v>
      </c>
      <c r="B950" s="1832">
        <f>'Expenditures 15-22'!G14</f>
        <v>23584</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196832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11644</v>
      </c>
      <c r="D960" s="2" t="str">
        <f t="shared" si="14"/>
        <v>Error?</v>
      </c>
    </row>
    <row r="961" spans="1:4" x14ac:dyDescent="0.2">
      <c r="A961" s="5">
        <v>900</v>
      </c>
      <c r="B961" s="1832">
        <f>'Expenditures 15-22'!G45</f>
        <v>12588</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24232</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7055</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7055</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31287</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228119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500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500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184</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184</v>
      </c>
      <c r="C1021" s="2" t="s">
        <v>569</v>
      </c>
      <c r="D1021" s="2" t="str">
        <f t="shared" si="14"/>
        <v>Error?</v>
      </c>
    </row>
    <row r="1022" spans="1:4" x14ac:dyDescent="0.2">
      <c r="A1022" s="5">
        <v>961</v>
      </c>
      <c r="B1022" s="1832">
        <f>'Expenditures 15-22'!H49</f>
        <v>4448</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4448</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4632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356675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361807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1998</v>
      </c>
      <c r="E1056" s="4" t="s">
        <v>1997</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3203141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49757</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285411</v>
      </c>
      <c r="C1105" s="2" t="s">
        <v>569</v>
      </c>
      <c r="D1105" s="2" t="str">
        <f t="shared" si="16"/>
        <v>Error?</v>
      </c>
    </row>
    <row r="1106" spans="1:4" x14ac:dyDescent="0.2">
      <c r="A1106" s="5">
        <v>1045</v>
      </c>
      <c r="B1106" s="1832">
        <f>'Expenditures 15-22'!K14</f>
        <v>190179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4718080</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120659</v>
      </c>
      <c r="C1110" s="2" t="s">
        <v>569</v>
      </c>
      <c r="D1110" s="2" t="str">
        <f t="shared" si="16"/>
        <v>Error?</v>
      </c>
    </row>
    <row r="1111" spans="1:4" x14ac:dyDescent="0.2">
      <c r="A1111" s="5">
        <v>1050</v>
      </c>
      <c r="B1111" s="1832">
        <f>'Expenditures 15-22'!K38</f>
        <v>35643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74750</v>
      </c>
      <c r="C1113" s="2" t="s">
        <v>569</v>
      </c>
      <c r="D1113" s="2" t="str">
        <f t="shared" si="16"/>
        <v>Error?</v>
      </c>
    </row>
    <row r="1114" spans="1:4" x14ac:dyDescent="0.2">
      <c r="A1114" s="5">
        <v>1053</v>
      </c>
      <c r="B1114" s="1832">
        <f>'Expenditures 15-22'!K41</f>
        <v>11013</v>
      </c>
      <c r="C1114" s="2" t="s">
        <v>569</v>
      </c>
      <c r="D1114" s="2" t="str">
        <f t="shared" si="16"/>
        <v>Error?</v>
      </c>
    </row>
    <row r="1115" spans="1:4" x14ac:dyDescent="0.2">
      <c r="A1115" s="5">
        <v>1054</v>
      </c>
      <c r="B1115" s="1832">
        <f>'Expenditures 15-22'!K42</f>
        <v>242065</v>
      </c>
      <c r="C1115" s="2" t="s">
        <v>569</v>
      </c>
      <c r="D1115" s="2" t="str">
        <f t="shared" si="16"/>
        <v>Error?</v>
      </c>
    </row>
    <row r="1116" spans="1:4" x14ac:dyDescent="0.2">
      <c r="A1116" s="5">
        <v>1055</v>
      </c>
      <c r="B1116" s="1832">
        <f>'Expenditures 15-22'!K44</f>
        <v>324516</v>
      </c>
      <c r="C1116" s="2" t="s">
        <v>569</v>
      </c>
      <c r="D1116" s="2" t="str">
        <f t="shared" si="16"/>
        <v>Error?</v>
      </c>
    </row>
    <row r="1117" spans="1:4" x14ac:dyDescent="0.2">
      <c r="A1117" s="5">
        <v>1056</v>
      </c>
      <c r="B1117" s="1832">
        <f>'Expenditures 15-22'!K45</f>
        <v>119939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444455</v>
      </c>
      <c r="C1119" s="2" t="s">
        <v>569</v>
      </c>
      <c r="D1119" s="2" t="str">
        <f t="shared" si="16"/>
        <v>Error?</v>
      </c>
    </row>
    <row r="1120" spans="1:4" x14ac:dyDescent="0.2">
      <c r="A1120" s="5">
        <v>1059</v>
      </c>
      <c r="B1120" s="1832">
        <f>'Expenditures 15-22'!K49</f>
        <v>34182</v>
      </c>
      <c r="C1120" s="2" t="s">
        <v>569</v>
      </c>
      <c r="D1120" s="2" t="str">
        <f t="shared" si="16"/>
        <v>Error?</v>
      </c>
    </row>
    <row r="1121" spans="1:4" x14ac:dyDescent="0.2">
      <c r="A1121" s="5">
        <v>1060</v>
      </c>
      <c r="B1121" s="1832">
        <f>'Expenditures 15-22'!K50</f>
        <v>147373</v>
      </c>
      <c r="C1121" s="2" t="s">
        <v>569</v>
      </c>
      <c r="D1121" s="2" t="str">
        <f t="shared" si="16"/>
        <v>Error?</v>
      </c>
    </row>
    <row r="1122" spans="1:4" x14ac:dyDescent="0.2">
      <c r="A1122" s="5">
        <v>1061</v>
      </c>
      <c r="B1122" s="1832">
        <f>'Expenditures 15-22'!K53</f>
        <v>189048</v>
      </c>
      <c r="C1122" s="2" t="s">
        <v>569</v>
      </c>
      <c r="D1122" s="2" t="str">
        <f t="shared" si="16"/>
        <v>Error?</v>
      </c>
    </row>
    <row r="1123" spans="1:4" x14ac:dyDescent="0.2">
      <c r="A1123" s="5">
        <v>1062</v>
      </c>
      <c r="B1123" s="1832">
        <f>'Expenditures 15-22'!K55</f>
        <v>533219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533219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129539</v>
      </c>
      <c r="C1127" s="2" t="s">
        <v>569</v>
      </c>
      <c r="D1127" s="2" t="str">
        <f t="shared" si="16"/>
        <v>Error?</v>
      </c>
    </row>
    <row r="1128" spans="1:4" x14ac:dyDescent="0.2">
      <c r="A1128" s="5">
        <v>1067</v>
      </c>
      <c r="B1128" s="1832">
        <f>'Expenditures 15-22'!K61</f>
        <v>212238</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265046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606823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15</v>
      </c>
      <c r="C1142" s="2" t="s">
        <v>569</v>
      </c>
      <c r="D1142" s="2" t="str">
        <f t="shared" si="16"/>
        <v>Error?</v>
      </c>
    </row>
    <row r="1143" spans="1:4" x14ac:dyDescent="0.2">
      <c r="A1143" s="5">
        <v>1082</v>
      </c>
      <c r="B1143" s="1832">
        <f>'Expenditures 15-22'!K74</f>
        <v>2015625</v>
      </c>
      <c r="C1143" s="2" t="s">
        <v>569</v>
      </c>
      <c r="D1143" s="2" t="str">
        <f t="shared" si="16"/>
        <v>Error?</v>
      </c>
    </row>
    <row r="1144" spans="1:4" x14ac:dyDescent="0.2">
      <c r="A1144" s="5">
        <v>1083</v>
      </c>
      <c r="B1144" s="1832">
        <f>'Expenditures 15-22'!K75</f>
        <v>1558</v>
      </c>
      <c r="C1144" s="2" t="s">
        <v>569</v>
      </c>
      <c r="D1144" s="2" t="str">
        <f t="shared" si="16"/>
        <v>Error?</v>
      </c>
    </row>
    <row r="1145" spans="1:4" x14ac:dyDescent="0.2">
      <c r="A1145" s="5">
        <v>1084</v>
      </c>
      <c r="B1145" s="1832">
        <f>'Expenditures 15-22'!K102</f>
        <v>563242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7298505</v>
      </c>
      <c r="C1152" s="2" t="s">
        <v>569</v>
      </c>
      <c r="D1152" s="2" t="str">
        <f t="shared" si="17"/>
        <v>Error?</v>
      </c>
    </row>
    <row r="1153" spans="1:4" x14ac:dyDescent="0.2">
      <c r="A1153" s="5">
        <v>1092</v>
      </c>
      <c r="B1153" s="1832">
        <f>'Expenditures 15-22'!K115</f>
        <v>744449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32874</v>
      </c>
      <c r="D1221" s="2" t="str">
        <f t="shared" si="18"/>
        <v>Error?</v>
      </c>
    </row>
    <row r="1222" spans="1:4" x14ac:dyDescent="0.2">
      <c r="A1222" s="10">
        <v>1161</v>
      </c>
      <c r="B1222" s="1832"/>
      <c r="D1222" s="2" t="str">
        <f t="shared" si="18"/>
        <v>OK</v>
      </c>
    </row>
    <row r="1223" spans="1:4" x14ac:dyDescent="0.2">
      <c r="A1223" s="5">
        <v>1162</v>
      </c>
      <c r="B1223" s="1832">
        <f>'Expenditures 15-22'!C127</f>
        <v>32874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32874</v>
      </c>
      <c r="C1225" s="2" t="s">
        <v>569</v>
      </c>
      <c r="D1225" s="2" t="str">
        <f t="shared" si="18"/>
        <v>Error?</v>
      </c>
    </row>
    <row r="1226" spans="1:4" x14ac:dyDescent="0.2">
      <c r="A1226" s="5">
        <v>1165</v>
      </c>
      <c r="B1226" s="1832">
        <f>'Expenditures 15-22'!C151</f>
        <v>32874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12</v>
      </c>
      <c r="D1229" s="2" t="str">
        <f t="shared" si="18"/>
        <v>Error?</v>
      </c>
    </row>
    <row r="1230" spans="1:4" x14ac:dyDescent="0.2">
      <c r="A1230" s="10">
        <v>1169</v>
      </c>
      <c r="B1230" s="1832"/>
      <c r="D1230" s="2" t="str">
        <f t="shared" si="18"/>
        <v>OK</v>
      </c>
    </row>
    <row r="1231" spans="1:4" x14ac:dyDescent="0.2">
      <c r="A1231" s="5">
        <v>1170</v>
      </c>
      <c r="B1231" s="1832">
        <f>'Expenditures 15-22'!D127</f>
        <v>12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12</v>
      </c>
      <c r="C1233" s="2" t="s">
        <v>569</v>
      </c>
      <c r="D1233" s="2" t="str">
        <f t="shared" si="18"/>
        <v>Error?</v>
      </c>
    </row>
    <row r="1234" spans="1:4" x14ac:dyDescent="0.2">
      <c r="A1234" s="5">
        <v>1173</v>
      </c>
      <c r="B1234" s="1832">
        <f>'Expenditures 15-22'!D151</f>
        <v>12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933</v>
      </c>
      <c r="D1236" s="2" t="str">
        <f t="shared" si="18"/>
        <v>Error?</v>
      </c>
    </row>
    <row r="1237" spans="1:4" x14ac:dyDescent="0.2">
      <c r="A1237" s="5">
        <v>1176</v>
      </c>
      <c r="B1237" s="1832">
        <f>'Expenditures 15-22'!E124</f>
        <v>86304</v>
      </c>
      <c r="D1237" s="2" t="str">
        <f t="shared" si="18"/>
        <v>Error?</v>
      </c>
    </row>
    <row r="1238" spans="1:4" x14ac:dyDescent="0.2">
      <c r="A1238" s="10">
        <v>1177</v>
      </c>
      <c r="B1238" s="1832"/>
      <c r="D1238" s="2" t="str">
        <f t="shared" si="18"/>
        <v>OK</v>
      </c>
    </row>
    <row r="1239" spans="1:4" x14ac:dyDescent="0.2">
      <c r="A1239" s="5">
        <v>1178</v>
      </c>
      <c r="B1239" s="1832">
        <f>'Expenditures 15-22'!E127</f>
        <v>87237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87237</v>
      </c>
      <c r="C1241" s="2" t="s">
        <v>569</v>
      </c>
      <c r="D1241" s="2" t="str">
        <f t="shared" si="18"/>
        <v>Error?</v>
      </c>
    </row>
    <row r="1242" spans="1:4" x14ac:dyDescent="0.2">
      <c r="A1242" s="5">
        <v>1181</v>
      </c>
      <c r="B1242" s="1832">
        <f>'Expenditures 15-22'!E151</f>
        <v>87237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232863</v>
      </c>
      <c r="D1245" s="2" t="str">
        <f t="shared" si="18"/>
        <v>Error?</v>
      </c>
    </row>
    <row r="1246" spans="1:4" x14ac:dyDescent="0.2">
      <c r="A1246" s="10">
        <v>1185</v>
      </c>
      <c r="B1246" s="1832"/>
      <c r="D1246" s="2" t="str">
        <f t="shared" si="18"/>
        <v>OK</v>
      </c>
    </row>
    <row r="1247" spans="1:4" x14ac:dyDescent="0.2">
      <c r="A1247" s="5">
        <v>1186</v>
      </c>
      <c r="B1247" s="1832">
        <f>'Expenditures 15-22'!F127</f>
        <v>232863</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232863</v>
      </c>
      <c r="C1249" s="2" t="s">
        <v>569</v>
      </c>
      <c r="D1249" s="2" t="str">
        <f t="shared" si="18"/>
        <v>Error?</v>
      </c>
    </row>
    <row r="1250" spans="1:4" x14ac:dyDescent="0.2">
      <c r="A1250" s="5">
        <v>1189</v>
      </c>
      <c r="B1250" s="1832">
        <f>'Expenditures 15-22'!F151</f>
        <v>232863</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42463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42463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42463</v>
      </c>
      <c r="C1258" s="2" t="s">
        <v>569</v>
      </c>
      <c r="D1258" s="2" t="str">
        <f t="shared" si="18"/>
        <v>Error?</v>
      </c>
    </row>
    <row r="1259" spans="1:4" x14ac:dyDescent="0.2">
      <c r="A1259" s="5">
        <v>1198</v>
      </c>
      <c r="B1259" s="1832">
        <f>'Expenditures 15-22'!G151</f>
        <v>42463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933</v>
      </c>
      <c r="C1275" s="2" t="s">
        <v>569</v>
      </c>
      <c r="D1275" s="2" t="str">
        <f t="shared" si="18"/>
        <v>Error?</v>
      </c>
    </row>
    <row r="1276" spans="1:4" x14ac:dyDescent="0.2">
      <c r="A1276" s="5">
        <v>1215</v>
      </c>
      <c r="B1276" s="1832">
        <f>'Expenditures 15-22'!K124</f>
        <v>394516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395449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395449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395449</v>
      </c>
      <c r="C1288" s="2" t="s">
        <v>569</v>
      </c>
      <c r="D1288" s="2" t="str">
        <f t="shared" si="19"/>
        <v>Error?</v>
      </c>
    </row>
    <row r="1289" spans="1:4" x14ac:dyDescent="0.2">
      <c r="A1289" s="5">
        <v>1228</v>
      </c>
      <c r="B1289" s="1832">
        <f>'Expenditures 15-22'!K152</f>
        <v>-88247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170366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692300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862666</v>
      </c>
      <c r="C1317" s="2" t="s">
        <v>569</v>
      </c>
      <c r="D1317" s="2" t="str">
        <f t="shared" si="19"/>
        <v>Error?</v>
      </c>
    </row>
    <row r="1318" spans="1:4" x14ac:dyDescent="0.2">
      <c r="A1318" s="5">
        <v>1257</v>
      </c>
      <c r="B1318" s="1832">
        <f>'Expenditures 15-22'!H174</f>
        <v>862666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170366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692300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862666</v>
      </c>
      <c r="C1331" s="2" t="s">
        <v>569</v>
      </c>
      <c r="D1331" s="2" t="str">
        <f t="shared" si="19"/>
        <v>Error?</v>
      </c>
    </row>
    <row r="1332" spans="1:4" x14ac:dyDescent="0.2">
      <c r="A1332" s="5">
        <v>1271</v>
      </c>
      <c r="B1332" s="1832">
        <f>'Expenditures 15-22'!K174</f>
        <v>862666</v>
      </c>
      <c r="C1332" s="2" t="s">
        <v>569</v>
      </c>
      <c r="D1332" s="2" t="str">
        <f t="shared" si="19"/>
        <v>Error?</v>
      </c>
    </row>
    <row r="1333" spans="1:4" x14ac:dyDescent="0.2">
      <c r="A1333" s="5">
        <v>1272</v>
      </c>
      <c r="B1333" s="1832">
        <f>'Expenditures 15-22'!K175</f>
        <v>6096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361275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361275</v>
      </c>
      <c r="C1339" s="2" t="s">
        <v>569</v>
      </c>
      <c r="D1339" s="2" t="str">
        <f t="shared" si="19"/>
        <v>Error?</v>
      </c>
    </row>
    <row r="1340" spans="1:4" x14ac:dyDescent="0.2">
      <c r="A1340" s="5">
        <v>1279</v>
      </c>
      <c r="B1340" s="1832">
        <f>'Expenditures 15-22'!C210</f>
        <v>361275</v>
      </c>
      <c r="C1340" s="2" t="s">
        <v>569</v>
      </c>
      <c r="D1340" s="2" t="str">
        <f t="shared" si="19"/>
        <v>Error?</v>
      </c>
    </row>
    <row r="1341" spans="1:4" x14ac:dyDescent="0.2">
      <c r="A1341" s="5">
        <v>1280</v>
      </c>
      <c r="B1341" s="1832">
        <f>'Expenditures 15-22'!D182</f>
        <v>113150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113150</v>
      </c>
      <c r="C1345" s="2" t="s">
        <v>569</v>
      </c>
      <c r="D1345" s="2" t="str">
        <f t="shared" si="20"/>
        <v>Error?</v>
      </c>
    </row>
    <row r="1346" spans="1:4" x14ac:dyDescent="0.2">
      <c r="A1346" s="5">
        <v>1285</v>
      </c>
      <c r="B1346" s="1832">
        <f>'Expenditures 15-22'!D210</f>
        <v>113150</v>
      </c>
      <c r="C1346" s="2" t="s">
        <v>569</v>
      </c>
      <c r="D1346" s="2" t="str">
        <f t="shared" si="20"/>
        <v>Error?</v>
      </c>
    </row>
    <row r="1347" spans="1:4" x14ac:dyDescent="0.2">
      <c r="A1347" s="5">
        <v>1286</v>
      </c>
      <c r="B1347" s="1832">
        <f>'Expenditures 15-22'!E182</f>
        <v>27184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27184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27184</v>
      </c>
      <c r="C1353" s="2" t="s">
        <v>569</v>
      </c>
      <c r="D1353" s="2" t="str">
        <f t="shared" si="20"/>
        <v>Error?</v>
      </c>
    </row>
    <row r="1354" spans="1:4" x14ac:dyDescent="0.2">
      <c r="A1354" s="5">
        <v>1293</v>
      </c>
      <c r="B1354" s="1832">
        <f>'Expenditures 15-22'!F182</f>
        <v>124270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124270</v>
      </c>
      <c r="C1358" s="2" t="s">
        <v>569</v>
      </c>
      <c r="D1358" s="2" t="str">
        <f t="shared" si="20"/>
        <v>Error?</v>
      </c>
    </row>
    <row r="1359" spans="1:4" x14ac:dyDescent="0.2">
      <c r="A1359" s="5">
        <v>1298</v>
      </c>
      <c r="B1359" s="1832">
        <f>'Expenditures 15-22'!F210</f>
        <v>124270</v>
      </c>
      <c r="C1359" s="2" t="s">
        <v>569</v>
      </c>
      <c r="D1359" s="2" t="str">
        <f t="shared" si="20"/>
        <v>Error?</v>
      </c>
    </row>
    <row r="1360" spans="1:4" x14ac:dyDescent="0.2">
      <c r="A1360" s="5">
        <v>1299</v>
      </c>
      <c r="B1360" s="1832">
        <f>'Expenditures 15-22'!G182</f>
        <v>184535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184535</v>
      </c>
      <c r="C1364" s="2" t="s">
        <v>569</v>
      </c>
      <c r="D1364" s="2" t="str">
        <f t="shared" si="20"/>
        <v>Error?</v>
      </c>
    </row>
    <row r="1365" spans="1:4" x14ac:dyDescent="0.2">
      <c r="A1365" s="5">
        <v>1304</v>
      </c>
      <c r="B1365" s="1832">
        <f>'Expenditures 15-22'!G210</f>
        <v>184535</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810414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810414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810414</v>
      </c>
      <c r="C1388" s="2" t="s">
        <v>569</v>
      </c>
      <c r="D1388" s="2" t="str">
        <f t="shared" si="20"/>
        <v>Error?</v>
      </c>
    </row>
    <row r="1389" spans="1:4" x14ac:dyDescent="0.2">
      <c r="A1389" s="5">
        <v>1328</v>
      </c>
      <c r="B1389" s="1832">
        <f>'Expenditures 15-22'!K211</f>
        <v>-6260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524</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3094</v>
      </c>
      <c r="D1407" s="2" t="str">
        <f t="shared" ref="D1407:D1470" si="21">IF(ISBLANK(B1407),"OK",IF(A1407-B1407=0,"OK","Error?"))</f>
        <v>Error?</v>
      </c>
    </row>
    <row r="1408" spans="1:4" x14ac:dyDescent="0.2">
      <c r="A1408" s="5">
        <v>1347</v>
      </c>
      <c r="B1408" s="1832">
        <f>'Expenditures 15-22'!D223</f>
        <v>1510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102073</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6789</v>
      </c>
      <c r="D1412" s="2" t="str">
        <f t="shared" si="21"/>
        <v>Error?</v>
      </c>
    </row>
    <row r="1413" spans="1:4" x14ac:dyDescent="0.2">
      <c r="A1413" s="5">
        <v>1352</v>
      </c>
      <c r="B1413" s="1832">
        <f>'Expenditures 15-22'!D234</f>
        <v>8213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745</v>
      </c>
      <c r="D1415" s="2" t="str">
        <f t="shared" si="21"/>
        <v>Error?</v>
      </c>
    </row>
    <row r="1416" spans="1:4" x14ac:dyDescent="0.2">
      <c r="A1416" s="5">
        <v>1355</v>
      </c>
      <c r="B1416" s="1832">
        <f>'Expenditures 15-22'!D237</f>
        <v>4858</v>
      </c>
      <c r="D1416" s="2" t="str">
        <f t="shared" si="21"/>
        <v>Error?</v>
      </c>
    </row>
    <row r="1417" spans="1:4" x14ac:dyDescent="0.2">
      <c r="A1417" s="5">
        <v>1356</v>
      </c>
      <c r="B1417" s="1832">
        <f>'Expenditures 15-22'!D238</f>
        <v>20605</v>
      </c>
      <c r="C1417" s="2" t="s">
        <v>569</v>
      </c>
      <c r="D1417" s="2" t="str">
        <f t="shared" si="21"/>
        <v>Error?</v>
      </c>
    </row>
    <row r="1418" spans="1:4" x14ac:dyDescent="0.2">
      <c r="A1418" s="5">
        <v>1357</v>
      </c>
      <c r="B1418" s="1832">
        <f>'Expenditures 15-22'!D240</f>
        <v>11462</v>
      </c>
      <c r="D1418" s="2" t="str">
        <f t="shared" si="21"/>
        <v>Error?</v>
      </c>
    </row>
    <row r="1419" spans="1:4" x14ac:dyDescent="0.2">
      <c r="A1419" s="5">
        <v>1358</v>
      </c>
      <c r="B1419" s="1832">
        <f>'Expenditures 15-22'!D241</f>
        <v>3908</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15370</v>
      </c>
      <c r="C1421" s="2" t="s">
        <v>569</v>
      </c>
      <c r="D1421" s="2" t="str">
        <f t="shared" si="21"/>
        <v>Error?</v>
      </c>
    </row>
    <row r="1422" spans="1:4" x14ac:dyDescent="0.2">
      <c r="A1422" s="5">
        <v>1361</v>
      </c>
      <c r="B1422" s="1832">
        <f>'Expenditures 15-22'!D245</f>
        <v>474</v>
      </c>
      <c r="D1422" s="2" t="str">
        <f t="shared" si="21"/>
        <v>Error?</v>
      </c>
    </row>
    <row r="1423" spans="1:4" x14ac:dyDescent="0.2">
      <c r="A1423" s="5">
        <v>1362</v>
      </c>
      <c r="B1423" s="1832">
        <f>'Expenditures 15-22'!D246</f>
        <v>1559</v>
      </c>
      <c r="D1423" s="2" t="str">
        <f t="shared" si="21"/>
        <v>Error?</v>
      </c>
    </row>
    <row r="1424" spans="1:4" x14ac:dyDescent="0.2">
      <c r="A1424" s="5">
        <v>1363</v>
      </c>
      <c r="B1424" s="1832">
        <f>'Expenditures 15-22'!D257</f>
        <v>2119</v>
      </c>
      <c r="C1424" s="2" t="s">
        <v>569</v>
      </c>
      <c r="D1424" s="2" t="str">
        <f t="shared" si="21"/>
        <v>Error?</v>
      </c>
    </row>
    <row r="1425" spans="1:4" x14ac:dyDescent="0.2">
      <c r="A1425" s="5">
        <v>1364</v>
      </c>
      <c r="B1425" s="1832">
        <f>'Expenditures 15-22'!D259</f>
        <v>38387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38387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17038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41941</v>
      </c>
      <c r="D1431" s="2" t="str">
        <f t="shared" si="21"/>
        <v>Error?</v>
      </c>
    </row>
    <row r="1432" spans="1:4" x14ac:dyDescent="0.2">
      <c r="A1432" s="5">
        <v>1371</v>
      </c>
      <c r="B1432" s="1832">
        <f>'Expenditures 15-22'!D267</f>
        <v>66162</v>
      </c>
      <c r="D1432" s="2" t="str">
        <f t="shared" si="21"/>
        <v>Error?</v>
      </c>
    </row>
    <row r="1433" spans="1:4" x14ac:dyDescent="0.2">
      <c r="A1433" s="5">
        <v>1372</v>
      </c>
      <c r="B1433" s="1832">
        <f>'Expenditures 15-22'!D268</f>
        <v>18484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143625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220106</v>
      </c>
      <c r="C1446" s="2" t="s">
        <v>569</v>
      </c>
      <c r="D1446" s="2" t="str">
        <f t="shared" si="21"/>
        <v>Error?</v>
      </c>
    </row>
    <row r="1447" spans="1:4" x14ac:dyDescent="0.2">
      <c r="A1447" s="5">
        <v>1386</v>
      </c>
      <c r="B1447" s="1832">
        <f>'Expenditures 15-22'!D280</f>
        <v>109</v>
      </c>
      <c r="D1447" s="2" t="str">
        <f t="shared" si="21"/>
        <v>Error?</v>
      </c>
    </row>
    <row r="1448" spans="1:4" x14ac:dyDescent="0.2">
      <c r="A1448" s="5">
        <v>1387</v>
      </c>
      <c r="B1448" s="1832">
        <f>'Expenditures 15-22'!D295</f>
        <v>322288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524</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3094</v>
      </c>
      <c r="C1471" s="2" t="s">
        <v>569</v>
      </c>
      <c r="D1471" s="2" t="str">
        <f t="shared" ref="D1471:D1534" si="22">IF(ISBLANK(B1471),"OK",IF(A1471-B1471=0,"OK","Error?"))</f>
        <v>Error?</v>
      </c>
    </row>
    <row r="1472" spans="1:4" x14ac:dyDescent="0.2">
      <c r="A1472" s="5">
        <v>1411</v>
      </c>
      <c r="B1472" s="1832">
        <f>'Expenditures 15-22'!K223</f>
        <v>1510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102073</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6789</v>
      </c>
      <c r="C1476" s="2" t="s">
        <v>569</v>
      </c>
      <c r="D1476" s="2" t="str">
        <f t="shared" si="22"/>
        <v>Error?</v>
      </c>
    </row>
    <row r="1477" spans="1:4" x14ac:dyDescent="0.2">
      <c r="A1477" s="5">
        <v>1416</v>
      </c>
      <c r="B1477" s="1832">
        <f>'Expenditures 15-22'!K234</f>
        <v>8213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745</v>
      </c>
      <c r="C1479" s="2" t="s">
        <v>569</v>
      </c>
      <c r="D1479" s="2" t="str">
        <f t="shared" si="22"/>
        <v>Error?</v>
      </c>
    </row>
    <row r="1480" spans="1:4" x14ac:dyDescent="0.2">
      <c r="A1480" s="5">
        <v>1419</v>
      </c>
      <c r="B1480" s="1832">
        <f>'Expenditures 15-22'!K237</f>
        <v>4858</v>
      </c>
      <c r="C1480" s="2" t="s">
        <v>569</v>
      </c>
      <c r="D1480" s="2" t="str">
        <f t="shared" si="22"/>
        <v>Error?</v>
      </c>
    </row>
    <row r="1481" spans="1:4" x14ac:dyDescent="0.2">
      <c r="A1481" s="5">
        <v>1420</v>
      </c>
      <c r="B1481" s="1832">
        <f>'Expenditures 15-22'!K238</f>
        <v>20605</v>
      </c>
      <c r="C1481" s="2" t="s">
        <v>569</v>
      </c>
      <c r="D1481" s="2" t="str">
        <f t="shared" si="22"/>
        <v>Error?</v>
      </c>
    </row>
    <row r="1482" spans="1:4" x14ac:dyDescent="0.2">
      <c r="A1482" s="5">
        <v>1421</v>
      </c>
      <c r="B1482" s="1832">
        <f>'Expenditures 15-22'!K240</f>
        <v>11462</v>
      </c>
      <c r="C1482" s="2" t="s">
        <v>569</v>
      </c>
      <c r="D1482" s="2" t="str">
        <f t="shared" si="22"/>
        <v>Error?</v>
      </c>
    </row>
    <row r="1483" spans="1:4" x14ac:dyDescent="0.2">
      <c r="A1483" s="5">
        <v>1422</v>
      </c>
      <c r="B1483" s="1832">
        <f>'Expenditures 15-22'!K241</f>
        <v>3908</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15370</v>
      </c>
      <c r="C1485" s="2" t="s">
        <v>569</v>
      </c>
      <c r="D1485" s="2" t="str">
        <f t="shared" si="22"/>
        <v>Error?</v>
      </c>
    </row>
    <row r="1486" spans="1:4" x14ac:dyDescent="0.2">
      <c r="A1486" s="5">
        <v>1425</v>
      </c>
      <c r="B1486" s="1832">
        <f>'Expenditures 15-22'!K245</f>
        <v>474</v>
      </c>
      <c r="C1486" s="2" t="s">
        <v>569</v>
      </c>
      <c r="D1486" s="2" t="str">
        <f t="shared" si="22"/>
        <v>Error?</v>
      </c>
    </row>
    <row r="1487" spans="1:4" x14ac:dyDescent="0.2">
      <c r="A1487" s="5">
        <v>1426</v>
      </c>
      <c r="B1487" s="1832">
        <f>'Expenditures 15-22'!K246</f>
        <v>1559</v>
      </c>
      <c r="C1487" s="2" t="s">
        <v>569</v>
      </c>
      <c r="D1487" s="2" t="str">
        <f t="shared" si="22"/>
        <v>Error?</v>
      </c>
    </row>
    <row r="1488" spans="1:4" x14ac:dyDescent="0.2">
      <c r="A1488" s="5">
        <v>1427</v>
      </c>
      <c r="B1488" s="1832">
        <f>'Expenditures 15-22'!K257</f>
        <v>2119</v>
      </c>
      <c r="C1488" s="2" t="s">
        <v>569</v>
      </c>
      <c r="D1488" s="2" t="str">
        <f t="shared" si="22"/>
        <v>Error?</v>
      </c>
    </row>
    <row r="1489" spans="1:4" x14ac:dyDescent="0.2">
      <c r="A1489" s="5">
        <v>1428</v>
      </c>
      <c r="B1489" s="1832">
        <f>'Expenditures 15-22'!K259</f>
        <v>38387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38387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17038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41941</v>
      </c>
      <c r="C1495" s="2" t="s">
        <v>569</v>
      </c>
      <c r="D1495" s="2" t="str">
        <f t="shared" si="22"/>
        <v>Error?</v>
      </c>
    </row>
    <row r="1496" spans="1:4" x14ac:dyDescent="0.2">
      <c r="A1496" s="5">
        <v>1435</v>
      </c>
      <c r="B1496" s="1832">
        <f>'Expenditures 15-22'!K267</f>
        <v>66162</v>
      </c>
      <c r="C1496" s="2" t="s">
        <v>569</v>
      </c>
      <c r="D1496" s="2" t="str">
        <f t="shared" si="22"/>
        <v>Error?</v>
      </c>
    </row>
    <row r="1497" spans="1:4" x14ac:dyDescent="0.2">
      <c r="A1497" s="5">
        <v>1436</v>
      </c>
      <c r="B1497" s="1832">
        <f>'Expenditures 15-22'!K268</f>
        <v>18484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143625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220106</v>
      </c>
      <c r="C1510" s="2" t="s">
        <v>569</v>
      </c>
      <c r="D1510" s="2" t="str">
        <f t="shared" si="22"/>
        <v>Error?</v>
      </c>
    </row>
    <row r="1511" spans="1:4" x14ac:dyDescent="0.2">
      <c r="A1511" s="5">
        <v>1450</v>
      </c>
      <c r="B1511" s="1832">
        <f>'Expenditures 15-22'!K280</f>
        <v>109</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322288</v>
      </c>
      <c r="C1517" s="2" t="s">
        <v>569</v>
      </c>
      <c r="D1517" s="2" t="str">
        <f t="shared" si="22"/>
        <v>Error?</v>
      </c>
    </row>
    <row r="1518" spans="1:4" x14ac:dyDescent="0.2">
      <c r="A1518" s="5">
        <v>1457</v>
      </c>
      <c r="B1518" s="1832">
        <f>'Expenditures 15-22'!K296</f>
        <v>147629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33294</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33294</v>
      </c>
      <c r="C1535" s="2" t="s">
        <v>569</v>
      </c>
      <c r="D1535" s="2" t="str">
        <f t="shared" ref="D1535:D1598" si="23">IF(ISBLANK(B1535),"OK",IF(A1535-B1535=0,"OK","Error?"))</f>
        <v>Error?</v>
      </c>
    </row>
    <row r="1536" spans="1:4" x14ac:dyDescent="0.2">
      <c r="A1536" s="5">
        <v>1475</v>
      </c>
      <c r="B1536" s="1832">
        <f>'Expenditures 15-22'!E312</f>
        <v>33294</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1269796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1269796</v>
      </c>
      <c r="C1547" s="2" t="s">
        <v>569</v>
      </c>
      <c r="D1547" s="2" t="str">
        <f t="shared" si="23"/>
        <v>Error?</v>
      </c>
    </row>
    <row r="1548" spans="1:4" x14ac:dyDescent="0.2">
      <c r="A1548" s="5">
        <v>1487</v>
      </c>
      <c r="B1548" s="1832">
        <f>'Expenditures 15-22'!G312</f>
        <v>1269796</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1303090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1303090</v>
      </c>
      <c r="C1559" s="2" t="s">
        <v>569</v>
      </c>
      <c r="D1559" s="2" t="str">
        <f t="shared" si="23"/>
        <v>Error?</v>
      </c>
    </row>
    <row r="1560" spans="1:4" x14ac:dyDescent="0.2">
      <c r="A1560" s="5">
        <v>1499</v>
      </c>
      <c r="B1560" s="1832">
        <f>'Expenditures 15-22'!K312</f>
        <v>1303090</v>
      </c>
      <c r="C1560" s="2" t="s">
        <v>569</v>
      </c>
      <c r="D1560" s="2" t="str">
        <f t="shared" si="23"/>
        <v>Error?</v>
      </c>
    </row>
    <row r="1561" spans="1:4" x14ac:dyDescent="0.2">
      <c r="A1561" s="5">
        <v>1500</v>
      </c>
      <c r="B1561" s="1832">
        <f>'Expenditures 15-22'!K313</f>
        <v>-962369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1042613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1787062</v>
      </c>
      <c r="C1630" s="2" t="s">
        <v>569</v>
      </c>
      <c r="D1630" s="2" t="str">
        <f t="shared" si="24"/>
        <v>Error?</v>
      </c>
    </row>
    <row r="1631" spans="1:4" x14ac:dyDescent="0.2">
      <c r="A1631" s="5">
        <v>1570</v>
      </c>
      <c r="B1631" s="1832">
        <f>'Acct Summary 7-8'!D79</f>
        <v>186693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98446</v>
      </c>
      <c r="C1644" s="2" t="s">
        <v>569</v>
      </c>
      <c r="D1644" s="2" t="str">
        <f t="shared" si="24"/>
        <v>Error?</v>
      </c>
    </row>
    <row r="1645" spans="1:4" x14ac:dyDescent="0.2">
      <c r="A1645" s="5">
        <v>1584</v>
      </c>
      <c r="B1645" s="1832">
        <f>'Acct Summary 7-8'!E79</f>
        <v>179853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185949</v>
      </c>
      <c r="C1658" s="2" t="s">
        <v>569</v>
      </c>
      <c r="D1658" s="2" t="str">
        <f t="shared" si="24"/>
        <v>Error?</v>
      </c>
    </row>
    <row r="1659" spans="1:4" x14ac:dyDescent="0.2">
      <c r="A1659" s="5">
        <v>1598</v>
      </c>
      <c r="B1659" s="1832">
        <f>'Acct Summary 7-8'!F79</f>
        <v>1018355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1012095</v>
      </c>
      <c r="C1672" s="2" t="s">
        <v>569</v>
      </c>
      <c r="D1672" s="2" t="str">
        <f t="shared" si="25"/>
        <v>Error?</v>
      </c>
    </row>
    <row r="1673" spans="1:4" x14ac:dyDescent="0.2">
      <c r="A1673" s="5">
        <v>1612</v>
      </c>
      <c r="B1673" s="1832">
        <f>'Acct Summary 7-8'!G79</f>
        <v>763652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911281</v>
      </c>
      <c r="C1686" s="2" t="s">
        <v>569</v>
      </c>
      <c r="D1686" s="2" t="str">
        <f t="shared" si="25"/>
        <v>Error?</v>
      </c>
    </row>
    <row r="1687" spans="1:4" x14ac:dyDescent="0.2">
      <c r="A1687" s="5">
        <v>1626</v>
      </c>
      <c r="B1687" s="1832">
        <f>'Acct Summary 7-8'!H79</f>
        <v>3409943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2447574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1624905</v>
      </c>
      <c r="C1744" s="2" t="s">
        <v>569</v>
      </c>
      <c r="D1744" s="2" t="str">
        <f t="shared" si="26"/>
        <v>Error?</v>
      </c>
    </row>
    <row r="1745" spans="1:5" x14ac:dyDescent="0.2">
      <c r="A1745" s="5">
        <v>1684</v>
      </c>
      <c r="B1745" s="1832">
        <f>'Tax Sched 23'!B5</f>
        <v>293677</v>
      </c>
      <c r="C1745" s="2" t="s">
        <v>569</v>
      </c>
      <c r="D1745" s="2" t="str">
        <f t="shared" si="26"/>
        <v>Error?</v>
      </c>
    </row>
    <row r="1746" spans="1:5" x14ac:dyDescent="0.2">
      <c r="A1746" s="5">
        <v>1685</v>
      </c>
      <c r="B1746" s="1832">
        <f>'Tax Sched 23'!B6</f>
        <v>575936</v>
      </c>
      <c r="C1746" s="2" t="s">
        <v>569</v>
      </c>
      <c r="D1746" s="2" t="str">
        <f t="shared" si="26"/>
        <v>Error?</v>
      </c>
    </row>
    <row r="1747" spans="1:5" x14ac:dyDescent="0.2">
      <c r="A1747" s="5">
        <v>1686</v>
      </c>
      <c r="B1747" s="1832">
        <f>'Tax Sched 23'!B7</f>
        <v>156627</v>
      </c>
      <c r="C1747" s="2" t="s">
        <v>569</v>
      </c>
      <c r="D1747" s="2" t="str">
        <f t="shared" si="26"/>
        <v>Error?</v>
      </c>
    </row>
    <row r="1748" spans="1:5" x14ac:dyDescent="0.2">
      <c r="A1748" s="5">
        <v>1687</v>
      </c>
      <c r="B1748" s="1832">
        <f>'Tax Sched 23'!B8</f>
        <v>199458</v>
      </c>
      <c r="C1748" s="2" t="s">
        <v>569</v>
      </c>
      <c r="D1748" s="2" t="str">
        <f t="shared" si="26"/>
        <v>Error?</v>
      </c>
    </row>
    <row r="1749" spans="1:5" x14ac:dyDescent="0.2">
      <c r="A1749" s="5">
        <v>1688</v>
      </c>
      <c r="B1749" s="1832">
        <f>'Tax Sched 23'!B10</f>
        <v>39157</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498626</v>
      </c>
      <c r="C1752" s="2" t="s">
        <v>569</v>
      </c>
      <c r="D1752" s="2" t="str">
        <f t="shared" si="26"/>
        <v>Error?</v>
      </c>
    </row>
    <row r="1753" spans="1:5" x14ac:dyDescent="0.2">
      <c r="A1753" s="5">
        <v>1692</v>
      </c>
      <c r="B1753" s="1832">
        <f>'Tax Sched 23'!B12</f>
        <v>39157</v>
      </c>
      <c r="C1753" s="2" t="s">
        <v>569</v>
      </c>
      <c r="D1753" s="2" t="str">
        <f t="shared" si="26"/>
        <v>Error?</v>
      </c>
    </row>
    <row r="1754" spans="1:5" x14ac:dyDescent="0.2">
      <c r="A1754" s="5">
        <v>1693</v>
      </c>
      <c r="B1754" s="1832">
        <f>'Tax Sched 23'!B14</f>
        <v>31104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3657445</v>
      </c>
      <c r="C1759" s="2" t="s">
        <v>569</v>
      </c>
      <c r="D1759" s="2" t="str">
        <f t="shared" si="26"/>
        <v>Error?</v>
      </c>
    </row>
    <row r="1760" spans="1:5" x14ac:dyDescent="0.2">
      <c r="A1760" s="5">
        <v>1699</v>
      </c>
      <c r="B1760" s="1832">
        <f>'Tax Sched 23'!D4</f>
        <v>1624905</v>
      </c>
      <c r="C1760" s="2" t="s">
        <v>569</v>
      </c>
      <c r="D1760" s="2" t="str">
        <f t="shared" si="26"/>
        <v>Error?</v>
      </c>
    </row>
    <row r="1761" spans="1:7" x14ac:dyDescent="0.2">
      <c r="A1761" s="5">
        <v>1700</v>
      </c>
      <c r="B1761" s="1832">
        <f>'Tax Sched 23'!D5</f>
        <v>293677</v>
      </c>
      <c r="C1761" s="2" t="s">
        <v>569</v>
      </c>
      <c r="D1761" s="2" t="str">
        <f t="shared" si="26"/>
        <v>Error?</v>
      </c>
    </row>
    <row r="1762" spans="1:7" s="8" customFormat="1" x14ac:dyDescent="0.2">
      <c r="A1762" s="5">
        <v>1701</v>
      </c>
      <c r="B1762" s="1832">
        <f>'Tax Sched 23'!D6</f>
        <v>575936</v>
      </c>
      <c r="C1762" s="2" t="s">
        <v>569</v>
      </c>
      <c r="D1762" s="2" t="str">
        <f t="shared" si="26"/>
        <v>Error?</v>
      </c>
      <c r="E1762" s="9"/>
      <c r="G1762"/>
    </row>
    <row r="1763" spans="1:7" x14ac:dyDescent="0.2">
      <c r="A1763" s="5">
        <v>1702</v>
      </c>
      <c r="B1763" s="1832">
        <f>'Tax Sched 23'!D7</f>
        <v>156627</v>
      </c>
      <c r="C1763" s="2" t="s">
        <v>569</v>
      </c>
      <c r="D1763" s="2" t="str">
        <f t="shared" si="26"/>
        <v>Error?</v>
      </c>
    </row>
    <row r="1764" spans="1:7" x14ac:dyDescent="0.2">
      <c r="A1764" s="5">
        <v>1703</v>
      </c>
      <c r="B1764" s="1832">
        <f>'Tax Sched 23'!D8</f>
        <v>199458</v>
      </c>
      <c r="C1764" s="2" t="s">
        <v>569</v>
      </c>
      <c r="D1764" s="2" t="str">
        <f t="shared" si="26"/>
        <v>Error?</v>
      </c>
    </row>
    <row r="1765" spans="1:7" x14ac:dyDescent="0.2">
      <c r="A1765" s="5">
        <v>1704</v>
      </c>
      <c r="B1765" s="1832">
        <f>'Tax Sched 23'!D10</f>
        <v>39157</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498626</v>
      </c>
      <c r="C1768" s="2" t="s">
        <v>569</v>
      </c>
      <c r="D1768" s="2" t="str">
        <f t="shared" si="26"/>
        <v>Error?</v>
      </c>
    </row>
    <row r="1769" spans="1:7" x14ac:dyDescent="0.2">
      <c r="A1769" s="5">
        <v>1708</v>
      </c>
      <c r="B1769" s="1832">
        <f>'Tax Sched 23'!D12</f>
        <v>39157</v>
      </c>
      <c r="C1769" s="2" t="s">
        <v>569</v>
      </c>
      <c r="D1769" s="2" t="str">
        <f t="shared" si="26"/>
        <v>Error?</v>
      </c>
    </row>
    <row r="1770" spans="1:7" x14ac:dyDescent="0.2">
      <c r="A1770" s="5">
        <v>1709</v>
      </c>
      <c r="B1770" s="1832">
        <f>'Tax Sched 23'!D14</f>
        <v>31104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3657445</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1466931</v>
      </c>
      <c r="C1792" s="2" t="s">
        <v>569</v>
      </c>
      <c r="D1792" s="2" t="str">
        <f t="shared" si="27"/>
        <v>Error?</v>
      </c>
    </row>
    <row r="1793" spans="1:4" x14ac:dyDescent="0.2">
      <c r="A1793" s="5">
        <v>1732</v>
      </c>
      <c r="B1793" s="1832">
        <f>'Tax Sched 23'!F5</f>
        <v>298967</v>
      </c>
      <c r="C1793" s="2" t="s">
        <v>569</v>
      </c>
      <c r="D1793" s="2" t="str">
        <f t="shared" si="27"/>
        <v>Error?</v>
      </c>
    </row>
    <row r="1794" spans="1:4" x14ac:dyDescent="0.2">
      <c r="A1794" s="5">
        <v>1733</v>
      </c>
      <c r="B1794" s="1832">
        <f>'Tax Sched 23'!F6</f>
        <v>573690</v>
      </c>
      <c r="C1794" s="2" t="s">
        <v>569</v>
      </c>
      <c r="D1794" s="2" t="str">
        <f t="shared" si="27"/>
        <v>Error?</v>
      </c>
    </row>
    <row r="1795" spans="1:4" x14ac:dyDescent="0.2">
      <c r="A1795" s="5">
        <v>1734</v>
      </c>
      <c r="B1795" s="1832">
        <f>'Tax Sched 23'!F7</f>
        <v>159449</v>
      </c>
      <c r="C1795" s="2" t="s">
        <v>569</v>
      </c>
      <c r="D1795" s="2" t="str">
        <f t="shared" si="27"/>
        <v>Error?</v>
      </c>
    </row>
    <row r="1796" spans="1:4" x14ac:dyDescent="0.2">
      <c r="A1796" s="5">
        <v>1735</v>
      </c>
      <c r="B1796" s="1832">
        <f>'Tax Sched 23'!F8</f>
        <v>160007</v>
      </c>
      <c r="C1796" s="2" t="s">
        <v>569</v>
      </c>
      <c r="D1796" s="2" t="str">
        <f t="shared" si="27"/>
        <v>Error?</v>
      </c>
    </row>
    <row r="1797" spans="1:4" x14ac:dyDescent="0.2">
      <c r="A1797" s="5">
        <v>1736</v>
      </c>
      <c r="B1797" s="1832">
        <f>'Tax Sched 23'!F10</f>
        <v>39862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500000</v>
      </c>
      <c r="C1800" s="2" t="s">
        <v>569</v>
      </c>
      <c r="D1800" s="2" t="str">
        <f t="shared" si="27"/>
        <v>Error?</v>
      </c>
    </row>
    <row r="1801" spans="1:4" x14ac:dyDescent="0.2">
      <c r="A1801" s="5">
        <v>1740</v>
      </c>
      <c r="B1801" s="1832">
        <f>'Tax Sched 23'!F12</f>
        <v>39862</v>
      </c>
      <c r="C1801" s="2" t="s">
        <v>569</v>
      </c>
      <c r="D1801" s="2" t="str">
        <f t="shared" si="27"/>
        <v>Error?</v>
      </c>
    </row>
    <row r="1802" spans="1:4" x14ac:dyDescent="0.2">
      <c r="A1802" s="5">
        <v>1741</v>
      </c>
      <c r="B1802" s="1832">
        <f>'Tax Sched 23'!F14</f>
        <v>31890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3452956</v>
      </c>
      <c r="C1807" s="2" t="s">
        <v>569</v>
      </c>
      <c r="D1807" s="2" t="str">
        <f t="shared" si="27"/>
        <v>Error?</v>
      </c>
    </row>
    <row r="1808" spans="1:4" x14ac:dyDescent="0.2">
      <c r="A1808" s="5">
        <v>1747</v>
      </c>
      <c r="B1808" s="1832">
        <f>'Tax Sched 23'!E4</f>
        <v>1466931</v>
      </c>
      <c r="D1808" s="2" t="str">
        <f t="shared" si="27"/>
        <v>Error?</v>
      </c>
    </row>
    <row r="1809" spans="1:4" x14ac:dyDescent="0.2">
      <c r="A1809" s="5">
        <v>1748</v>
      </c>
      <c r="B1809" s="1832">
        <f>'Tax Sched 23'!E5</f>
        <v>298967</v>
      </c>
      <c r="D1809" s="2" t="str">
        <f t="shared" si="27"/>
        <v>Error?</v>
      </c>
    </row>
    <row r="1810" spans="1:4" x14ac:dyDescent="0.2">
      <c r="A1810" s="5">
        <v>1749</v>
      </c>
      <c r="B1810" s="1832">
        <f>'Tax Sched 23'!E6</f>
        <v>573690</v>
      </c>
      <c r="D1810" s="2" t="str">
        <f t="shared" si="27"/>
        <v>Error?</v>
      </c>
    </row>
    <row r="1811" spans="1:4" x14ac:dyDescent="0.2">
      <c r="A1811" s="5">
        <v>1750</v>
      </c>
      <c r="B1811" s="1832">
        <f>'Tax Sched 23'!E7</f>
        <v>159449</v>
      </c>
      <c r="D1811" s="2" t="str">
        <f t="shared" si="27"/>
        <v>Error?</v>
      </c>
    </row>
    <row r="1812" spans="1:4" x14ac:dyDescent="0.2">
      <c r="A1812" s="5">
        <v>1751</v>
      </c>
      <c r="B1812" s="1832">
        <f>'Tax Sched 23'!E8</f>
        <v>160007</v>
      </c>
      <c r="D1812" s="2" t="str">
        <f t="shared" si="27"/>
        <v>Error?</v>
      </c>
    </row>
    <row r="1813" spans="1:4" x14ac:dyDescent="0.2">
      <c r="A1813" s="5">
        <v>1752</v>
      </c>
      <c r="B1813" s="1832">
        <f>'Tax Sched 23'!E10</f>
        <v>39862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500000</v>
      </c>
      <c r="D1816" s="2" t="str">
        <f t="shared" si="27"/>
        <v>Error?</v>
      </c>
    </row>
    <row r="1817" spans="1:4" x14ac:dyDescent="0.2">
      <c r="A1817" s="5">
        <v>1756</v>
      </c>
      <c r="B1817" s="1832">
        <f>'Tax Sched 23'!E12</f>
        <v>39862</v>
      </c>
      <c r="D1817" s="2" t="str">
        <f t="shared" si="27"/>
        <v>Error?</v>
      </c>
    </row>
    <row r="1818" spans="1:4" x14ac:dyDescent="0.2">
      <c r="A1818" s="5">
        <v>1757</v>
      </c>
      <c r="B1818" s="1832">
        <f>'Tax Sched 23'!E14</f>
        <v>31890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3452956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4975000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31104</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31104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31104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43000</v>
      </c>
      <c r="D2008" s="2" t="str">
        <f t="shared" si="30"/>
        <v>Error?</v>
      </c>
    </row>
    <row r="2009" spans="1:4" x14ac:dyDescent="0.2">
      <c r="A2009" s="5">
        <v>1948</v>
      </c>
      <c r="B2009" s="1832">
        <f>'Cap Outlay Deprec 26'!C8</f>
        <v>8728185</v>
      </c>
      <c r="D2009" s="2" t="str">
        <f t="shared" si="30"/>
        <v>Error?</v>
      </c>
    </row>
    <row r="2010" spans="1:4" x14ac:dyDescent="0.2">
      <c r="A2010" s="5">
        <v>1949</v>
      </c>
      <c r="B2010" s="1832">
        <f>'Cap Outlay Deprec 26'!C10</f>
        <v>627983</v>
      </c>
      <c r="D2010" s="2" t="str">
        <f t="shared" si="30"/>
        <v>Error?</v>
      </c>
    </row>
    <row r="2011" spans="1:4" x14ac:dyDescent="0.2">
      <c r="A2011" s="5">
        <v>1950</v>
      </c>
      <c r="B2011" s="1832">
        <f>'Cap Outlay Deprec 26'!C12</f>
        <v>838860</v>
      </c>
      <c r="D2011" s="2" t="str">
        <f t="shared" si="30"/>
        <v>Error?</v>
      </c>
    </row>
    <row r="2012" spans="1:4" x14ac:dyDescent="0.2">
      <c r="A2012" s="5">
        <v>1951</v>
      </c>
      <c r="B2012" s="1832">
        <f>'Cap Outlay Deprec 26'!C13</f>
        <v>1565375</v>
      </c>
      <c r="D2012" s="2" t="str">
        <f t="shared" si="30"/>
        <v>Error?</v>
      </c>
    </row>
    <row r="2013" spans="1:4" x14ac:dyDescent="0.2">
      <c r="A2013" s="5">
        <v>1952</v>
      </c>
      <c r="B2013" s="1832">
        <f>'Cap Outlay Deprec 26'!C16</f>
        <v>11826608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1070057</v>
      </c>
      <c r="D2015" s="2" t="str">
        <f t="shared" si="30"/>
        <v>Error?</v>
      </c>
    </row>
    <row r="2016" spans="1:4" x14ac:dyDescent="0.2">
      <c r="A2016" s="5">
        <v>1955</v>
      </c>
      <c r="B2016" s="1832">
        <f>'Cap Outlay Deprec 26'!D10</f>
        <v>70000</v>
      </c>
      <c r="D2016" s="2" t="str">
        <f t="shared" si="30"/>
        <v>Error?</v>
      </c>
    </row>
    <row r="2017" spans="1:4" x14ac:dyDescent="0.2">
      <c r="A2017" s="5">
        <v>1956</v>
      </c>
      <c r="B2017" s="1832">
        <f>'Cap Outlay Deprec 26'!D12</f>
        <v>276432</v>
      </c>
      <c r="D2017" s="2" t="str">
        <f t="shared" si="30"/>
        <v>Error?</v>
      </c>
    </row>
    <row r="2018" spans="1:4" x14ac:dyDescent="0.2">
      <c r="A2018" s="5">
        <v>1957</v>
      </c>
      <c r="B2018" s="1832">
        <f>'Cap Outlay Deprec 26'!D13</f>
        <v>184534</v>
      </c>
      <c r="D2018" s="2" t="str">
        <f t="shared" si="30"/>
        <v>Error?</v>
      </c>
    </row>
    <row r="2019" spans="1:4" x14ac:dyDescent="0.2">
      <c r="A2019" s="5">
        <v>1958</v>
      </c>
      <c r="B2019" s="1832">
        <f>'Cap Outlay Deprec 26'!D16</f>
        <v>1753967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138454</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161659</v>
      </c>
      <c r="C2025" s="2" t="s">
        <v>569</v>
      </c>
      <c r="D2025" s="2" t="str">
        <f t="shared" si="30"/>
        <v>Error?</v>
      </c>
    </row>
    <row r="2026" spans="1:4" x14ac:dyDescent="0.2">
      <c r="A2026" s="5">
        <v>1965</v>
      </c>
      <c r="B2026" s="1832">
        <f>'Cap Outlay Deprec 26'!F5</f>
        <v>43000</v>
      </c>
      <c r="C2026" s="2" t="s">
        <v>569</v>
      </c>
      <c r="D2026" s="2" t="str">
        <f t="shared" si="30"/>
        <v>Error?</v>
      </c>
    </row>
    <row r="2027" spans="1:4" x14ac:dyDescent="0.2">
      <c r="A2027" s="5">
        <v>1966</v>
      </c>
      <c r="B2027" s="1832">
        <f>'Cap Outlay Deprec 26'!F8</f>
        <v>9798242</v>
      </c>
      <c r="C2027" s="2" t="s">
        <v>569</v>
      </c>
      <c r="D2027" s="2" t="str">
        <f t="shared" si="30"/>
        <v>Error?</v>
      </c>
    </row>
    <row r="2028" spans="1:4" x14ac:dyDescent="0.2">
      <c r="A2028" s="5">
        <v>1967</v>
      </c>
      <c r="B2028" s="1832">
        <f>'Cap Outlay Deprec 26'!F10</f>
        <v>697983</v>
      </c>
      <c r="C2028" s="2" t="s">
        <v>569</v>
      </c>
      <c r="D2028" s="2" t="str">
        <f t="shared" si="30"/>
        <v>Error?</v>
      </c>
    </row>
    <row r="2029" spans="1:4" x14ac:dyDescent="0.2">
      <c r="A2029" s="5">
        <v>1968</v>
      </c>
      <c r="B2029" s="1832">
        <f>'Cap Outlay Deprec 26'!F12</f>
        <v>976838</v>
      </c>
      <c r="C2029" s="2" t="s">
        <v>569</v>
      </c>
      <c r="D2029" s="2" t="str">
        <f t="shared" si="30"/>
        <v>Error?</v>
      </c>
    </row>
    <row r="2030" spans="1:4" x14ac:dyDescent="0.2">
      <c r="A2030" s="5">
        <v>1969</v>
      </c>
      <c r="B2030" s="1832">
        <f>'Cap Outlay Deprec 26'!F13</f>
        <v>1749909</v>
      </c>
      <c r="C2030" s="2" t="s">
        <v>569</v>
      </c>
      <c r="D2030" s="2" t="str">
        <f t="shared" si="30"/>
        <v>Error?</v>
      </c>
    </row>
    <row r="2031" spans="1:4" x14ac:dyDescent="0.2">
      <c r="A2031" s="5">
        <v>1970</v>
      </c>
      <c r="B2031" s="1832">
        <f>'Cap Outlay Deprec 26'!F16</f>
        <v>13418916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4494053</v>
      </c>
      <c r="D2033" s="2" t="str">
        <f t="shared" si="30"/>
        <v>Error?</v>
      </c>
    </row>
    <row r="2034" spans="1:4" x14ac:dyDescent="0.2">
      <c r="A2034" s="5">
        <v>1973</v>
      </c>
      <c r="B2034" s="1832">
        <f>'Cap Outlay Deprec 26'!H10</f>
        <v>340530</v>
      </c>
      <c r="D2034" s="2" t="str">
        <f t="shared" si="30"/>
        <v>Error?</v>
      </c>
    </row>
    <row r="2035" spans="1:4" x14ac:dyDescent="0.2">
      <c r="A2035" s="5">
        <v>1974</v>
      </c>
      <c r="B2035" s="1832">
        <f>'Cap Outlay Deprec 26'!H12</f>
        <v>486390</v>
      </c>
      <c r="D2035" s="2" t="str">
        <f t="shared" si="30"/>
        <v>Error?</v>
      </c>
    </row>
    <row r="2036" spans="1:4" x14ac:dyDescent="0.2">
      <c r="A2036" s="5">
        <v>1975</v>
      </c>
      <c r="B2036" s="1832">
        <f>'Cap Outlay Deprec 26'!H13</f>
        <v>1376103</v>
      </c>
      <c r="D2036" s="2" t="str">
        <f t="shared" si="30"/>
        <v>Error?</v>
      </c>
    </row>
    <row r="2037" spans="1:4" x14ac:dyDescent="0.2">
      <c r="A2037" s="5">
        <v>1976</v>
      </c>
      <c r="B2037" s="1832">
        <f>'Cap Outlay Deprec 26'!H16</f>
        <v>6697076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167173</v>
      </c>
      <c r="D2039" s="2" t="str">
        <f t="shared" si="30"/>
        <v>Error?</v>
      </c>
    </row>
    <row r="2040" spans="1:4" x14ac:dyDescent="0.2">
      <c r="A2040" s="5">
        <v>1979</v>
      </c>
      <c r="B2040" s="1832">
        <f>'Cap Outlay Deprec 26'!I10</f>
        <v>30482</v>
      </c>
      <c r="D2040" s="2" t="str">
        <f t="shared" si="30"/>
        <v>Error?</v>
      </c>
    </row>
    <row r="2041" spans="1:4" x14ac:dyDescent="0.2">
      <c r="A2041" s="5">
        <v>1980</v>
      </c>
      <c r="B2041" s="1832">
        <f>'Cap Outlay Deprec 26'!I12</f>
        <v>111125</v>
      </c>
      <c r="D2041" s="2" t="str">
        <f t="shared" si="30"/>
        <v>Error?</v>
      </c>
    </row>
    <row r="2042" spans="1:4" x14ac:dyDescent="0.2">
      <c r="A2042" s="5">
        <v>1981</v>
      </c>
      <c r="B2042" s="1832">
        <f>'Cap Outlay Deprec 26'!I13</f>
        <v>75096</v>
      </c>
      <c r="D2042" s="2" t="str">
        <f t="shared" si="30"/>
        <v>Error?</v>
      </c>
    </row>
    <row r="2043" spans="1:4" x14ac:dyDescent="0.2">
      <c r="A2043" s="5">
        <v>1982</v>
      </c>
      <c r="B2043" s="1832">
        <f>'Cap Outlay Deprec 26'!I16</f>
        <v>383876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138454</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138454</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4661226</v>
      </c>
      <c r="C2051" s="2" t="s">
        <v>569</v>
      </c>
      <c r="D2051" s="2" t="str">
        <f t="shared" si="31"/>
        <v>Error?</v>
      </c>
    </row>
    <row r="2052" spans="1:4" x14ac:dyDescent="0.2">
      <c r="A2052" s="5">
        <v>1991</v>
      </c>
      <c r="B2052" s="1832">
        <f>'Cap Outlay Deprec 26'!K10</f>
        <v>371012</v>
      </c>
      <c r="C2052" s="2" t="s">
        <v>569</v>
      </c>
      <c r="D2052" s="2" t="str">
        <f t="shared" si="31"/>
        <v>Error?</v>
      </c>
    </row>
    <row r="2053" spans="1:4" x14ac:dyDescent="0.2">
      <c r="A2053" s="5">
        <v>1992</v>
      </c>
      <c r="B2053" s="1832">
        <f>'Cap Outlay Deprec 26'!K12</f>
        <v>459061</v>
      </c>
      <c r="C2053" s="2" t="s">
        <v>569</v>
      </c>
      <c r="D2053" s="2" t="str">
        <f t="shared" si="31"/>
        <v>Error?</v>
      </c>
    </row>
    <row r="2054" spans="1:4" x14ac:dyDescent="0.2">
      <c r="A2054" s="5">
        <v>1993</v>
      </c>
      <c r="B2054" s="1832">
        <f>'Cap Outlay Deprec 26'!K13</f>
        <v>1451199</v>
      </c>
      <c r="C2054" s="2" t="s">
        <v>569</v>
      </c>
      <c r="D2054" s="2" t="str">
        <f t="shared" si="31"/>
        <v>Error?</v>
      </c>
    </row>
    <row r="2055" spans="1:4" x14ac:dyDescent="0.2">
      <c r="A2055" s="5">
        <v>1994</v>
      </c>
      <c r="B2055" s="1832">
        <f>'Cap Outlay Deprec 26'!K16</f>
        <v>6942498</v>
      </c>
      <c r="C2055" s="2" t="s">
        <v>569</v>
      </c>
      <c r="D2055" s="2" t="str">
        <f t="shared" si="31"/>
        <v>Error?</v>
      </c>
    </row>
    <row r="2056" spans="1:4" x14ac:dyDescent="0.2">
      <c r="A2056" s="5">
        <v>1995</v>
      </c>
      <c r="B2056" s="1832">
        <f>'Cap Outlay Deprec 26'!L5</f>
        <v>43000</v>
      </c>
      <c r="C2056" s="2" t="s">
        <v>569</v>
      </c>
      <c r="D2056" s="2" t="str">
        <f t="shared" si="31"/>
        <v>Error?</v>
      </c>
    </row>
    <row r="2057" spans="1:4" x14ac:dyDescent="0.2">
      <c r="A2057" s="5">
        <v>1996</v>
      </c>
      <c r="B2057" s="1832">
        <f>'Cap Outlay Deprec 26'!L8</f>
        <v>5137016</v>
      </c>
      <c r="C2057" s="2" t="s">
        <v>569</v>
      </c>
      <c r="D2057" s="2" t="str">
        <f t="shared" si="31"/>
        <v>Error?</v>
      </c>
    </row>
    <row r="2058" spans="1:4" x14ac:dyDescent="0.2">
      <c r="A2058" s="5">
        <v>1997</v>
      </c>
      <c r="B2058" s="1832">
        <f>'Cap Outlay Deprec 26'!L10</f>
        <v>326971</v>
      </c>
      <c r="C2058" s="2" t="s">
        <v>569</v>
      </c>
      <c r="D2058" s="2" t="str">
        <f t="shared" si="31"/>
        <v>Error?</v>
      </c>
    </row>
    <row r="2059" spans="1:4" x14ac:dyDescent="0.2">
      <c r="A2059" s="5">
        <v>1998</v>
      </c>
      <c r="B2059" s="1832">
        <f>'Cap Outlay Deprec 26'!L12</f>
        <v>517777</v>
      </c>
      <c r="C2059" s="2" t="s">
        <v>569</v>
      </c>
      <c r="D2059" s="2" t="str">
        <f t="shared" si="31"/>
        <v>Error?</v>
      </c>
    </row>
    <row r="2060" spans="1:4" x14ac:dyDescent="0.2">
      <c r="A2060" s="5">
        <v>1999</v>
      </c>
      <c r="B2060" s="1832">
        <f>'Cap Outlay Deprec 26'!L13</f>
        <v>298710</v>
      </c>
      <c r="C2060" s="2" t="s">
        <v>569</v>
      </c>
      <c r="D2060" s="2" t="str">
        <f t="shared" si="31"/>
        <v>Error?</v>
      </c>
    </row>
    <row r="2061" spans="1:4" x14ac:dyDescent="0.2">
      <c r="A2061" s="5">
        <v>2000</v>
      </c>
      <c r="B2061" s="1832">
        <f>'Cap Outlay Deprec 26'!L16</f>
        <v>6476418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356675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563242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22191</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3295313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3850879</v>
      </c>
      <c r="C2553" s="2" t="s">
        <v>569</v>
      </c>
      <c r="D2553" s="2" t="str">
        <f t="shared" si="38"/>
        <v>Error?</v>
      </c>
    </row>
    <row r="2554" spans="1:4" x14ac:dyDescent="0.2">
      <c r="A2554" s="5">
        <v>2493</v>
      </c>
      <c r="B2554" s="1832">
        <f>'Acct Summary 7-8'!C7</f>
        <v>896762</v>
      </c>
      <c r="C2554" s="2" t="s">
        <v>569</v>
      </c>
      <c r="D2554" s="2" t="str">
        <f t="shared" si="38"/>
        <v>Error?</v>
      </c>
    </row>
    <row r="2555" spans="1:4" x14ac:dyDescent="0.2">
      <c r="A2555" s="5">
        <v>2494</v>
      </c>
      <c r="B2555" s="1832">
        <f>'Acct Summary 7-8'!C8</f>
        <v>8042954</v>
      </c>
      <c r="C2555" s="2" t="s">
        <v>569</v>
      </c>
      <c r="D2555" s="2" t="str">
        <f t="shared" si="38"/>
        <v>Error?</v>
      </c>
    </row>
    <row r="2556" spans="1:4" x14ac:dyDescent="0.2">
      <c r="A2556" s="5">
        <v>2495</v>
      </c>
      <c r="B2556" s="1832">
        <f>'Acct Summary 7-8'!C12</f>
        <v>4718080</v>
      </c>
      <c r="C2556" s="2" t="s">
        <v>569</v>
      </c>
      <c r="D2556" s="2" t="str">
        <f t="shared" si="38"/>
        <v>Error?</v>
      </c>
    </row>
    <row r="2557" spans="1:4" x14ac:dyDescent="0.2">
      <c r="A2557" s="5">
        <v>2496</v>
      </c>
      <c r="B2557" s="1832">
        <f>'Acct Summary 7-8'!C13</f>
        <v>2015625</v>
      </c>
      <c r="C2557" s="2" t="s">
        <v>569</v>
      </c>
      <c r="D2557" s="2" t="str">
        <f t="shared" si="38"/>
        <v>Error?</v>
      </c>
    </row>
    <row r="2558" spans="1:4" x14ac:dyDescent="0.2">
      <c r="A2558" s="5">
        <v>2497</v>
      </c>
      <c r="B2558" s="1832">
        <f>'Acct Summary 7-8'!C14</f>
        <v>1558</v>
      </c>
      <c r="C2558" s="2" t="s">
        <v>569</v>
      </c>
      <c r="D2558" s="2" t="str">
        <f t="shared" si="38"/>
        <v>Error?</v>
      </c>
    </row>
    <row r="2559" spans="1:4" x14ac:dyDescent="0.2">
      <c r="A2559" s="5">
        <v>2498</v>
      </c>
      <c r="B2559" s="1832">
        <f>'Acct Summary 7-8'!C15</f>
        <v>563242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7298505</v>
      </c>
      <c r="C2561" s="2" t="s">
        <v>569</v>
      </c>
      <c r="D2561" s="2" t="str">
        <f t="shared" si="39"/>
        <v>Error?</v>
      </c>
    </row>
    <row r="2562" spans="1:4" x14ac:dyDescent="0.2">
      <c r="A2562" s="5">
        <v>2501</v>
      </c>
      <c r="B2562" s="1832">
        <f>'Acct Summary 7-8'!C20</f>
        <v>744449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306269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933</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307202</v>
      </c>
      <c r="C2568" s="2" t="s">
        <v>569</v>
      </c>
      <c r="D2568" s="2" t="str">
        <f t="shared" si="39"/>
        <v>Error?</v>
      </c>
    </row>
    <row r="2569" spans="1:4" x14ac:dyDescent="0.2">
      <c r="A2569" s="5">
        <v>2508</v>
      </c>
      <c r="B2569" s="1832">
        <f>'Acct Summary 7-8'!D13</f>
        <v>395449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395449</v>
      </c>
      <c r="C2573" s="2" t="s">
        <v>569</v>
      </c>
      <c r="D2573" s="2" t="str">
        <f t="shared" si="39"/>
        <v>Error?</v>
      </c>
    </row>
    <row r="2574" spans="1:4" x14ac:dyDescent="0.2">
      <c r="A2574" s="5">
        <v>2513</v>
      </c>
      <c r="B2574" s="1832">
        <f>'Acct Summary 7-8'!D20</f>
        <v>-88247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173635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629228</v>
      </c>
      <c r="C2593" s="2" t="s">
        <v>569</v>
      </c>
      <c r="D2593" s="2" t="str">
        <f t="shared" si="39"/>
        <v>Error?</v>
      </c>
    </row>
    <row r="2594" spans="1:4" x14ac:dyDescent="0.2">
      <c r="A2594" s="5">
        <v>2533</v>
      </c>
      <c r="B2594" s="1832">
        <f>'Acct Summary 7-8'!F7</f>
        <v>1291</v>
      </c>
      <c r="C2594" s="2" t="s">
        <v>569</v>
      </c>
      <c r="D2594" s="2" t="str">
        <f t="shared" si="39"/>
        <v>Error?</v>
      </c>
    </row>
    <row r="2595" spans="1:4" x14ac:dyDescent="0.2">
      <c r="A2595" s="5">
        <v>2534</v>
      </c>
      <c r="B2595" s="1832">
        <f>'Acct Summary 7-8'!F8</f>
        <v>804154</v>
      </c>
      <c r="C2595" s="2" t="s">
        <v>569</v>
      </c>
      <c r="D2595" s="2" t="str">
        <f t="shared" si="39"/>
        <v>Error?</v>
      </c>
    </row>
    <row r="2596" spans="1:4" x14ac:dyDescent="0.2">
      <c r="A2596" s="5">
        <v>2535</v>
      </c>
      <c r="B2596" s="1832">
        <f>'Acct Summary 7-8'!F13</f>
        <v>810414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810414</v>
      </c>
      <c r="C2600" s="2" t="s">
        <v>569</v>
      </c>
      <c r="D2600" s="2" t="str">
        <f t="shared" si="39"/>
        <v>Error?</v>
      </c>
    </row>
    <row r="2601" spans="1:4" x14ac:dyDescent="0.2">
      <c r="A2601" s="5">
        <v>2540</v>
      </c>
      <c r="B2601" s="1832">
        <f>'Acct Summary 7-8'!F20</f>
        <v>-6260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469917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469917</v>
      </c>
      <c r="C2606" s="2" t="s">
        <v>569</v>
      </c>
      <c r="D2606" s="2" t="str">
        <f t="shared" si="39"/>
        <v>Error?</v>
      </c>
    </row>
    <row r="2607" spans="1:4" x14ac:dyDescent="0.2">
      <c r="A2607" s="5">
        <v>2546</v>
      </c>
      <c r="B2607" s="1832">
        <f>'Acct Summary 7-8'!G12</f>
        <v>102073</v>
      </c>
      <c r="C2607" s="2" t="s">
        <v>569</v>
      </c>
      <c r="D2607" s="2" t="str">
        <f t="shared" si="39"/>
        <v>Error?</v>
      </c>
    </row>
    <row r="2608" spans="1:4" x14ac:dyDescent="0.2">
      <c r="A2608" s="5">
        <v>2547</v>
      </c>
      <c r="B2608" s="1832">
        <f>'Acct Summary 7-8'!G13</f>
        <v>220106</v>
      </c>
      <c r="C2608" s="2" t="s">
        <v>569</v>
      </c>
      <c r="D2608" s="2" t="str">
        <f t="shared" si="39"/>
        <v>Error?</v>
      </c>
    </row>
    <row r="2609" spans="1:4" x14ac:dyDescent="0.2">
      <c r="A2609" s="5">
        <v>2548</v>
      </c>
      <c r="B2609" s="1832">
        <f>'Acct Summary 7-8'!G14</f>
        <v>109</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322288</v>
      </c>
      <c r="C2612" s="2" t="s">
        <v>569</v>
      </c>
      <c r="D2612" s="2" t="str">
        <f t="shared" si="39"/>
        <v>Error?</v>
      </c>
    </row>
    <row r="2613" spans="1:4" x14ac:dyDescent="0.2">
      <c r="A2613" s="5">
        <v>2552</v>
      </c>
      <c r="B2613" s="1832">
        <f>'Acct Summary 7-8'!G20</f>
        <v>147629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868762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868762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862666</v>
      </c>
      <c r="C2634" s="2" t="s">
        <v>569</v>
      </c>
      <c r="D2634" s="2" t="str">
        <f t="shared" si="40"/>
        <v>Error?</v>
      </c>
    </row>
    <row r="2635" spans="1:4" x14ac:dyDescent="0.2">
      <c r="A2635" s="5">
        <v>2574</v>
      </c>
      <c r="B2635" s="1832">
        <f>'Acct Summary 7-8'!E17</f>
        <v>862666</v>
      </c>
      <c r="C2635" s="2" t="s">
        <v>569</v>
      </c>
      <c r="D2635" s="2" t="str">
        <f t="shared" si="40"/>
        <v>Error?</v>
      </c>
    </row>
    <row r="2636" spans="1:4" x14ac:dyDescent="0.2">
      <c r="A2636" s="5">
        <v>2575</v>
      </c>
      <c r="B2636" s="1832">
        <f>'Acct Summary 7-8'!E20</f>
        <v>6096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340721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340721</v>
      </c>
      <c r="C2658" s="2" t="s">
        <v>569</v>
      </c>
      <c r="D2658" s="2" t="str">
        <f t="shared" si="40"/>
        <v>Error?</v>
      </c>
    </row>
    <row r="2659" spans="1:4" x14ac:dyDescent="0.2">
      <c r="A2659" s="5">
        <v>2598</v>
      </c>
      <c r="B2659" s="1832">
        <f>'Acct Summary 7-8'!H13</f>
        <v>1303090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1303090</v>
      </c>
      <c r="C2661" s="2" t="s">
        <v>569</v>
      </c>
      <c r="D2661" s="2" t="str">
        <f t="shared" si="40"/>
        <v>Error?</v>
      </c>
    </row>
    <row r="2662" spans="1:4" x14ac:dyDescent="0.2">
      <c r="A2662" s="5">
        <v>2601</v>
      </c>
      <c r="B2662" s="1832">
        <f>'Acct Summary 7-8'!H20</f>
        <v>-962369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6000</v>
      </c>
      <c r="D2718" s="2" t="str">
        <f t="shared" si="41"/>
        <v>Error?</v>
      </c>
    </row>
    <row r="2719" spans="1:4" x14ac:dyDescent="0.2">
      <c r="A2719" s="5">
        <v>2658</v>
      </c>
      <c r="B2719" s="1832">
        <f>'Expenditures 15-22'!D51</f>
        <v>1493</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7493</v>
      </c>
      <c r="C2724" s="2" t="s">
        <v>569</v>
      </c>
      <c r="D2724" s="2" t="str">
        <f t="shared" si="41"/>
        <v>Error?</v>
      </c>
    </row>
    <row r="2725" spans="1:4" x14ac:dyDescent="0.2">
      <c r="A2725" s="5">
        <v>2664</v>
      </c>
      <c r="B2725" s="1832">
        <f>'Expenditures 15-22'!D247</f>
        <v>86</v>
      </c>
      <c r="D2725" s="2" t="str">
        <f t="shared" si="41"/>
        <v>Error?</v>
      </c>
    </row>
    <row r="2726" spans="1:4" x14ac:dyDescent="0.2">
      <c r="A2726" s="5">
        <v>2665</v>
      </c>
      <c r="B2726" s="1832">
        <f>'Expenditures 15-22'!K247</f>
        <v>86</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1998</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206567</v>
      </c>
      <c r="C2789" s="2" t="s">
        <v>569</v>
      </c>
      <c r="D2789" s="2" t="str">
        <f t="shared" si="42"/>
        <v>Error?</v>
      </c>
    </row>
    <row r="2790" spans="1:4" x14ac:dyDescent="0.2">
      <c r="A2790" s="5">
        <v>2729</v>
      </c>
      <c r="B2790" s="1832">
        <f>'Expenditures 15-22'!E102</f>
        <v>206567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152944</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1891445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393369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1891445</v>
      </c>
      <c r="D2912" s="2" t="str">
        <f t="shared" si="44"/>
        <v>Error?</v>
      </c>
    </row>
    <row r="2913" spans="1:4" x14ac:dyDescent="0.2">
      <c r="A2913" s="5">
        <v>2852</v>
      </c>
      <c r="B2913" s="1832">
        <f>'Assets-Liab 5-6'!I41</f>
        <v>1891445</v>
      </c>
      <c r="C2913" s="2" t="s">
        <v>569</v>
      </c>
      <c r="D2913" s="2" t="str">
        <f t="shared" si="44"/>
        <v>Error?</v>
      </c>
    </row>
    <row r="2914" spans="1:4" x14ac:dyDescent="0.2">
      <c r="A2914" s="5">
        <v>2853</v>
      </c>
      <c r="B2914" s="1832">
        <f>'Assets-Liab 5-6'!L33</f>
        <v>393369</v>
      </c>
      <c r="D2914" s="2" t="str">
        <f t="shared" si="44"/>
        <v>Error?</v>
      </c>
    </row>
    <row r="2915" spans="1:4" x14ac:dyDescent="0.2">
      <c r="A2915" s="10">
        <v>2854</v>
      </c>
      <c r="B2915" s="1832"/>
      <c r="D2915" s="2" t="str">
        <f t="shared" si="44"/>
        <v>OK</v>
      </c>
    </row>
    <row r="2916" spans="1:4" x14ac:dyDescent="0.2">
      <c r="A2916" s="5">
        <v>2855</v>
      </c>
      <c r="B2916" s="1832">
        <f>'Assets-Liab 5-6'!L34</f>
        <v>393369</v>
      </c>
      <c r="C2916" s="2" t="s">
        <v>569</v>
      </c>
      <c r="D2916" s="2" t="str">
        <f t="shared" si="44"/>
        <v>Error?</v>
      </c>
    </row>
    <row r="2917" spans="1:4" x14ac:dyDescent="0.2">
      <c r="A2917" s="5">
        <v>2856</v>
      </c>
      <c r="B2917" s="1832">
        <f>'Assets-Liab 5-6'!L41</f>
        <v>393369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206567</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356675</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563242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1998</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93916</v>
      </c>
      <c r="D3055" s="2" t="str">
        <f t="shared" si="46"/>
        <v>Error?</v>
      </c>
    </row>
    <row r="3056" spans="1:4" x14ac:dyDescent="0.2">
      <c r="A3056" s="5">
        <v>2995</v>
      </c>
      <c r="B3056" s="1832">
        <f>'Expenditures 15-22'!D10</f>
        <v>39197</v>
      </c>
      <c r="D3056" s="2" t="str">
        <f t="shared" si="46"/>
        <v>Error?</v>
      </c>
    </row>
    <row r="3057" spans="1:4" x14ac:dyDescent="0.2">
      <c r="A3057" s="5">
        <v>2996</v>
      </c>
      <c r="B3057" s="1832">
        <f>'Expenditures 15-22'!E10</f>
        <v>22558</v>
      </c>
      <c r="D3057" s="2" t="str">
        <f t="shared" si="46"/>
        <v>Error?</v>
      </c>
    </row>
    <row r="3058" spans="1:4" x14ac:dyDescent="0.2">
      <c r="A3058" s="5">
        <v>2997</v>
      </c>
      <c r="B3058" s="1832">
        <f>'Expenditures 15-22'!F10</f>
        <v>97018</v>
      </c>
      <c r="D3058" s="2" t="str">
        <f t="shared" si="46"/>
        <v>Error?</v>
      </c>
    </row>
    <row r="3059" spans="1:4" x14ac:dyDescent="0.2">
      <c r="A3059" s="5">
        <v>2998</v>
      </c>
      <c r="B3059" s="1832">
        <f>'Expenditures 15-22'!G10</f>
        <v>835</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253524</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8105</v>
      </c>
      <c r="D3064" s="2" t="str">
        <f t="shared" si="46"/>
        <v>Error?</v>
      </c>
    </row>
    <row r="3065" spans="1:4" x14ac:dyDescent="0.2">
      <c r="A3065" s="5">
        <v>3004</v>
      </c>
      <c r="B3065" s="1832">
        <f>'Expenditures 15-22'!K219</f>
        <v>8105</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42024</v>
      </c>
      <c r="C3225" s="2" t="s">
        <v>569</v>
      </c>
      <c r="D3225" s="2" t="str">
        <f t="shared" si="49"/>
        <v>Error?</v>
      </c>
    </row>
    <row r="3226" spans="1:4" x14ac:dyDescent="0.2">
      <c r="A3226" s="5">
        <v>3165</v>
      </c>
      <c r="B3226" s="1832">
        <f>'Acct Summary 7-8'!I8</f>
        <v>42024</v>
      </c>
      <c r="C3226" s="2" t="s">
        <v>569</v>
      </c>
      <c r="D3226" s="2" t="str">
        <f t="shared" si="49"/>
        <v>Error?</v>
      </c>
    </row>
    <row r="3227" spans="1:4" x14ac:dyDescent="0.2">
      <c r="A3227" s="5">
        <v>3166</v>
      </c>
      <c r="B3227" s="1832">
        <f>'Acct Summary 7-8'!I20</f>
        <v>42024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744449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-88247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-6260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147629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6096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-962369</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42024</v>
      </c>
      <c r="C3320" s="2" t="s">
        <v>569</v>
      </c>
      <c r="D3320" s="2" t="str">
        <f t="shared" si="50"/>
        <v>Error?</v>
      </c>
    </row>
    <row r="3321" spans="1:4" x14ac:dyDescent="0.2">
      <c r="A3321" s="5">
        <v>3260</v>
      </c>
      <c r="B3321" s="1832">
        <f>'Acct Summary 7-8'!I79</f>
        <v>1849421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1891445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562779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169127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1620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2542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736068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33125</v>
      </c>
      <c r="D3387" s="2" t="str">
        <f t="shared" si="51"/>
        <v>Error?</v>
      </c>
    </row>
    <row r="3388" spans="1:4" x14ac:dyDescent="0.2">
      <c r="A3388" s="5">
        <v>3327</v>
      </c>
      <c r="B3388" s="1832">
        <f>'Expenditures 15-22'!D217</f>
        <v>55715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33125</v>
      </c>
      <c r="C3390" s="2" t="s">
        <v>569</v>
      </c>
      <c r="D3390" s="2" t="str">
        <f t="shared" si="51"/>
        <v>Error?</v>
      </c>
    </row>
    <row r="3391" spans="1:4" x14ac:dyDescent="0.2">
      <c r="A3391" s="5">
        <v>3330</v>
      </c>
      <c r="B3391" s="1832">
        <f>'Expenditures 15-22'!K217</f>
        <v>55715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1794412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398315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185949</v>
      </c>
      <c r="D3417" s="2" t="str">
        <f t="shared" si="52"/>
        <v>Error?</v>
      </c>
    </row>
    <row r="3418" spans="1:4" x14ac:dyDescent="0.2">
      <c r="A3418" s="10">
        <v>3357</v>
      </c>
      <c r="B3418" s="1832"/>
      <c r="D3418" s="2" t="str">
        <f t="shared" si="52"/>
        <v>OK</v>
      </c>
    </row>
    <row r="3419" spans="1:4" x14ac:dyDescent="0.2">
      <c r="A3419" s="5">
        <v>3358</v>
      </c>
      <c r="B3419" s="1832">
        <f>'Assets-Liab 5-6'!F4</f>
        <v>1513005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911281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2447574</v>
      </c>
      <c r="D3425" s="2" t="str">
        <f t="shared" si="52"/>
        <v>Error?</v>
      </c>
    </row>
    <row r="3426" spans="1:4" x14ac:dyDescent="0.2">
      <c r="A3426" s="10">
        <v>3365</v>
      </c>
      <c r="B3426" s="1832"/>
      <c r="D3426" s="2" t="str">
        <f t="shared" si="52"/>
        <v>OK</v>
      </c>
    </row>
    <row r="3427" spans="1:4" x14ac:dyDescent="0.2">
      <c r="A3427" s="5">
        <v>3366</v>
      </c>
      <c r="B3427" s="1832">
        <f>'Assets-Liab 5-6'!I4</f>
        <v>1091445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393369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159564</v>
      </c>
      <c r="C3446" s="2" t="s">
        <v>569</v>
      </c>
      <c r="D3446" s="2" t="str">
        <f t="shared" si="52"/>
        <v>Error?</v>
      </c>
    </row>
    <row r="3447" spans="1:4" x14ac:dyDescent="0.2">
      <c r="A3447" s="5">
        <v>3386</v>
      </c>
      <c r="B3447" s="1832">
        <f>'Tax Sched 23'!D16</f>
        <v>159564</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160007</v>
      </c>
      <c r="C3449" s="2" t="s">
        <v>569</v>
      </c>
      <c r="D3449" s="2" t="str">
        <f t="shared" si="52"/>
        <v>Error?</v>
      </c>
    </row>
    <row r="3450" spans="1:4" x14ac:dyDescent="0.2">
      <c r="A3450" s="5">
        <v>3389</v>
      </c>
      <c r="B3450" s="1832">
        <f>'Tax Sched 23'!E16</f>
        <v>160007</v>
      </c>
      <c r="D3450" s="2" t="str">
        <f t="shared" si="52"/>
        <v>Error?</v>
      </c>
    </row>
    <row r="3451" spans="1:4" x14ac:dyDescent="0.2">
      <c r="A3451" s="5">
        <v>3390</v>
      </c>
      <c r="B3451" s="1832">
        <f>'Cap Outlay Deprec 26'!C15</f>
        <v>23205</v>
      </c>
      <c r="D3451" s="2" t="str">
        <f t="shared" si="52"/>
        <v>Error?</v>
      </c>
    </row>
    <row r="3452" spans="1:4" x14ac:dyDescent="0.2">
      <c r="A3452" s="5">
        <v>3391</v>
      </c>
      <c r="B3452" s="1832">
        <f>'Cap Outlay Deprec 26'!D15</f>
        <v>152944</v>
      </c>
      <c r="D3452" s="2" t="str">
        <f t="shared" si="52"/>
        <v>Error?</v>
      </c>
    </row>
    <row r="3453" spans="1:4" x14ac:dyDescent="0.2">
      <c r="A3453" s="5">
        <v>3392</v>
      </c>
      <c r="B3453" s="1832">
        <f>'Cap Outlay Deprec 26'!E15</f>
        <v>23205</v>
      </c>
      <c r="D3453" s="2" t="str">
        <f t="shared" si="52"/>
        <v>Error?</v>
      </c>
    </row>
    <row r="3454" spans="1:4" x14ac:dyDescent="0.2">
      <c r="A3454" s="5">
        <v>3393</v>
      </c>
      <c r="B3454" s="1832">
        <f>'Cap Outlay Deprec 26'!F15</f>
        <v>152944</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152944</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1998</v>
      </c>
      <c r="E3521" s="4" t="s">
        <v>134</v>
      </c>
    </row>
    <row r="3522" spans="1:5" x14ac:dyDescent="0.2">
      <c r="A3522" s="10">
        <v>3461</v>
      </c>
      <c r="B3522" s="1832"/>
      <c r="D3522" s="4" t="s">
        <v>1998</v>
      </c>
      <c r="E3522" s="4" t="s">
        <v>134</v>
      </c>
    </row>
    <row r="3523" spans="1:5" x14ac:dyDescent="0.2">
      <c r="A3523" s="10">
        <v>3462</v>
      </c>
      <c r="B3523" s="1832"/>
      <c r="D3523" s="4" t="s">
        <v>1998</v>
      </c>
      <c r="E3523" s="4" t="s">
        <v>134</v>
      </c>
    </row>
    <row r="3524" spans="1:5" x14ac:dyDescent="0.2">
      <c r="A3524" s="10">
        <v>3463</v>
      </c>
      <c r="B3524" s="1832"/>
      <c r="D3524" s="4" t="s">
        <v>1998</v>
      </c>
      <c r="E3524" s="4" t="s">
        <v>134</v>
      </c>
    </row>
    <row r="3525" spans="1:5" x14ac:dyDescent="0.2">
      <c r="A3525" s="10">
        <v>3464</v>
      </c>
      <c r="B3525" s="1832"/>
      <c r="D3525" s="4" t="s">
        <v>1998</v>
      </c>
      <c r="E3525" s="4" t="s">
        <v>134</v>
      </c>
    </row>
    <row r="3526" spans="1:5" x14ac:dyDescent="0.2">
      <c r="A3526" s="10">
        <v>3465</v>
      </c>
      <c r="B3526" s="1832"/>
      <c r="D3526" s="4" t="s">
        <v>1998</v>
      </c>
      <c r="E3526" s="4" t="s">
        <v>134</v>
      </c>
    </row>
    <row r="3527" spans="1:5" x14ac:dyDescent="0.2">
      <c r="A3527" s="10">
        <v>3466</v>
      </c>
      <c r="B3527" s="1832"/>
      <c r="D3527" s="4" t="s">
        <v>1998</v>
      </c>
      <c r="E3527" s="4" t="s">
        <v>134</v>
      </c>
    </row>
    <row r="3528" spans="1:5" x14ac:dyDescent="0.2">
      <c r="A3528" s="10">
        <v>3467</v>
      </c>
      <c r="B3528" s="1832"/>
      <c r="D3528" s="4" t="s">
        <v>1998</v>
      </c>
      <c r="E3528" s="4" t="s">
        <v>134</v>
      </c>
    </row>
    <row r="3529" spans="1:5" x14ac:dyDescent="0.2">
      <c r="A3529" s="10">
        <v>3468</v>
      </c>
      <c r="B3529" s="1832"/>
      <c r="D3529" s="4" t="s">
        <v>1998</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234309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234309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234309</v>
      </c>
      <c r="D3567" s="2" t="str">
        <f t="shared" si="54"/>
        <v>Error?</v>
      </c>
    </row>
    <row r="3568" spans="1:4" x14ac:dyDescent="0.2">
      <c r="A3568" s="5">
        <v>3507</v>
      </c>
      <c r="B3568" s="1832">
        <f>'Assets-Liab 5-6'!K41</f>
        <v>234309</v>
      </c>
      <c r="C3568" s="2" t="s">
        <v>569</v>
      </c>
      <c r="D3568" s="2" t="str">
        <f t="shared" si="54"/>
        <v>Error?</v>
      </c>
    </row>
    <row r="3569" spans="1:4" x14ac:dyDescent="0.2">
      <c r="A3569" s="5">
        <v>3508</v>
      </c>
      <c r="B3569" s="1832">
        <f>'Acct Summary 7-8'!K4</f>
        <v>39684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39684</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39684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39684</v>
      </c>
      <c r="C3588" s="2" t="s">
        <v>569</v>
      </c>
      <c r="D3588" s="2" t="str">
        <f t="shared" si="55"/>
        <v>Error?</v>
      </c>
    </row>
    <row r="3589" spans="1:4" x14ac:dyDescent="0.2">
      <c r="A3589" s="5">
        <v>3528</v>
      </c>
      <c r="B3589" s="1832">
        <f>'Acct Summary 7-8'!K79</f>
        <v>194625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234309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39684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39234</v>
      </c>
      <c r="C3725" s="2" t="s">
        <v>569</v>
      </c>
      <c r="D3725" s="2" t="str">
        <f t="shared" si="57"/>
        <v>Error?</v>
      </c>
    </row>
    <row r="3726" spans="1:4" x14ac:dyDescent="0.2">
      <c r="A3726" s="5">
        <v>3665</v>
      </c>
      <c r="B3726" s="1832">
        <f>'Tax Sched 23'!D13</f>
        <v>39234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39862</v>
      </c>
      <c r="C3728" s="2" t="s">
        <v>569</v>
      </c>
      <c r="D3728" s="2" t="str">
        <f t="shared" si="57"/>
        <v>Error?</v>
      </c>
    </row>
    <row r="3729" spans="1:4" x14ac:dyDescent="0.2">
      <c r="A3729" s="5">
        <v>3668</v>
      </c>
      <c r="B3729" s="1832">
        <f>'Tax Sched 23'!E13</f>
        <v>39862</v>
      </c>
      <c r="D3729" s="2" t="str">
        <f t="shared" si="57"/>
        <v>Error?</v>
      </c>
    </row>
    <row r="3730" spans="1:4" x14ac:dyDescent="0.2">
      <c r="A3730" s="5">
        <v>3669</v>
      </c>
      <c r="B3730" s="1832">
        <f>'ICR Computation 30'!E10</f>
        <v>125683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-17571</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-17571</v>
      </c>
      <c r="D4111" s="2" t="str">
        <f t="shared" si="63"/>
        <v>Error?</v>
      </c>
    </row>
    <row r="4112" spans="1:4" x14ac:dyDescent="0.2">
      <c r="A4112" s="10">
        <v>4051</v>
      </c>
      <c r="B4112" s="1832"/>
      <c r="D4112" s="2" t="str">
        <f t="shared" si="63"/>
        <v>OK</v>
      </c>
    </row>
    <row r="4113" spans="1:4" x14ac:dyDescent="0.2">
      <c r="A4113" s="5">
        <v>4052</v>
      </c>
      <c r="B4113" s="1832">
        <f>'Acct Summary 7-8'!C9</f>
        <v>3184219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11227173</v>
      </c>
      <c r="C4122" s="2" t="s">
        <v>569</v>
      </c>
      <c r="D4122" s="2" t="str">
        <f t="shared" si="63"/>
        <v>Error?</v>
      </c>
    </row>
    <row r="4123" spans="1:4" x14ac:dyDescent="0.2">
      <c r="A4123" s="5">
        <v>4062</v>
      </c>
      <c r="B4123" s="1832">
        <f>'Acct Summary 7-8'!D10</f>
        <v>307202</v>
      </c>
      <c r="C4123" s="2" t="s">
        <v>569</v>
      </c>
      <c r="D4123" s="2" t="str">
        <f t="shared" si="63"/>
        <v>Error?</v>
      </c>
    </row>
    <row r="4124" spans="1:4" x14ac:dyDescent="0.2">
      <c r="A4124" s="5">
        <v>4063</v>
      </c>
      <c r="B4124" s="1832">
        <f>'Acct Summary 7-8'!E10</f>
        <v>868762</v>
      </c>
      <c r="C4124" s="2" t="s">
        <v>569</v>
      </c>
      <c r="D4124" s="2" t="str">
        <f t="shared" si="63"/>
        <v>Error?</v>
      </c>
    </row>
    <row r="4125" spans="1:4" x14ac:dyDescent="0.2">
      <c r="A4125" s="5">
        <v>4064</v>
      </c>
      <c r="B4125" s="1832">
        <f>'Acct Summary 7-8'!F10</f>
        <v>804154</v>
      </c>
      <c r="C4125" s="2" t="s">
        <v>569</v>
      </c>
      <c r="D4125" s="2" t="str">
        <f t="shared" si="63"/>
        <v>Error?</v>
      </c>
    </row>
    <row r="4126" spans="1:4" x14ac:dyDescent="0.2">
      <c r="A4126" s="5">
        <v>4065</v>
      </c>
      <c r="B4126" s="1832">
        <f>'Acct Summary 7-8'!G10</f>
        <v>469917</v>
      </c>
      <c r="C4126" s="2" t="s">
        <v>569</v>
      </c>
      <c r="D4126" s="2" t="str">
        <f t="shared" si="63"/>
        <v>Error?</v>
      </c>
    </row>
    <row r="4127" spans="1:4" x14ac:dyDescent="0.2">
      <c r="A4127" s="5">
        <v>4066</v>
      </c>
      <c r="B4127" s="1832">
        <f>'Acct Summary 7-8'!H10</f>
        <v>340721</v>
      </c>
      <c r="C4127" s="2" t="s">
        <v>569</v>
      </c>
      <c r="D4127" s="2" t="str">
        <f t="shared" si="63"/>
        <v>Error?</v>
      </c>
    </row>
    <row r="4128" spans="1:4" x14ac:dyDescent="0.2">
      <c r="A4128" s="5">
        <v>4067</v>
      </c>
      <c r="B4128" s="1832">
        <f>'Acct Summary 7-8'!I10</f>
        <v>42024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39684</v>
      </c>
      <c r="C4130" s="2" t="s">
        <v>569</v>
      </c>
      <c r="D4130" s="2" t="str">
        <f t="shared" si="63"/>
        <v>Error?</v>
      </c>
    </row>
    <row r="4131" spans="1:4" x14ac:dyDescent="0.2">
      <c r="A4131" s="5">
        <v>4070</v>
      </c>
      <c r="B4131" s="1832">
        <f>'Acct Summary 7-8'!C18</f>
        <v>3184219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10482724</v>
      </c>
      <c r="C4136" s="2" t="s">
        <v>569</v>
      </c>
      <c r="D4136" s="2" t="str">
        <f t="shared" si="63"/>
        <v>Error?</v>
      </c>
    </row>
    <row r="4137" spans="1:4" x14ac:dyDescent="0.2">
      <c r="A4137" s="5">
        <v>4076</v>
      </c>
      <c r="B4137" s="1832">
        <f>'Acct Summary 7-8'!D19</f>
        <v>395449</v>
      </c>
      <c r="C4137" s="2" t="s">
        <v>569</v>
      </c>
      <c r="D4137" s="2" t="str">
        <f t="shared" si="63"/>
        <v>Error?</v>
      </c>
    </row>
    <row r="4138" spans="1:4" x14ac:dyDescent="0.2">
      <c r="A4138" s="5">
        <v>4077</v>
      </c>
      <c r="B4138" s="1832">
        <f>'Acct Summary 7-8'!E19</f>
        <v>862666</v>
      </c>
      <c r="C4138" s="2" t="s">
        <v>569</v>
      </c>
      <c r="D4138" s="2" t="str">
        <f t="shared" si="63"/>
        <v>Error?</v>
      </c>
    </row>
    <row r="4139" spans="1:4" x14ac:dyDescent="0.2">
      <c r="A4139" s="5">
        <v>4078</v>
      </c>
      <c r="B4139" s="1832">
        <f>'Acct Summary 7-8'!F19</f>
        <v>810414</v>
      </c>
      <c r="C4139" s="2" t="s">
        <v>569</v>
      </c>
      <c r="D4139" s="2" t="str">
        <f t="shared" si="63"/>
        <v>Error?</v>
      </c>
    </row>
    <row r="4140" spans="1:4" x14ac:dyDescent="0.2">
      <c r="A4140" s="5">
        <v>4079</v>
      </c>
      <c r="B4140" s="1832">
        <f>'Acct Summary 7-8'!G19</f>
        <v>322288</v>
      </c>
      <c r="C4140" s="2" t="s">
        <v>569</v>
      </c>
      <c r="D4140" s="2" t="str">
        <f t="shared" si="63"/>
        <v>Error?</v>
      </c>
    </row>
    <row r="4141" spans="1:4" x14ac:dyDescent="0.2">
      <c r="A4141" s="5">
        <v>4080</v>
      </c>
      <c r="B4141" s="1832">
        <f>'Acct Summary 7-8'!H19</f>
        <v>1303090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4282700</v>
      </c>
      <c r="C4171" s="2" t="s">
        <v>569</v>
      </c>
      <c r="D4171" s="2" t="str">
        <f t="shared" si="64"/>
        <v>Error?</v>
      </c>
    </row>
    <row r="4172" spans="1:4" x14ac:dyDescent="0.2">
      <c r="A4172" s="5">
        <v>4111</v>
      </c>
      <c r="B4172" s="1832">
        <f>'Short-Term Long-Term Debt 24'!J49</f>
        <v>4096751</v>
      </c>
      <c r="C4172" s="2" t="s">
        <v>569</v>
      </c>
      <c r="D4172" s="2" t="str">
        <f t="shared" si="64"/>
        <v>Error?</v>
      </c>
    </row>
    <row r="4173" spans="1:4" x14ac:dyDescent="0.2">
      <c r="A4173" s="5">
        <v>4112</v>
      </c>
      <c r="B4173" s="1832">
        <f>'Short-Term Long-Term Debt 24'!H49</f>
        <v>692300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1900</v>
      </c>
    </row>
    <row r="4236" spans="1:5" x14ac:dyDescent="0.2">
      <c r="A4236" s="10">
        <v>4175</v>
      </c>
      <c r="B4236" s="1832"/>
      <c r="D4236" s="2" t="str">
        <f t="shared" si="65"/>
        <v>OK</v>
      </c>
      <c r="E4236" s="4" t="s">
        <v>1900</v>
      </c>
    </row>
    <row r="4237" spans="1:5" x14ac:dyDescent="0.2">
      <c r="A4237" s="10">
        <v>4176</v>
      </c>
      <c r="B4237" s="1832"/>
      <c r="D4237" s="2" t="str">
        <f t="shared" si="65"/>
        <v>OK</v>
      </c>
      <c r="E4237" s="4" t="s">
        <v>1900</v>
      </c>
    </row>
    <row r="4238" spans="1:5" x14ac:dyDescent="0.2">
      <c r="A4238" s="10">
        <v>4177</v>
      </c>
      <c r="B4238" s="1832"/>
      <c r="D4238" s="2" t="str">
        <f t="shared" si="65"/>
        <v>OK</v>
      </c>
      <c r="E4238" s="4" t="s">
        <v>1900</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1840</v>
      </c>
      <c r="C4265" s="2" t="s">
        <v>569</v>
      </c>
      <c r="D4265" s="2" t="str">
        <f t="shared" si="65"/>
        <v>Error?</v>
      </c>
      <c r="E4265" s="125"/>
    </row>
    <row r="4266" spans="1:5" x14ac:dyDescent="0.2">
      <c r="A4266" s="12">
        <v>4205</v>
      </c>
      <c r="B4266" s="1832">
        <f>('FP Info 3'!F10)*100000</f>
        <v>375</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2415</v>
      </c>
      <c r="C4268" s="2" t="s">
        <v>569</v>
      </c>
      <c r="D4268" s="2" t="str">
        <f t="shared" si="65"/>
        <v>Error?</v>
      </c>
    </row>
    <row r="4269" spans="1:5" x14ac:dyDescent="0.2">
      <c r="A4269" s="12">
        <v>4208</v>
      </c>
      <c r="B4269" s="1832">
        <f>'FP Info 3'!J16</f>
        <v>4789048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31951</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1291</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9869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56560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1900</v>
      </c>
    </row>
    <row r="4400" spans="1:5" x14ac:dyDescent="0.2">
      <c r="A4400" s="10">
        <v>4339</v>
      </c>
      <c r="B4400" s="1832"/>
      <c r="D4400" s="2" t="str">
        <f t="shared" si="67"/>
        <v>OK</v>
      </c>
      <c r="E4400" s="4" t="s">
        <v>1900</v>
      </c>
    </row>
    <row r="4401" spans="1:5" x14ac:dyDescent="0.2">
      <c r="A4401" s="10">
        <v>4340</v>
      </c>
      <c r="B4401" s="1832"/>
      <c r="D4401" s="2" t="str">
        <f t="shared" si="67"/>
        <v>OK</v>
      </c>
      <c r="E4401" s="4" t="s">
        <v>1900</v>
      </c>
    </row>
    <row r="4402" spans="1:5" x14ac:dyDescent="0.2">
      <c r="A4402" s="10">
        <v>4341</v>
      </c>
      <c r="B4402" s="1832"/>
      <c r="D4402" s="2" t="str">
        <f t="shared" si="67"/>
        <v>OK</v>
      </c>
      <c r="E4402" s="4" t="s">
        <v>1900</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15421</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1808</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42224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860</v>
      </c>
      <c r="D4792" s="2" t="str">
        <f t="shared" si="73"/>
        <v>Error?</v>
      </c>
    </row>
    <row r="4793" spans="1:4" x14ac:dyDescent="0.2">
      <c r="A4793" s="5">
        <v>4732</v>
      </c>
      <c r="B4793" s="1832">
        <f>'Revenues 9-14'!D168</f>
        <v>933</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79724486</v>
      </c>
      <c r="D4995" s="2" t="str">
        <f t="shared" si="77"/>
        <v>Error?</v>
      </c>
    </row>
    <row r="4996" spans="1:4" x14ac:dyDescent="0.2">
      <c r="A4996" s="12">
        <v>4935</v>
      </c>
      <c r="B4996" s="1832">
        <f>'FP Info 3'!H31</f>
        <v>11001979.068000002</v>
      </c>
      <c r="D4996" s="2" t="str">
        <f t="shared" si="77"/>
        <v>Error?</v>
      </c>
    </row>
    <row r="4997" spans="1:4" x14ac:dyDescent="0.2">
      <c r="A4997" s="12">
        <v>4936</v>
      </c>
      <c r="B4997" s="1832">
        <f>'FP Info 3'!H37</f>
        <v>4282700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39234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1624905</v>
      </c>
      <c r="D5061" s="2" t="str">
        <f t="shared" si="78"/>
        <v>Error?</v>
      </c>
    </row>
    <row r="5062" spans="1:4" x14ac:dyDescent="0.2">
      <c r="A5062" s="10">
        <v>5001</v>
      </c>
      <c r="B5062" s="1832"/>
      <c r="D5062" s="2" t="str">
        <f t="shared" si="78"/>
        <v>OK</v>
      </c>
    </row>
    <row r="5063" spans="1:4" x14ac:dyDescent="0.2">
      <c r="A5063" s="5">
        <v>5002</v>
      </c>
      <c r="B5063" s="1832">
        <f>'Revenues 9-14'!C7</f>
        <v>31104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1695243</v>
      </c>
      <c r="C5066" s="2" t="s">
        <v>569</v>
      </c>
      <c r="D5066" s="2" t="str">
        <f t="shared" si="78"/>
        <v>Error?</v>
      </c>
    </row>
    <row r="5067" spans="1:4" x14ac:dyDescent="0.2">
      <c r="A5067" s="5">
        <v>5006</v>
      </c>
      <c r="B5067" s="1832">
        <f>'Revenues 9-14'!C14</f>
        <v>8202</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1341756</v>
      </c>
      <c r="D5069" s="2" t="str">
        <f t="shared" si="78"/>
        <v>Error?</v>
      </c>
    </row>
    <row r="5070" spans="1:4" x14ac:dyDescent="0.2">
      <c r="A5070" s="5">
        <v>5009</v>
      </c>
      <c r="B5070" s="1832">
        <f>'Revenues 9-14'!C17</f>
        <v>14051</v>
      </c>
      <c r="D5070" s="2" t="str">
        <f t="shared" si="78"/>
        <v>Error?</v>
      </c>
    </row>
    <row r="5071" spans="1:4" x14ac:dyDescent="0.2">
      <c r="A5071" s="5">
        <v>5010</v>
      </c>
      <c r="B5071" s="1832">
        <f>'Revenues 9-14'!C18</f>
        <v>1364009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2009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2009</v>
      </c>
      <c r="C5090" s="2" t="s">
        <v>569</v>
      </c>
      <c r="D5090" s="2" t="str">
        <f t="shared" si="78"/>
        <v>Error?</v>
      </c>
    </row>
    <row r="5091" spans="1:4" x14ac:dyDescent="0.2">
      <c r="A5091" s="5">
        <v>5030</v>
      </c>
      <c r="B5091" s="1832">
        <f>'Revenues 9-14'!C70</f>
        <v>12151</v>
      </c>
      <c r="D5091" s="2" t="str">
        <f t="shared" si="78"/>
        <v>Error?</v>
      </c>
    </row>
    <row r="5092" spans="1:4" x14ac:dyDescent="0.2">
      <c r="A5092" s="5">
        <v>5031</v>
      </c>
      <c r="B5092" s="1832">
        <f>'Revenues 9-14'!C71</f>
        <v>1288</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2269</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56593</v>
      </c>
      <c r="C5096" s="2" t="s">
        <v>569</v>
      </c>
      <c r="D5096" s="2" t="str">
        <f t="shared" si="78"/>
        <v>Error?</v>
      </c>
    </row>
    <row r="5097" spans="1:4" x14ac:dyDescent="0.2">
      <c r="A5097" s="5">
        <v>5036</v>
      </c>
      <c r="B5097" s="1832">
        <f>'Revenues 9-14'!C77</f>
        <v>37873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13882</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30442</v>
      </c>
      <c r="D5101" s="2" t="str">
        <f t="shared" si="78"/>
        <v>Error?</v>
      </c>
    </row>
    <row r="5102" spans="1:4" x14ac:dyDescent="0.2">
      <c r="A5102" s="5">
        <v>5041</v>
      </c>
      <c r="B5102" s="1832">
        <f>'Revenues 9-14'!C82</f>
        <v>82197</v>
      </c>
      <c r="C5102" s="2" t="s">
        <v>569</v>
      </c>
      <c r="D5102" s="2" t="str">
        <f t="shared" si="78"/>
        <v>Error?</v>
      </c>
    </row>
    <row r="5103" spans="1:4" x14ac:dyDescent="0.2">
      <c r="A5103" s="5">
        <v>5042</v>
      </c>
      <c r="B5103" s="1832">
        <f>'Revenues 9-14'!C84</f>
        <v>26322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145</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26467</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45750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7674</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12921</v>
      </c>
      <c r="D5119" s="2" t="str">
        <f t="shared" ref="D5119:D5182" si="79">IF(ISBLANK(B5119),"OK",IF(A5119-B5119=0,"OK","Error?"))</f>
        <v>Error?</v>
      </c>
    </row>
    <row r="5120" spans="1:4" x14ac:dyDescent="0.2">
      <c r="A5120" s="5">
        <v>5059</v>
      </c>
      <c r="B5120" s="1832">
        <f>'Revenues 9-14'!C108</f>
        <v>68795</v>
      </c>
      <c r="C5120" s="2" t="s">
        <v>569</v>
      </c>
      <c r="D5120" s="2" t="str">
        <f t="shared" si="79"/>
        <v>Error?</v>
      </c>
    </row>
    <row r="5121" spans="1:4" x14ac:dyDescent="0.2">
      <c r="A5121" s="5">
        <v>5060</v>
      </c>
      <c r="B5121" s="1832">
        <f>'Revenues 9-14'!C109</f>
        <v>3295313</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3793240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3793240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37440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37440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7234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3113</v>
      </c>
      <c r="D5167" s="2" t="str">
        <f t="shared" si="79"/>
        <v>Error?</v>
      </c>
    </row>
    <row r="5168" spans="1:4" x14ac:dyDescent="0.2">
      <c r="A5168" s="5">
        <v>5107</v>
      </c>
      <c r="B5168" s="1832">
        <f>'Revenues 9-14'!C148</f>
        <v>8992</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1900</v>
      </c>
    </row>
    <row r="5200" spans="1:5" x14ac:dyDescent="0.2">
      <c r="A5200" s="10">
        <v>5139</v>
      </c>
      <c r="B5200" s="1832"/>
      <c r="D5200" s="2" t="str">
        <f t="shared" si="80"/>
        <v>OK</v>
      </c>
      <c r="E5200" s="4" t="s">
        <v>1900</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57639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3850879</v>
      </c>
      <c r="C5223" s="2" t="s">
        <v>569</v>
      </c>
      <c r="D5223" s="2" t="str">
        <f t="shared" si="80"/>
        <v>Error?</v>
      </c>
    </row>
    <row r="5224" spans="1:4" x14ac:dyDescent="0.2">
      <c r="A5224" s="5">
        <v>5163</v>
      </c>
      <c r="B5224" s="1832">
        <f>'Revenues 9-14'!C173</f>
        <v>253</v>
      </c>
      <c r="D5224" s="2" t="str">
        <f t="shared" si="80"/>
        <v>Error?</v>
      </c>
    </row>
    <row r="5225" spans="1:4" x14ac:dyDescent="0.2">
      <c r="A5225" s="5">
        <v>5164</v>
      </c>
      <c r="B5225" s="1832">
        <f>'Revenues 9-14'!C175</f>
        <v>253</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119544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49379</v>
      </c>
      <c r="D5241" s="2" t="str">
        <f t="shared" si="80"/>
        <v>Error?</v>
      </c>
    </row>
    <row r="5242" spans="1:4" x14ac:dyDescent="0.2">
      <c r="A5242" s="5">
        <v>5181</v>
      </c>
      <c r="B5242" s="1832">
        <f>'Revenues 9-14'!C194</f>
        <v>37709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206632</v>
      </c>
      <c r="C5246" s="2" t="s">
        <v>569</v>
      </c>
      <c r="D5246" s="2" t="str">
        <f t="shared" si="80"/>
        <v>Error?</v>
      </c>
    </row>
    <row r="5247" spans="1:4" x14ac:dyDescent="0.2">
      <c r="A5247" s="5">
        <v>5186</v>
      </c>
      <c r="B5247" s="1832">
        <f>'Revenues 9-14'!C200</f>
        <v>352210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1900</v>
      </c>
    </row>
    <row r="5255" spans="1:5" x14ac:dyDescent="0.2">
      <c r="A5255" s="5">
        <v>5194</v>
      </c>
      <c r="B5255" s="1832">
        <f>'Revenues 9-14'!C202</f>
        <v>0</v>
      </c>
      <c r="D5255" s="2" t="str">
        <f t="shared" si="81"/>
        <v>Error?</v>
      </c>
    </row>
    <row r="5256" spans="1:5" x14ac:dyDescent="0.2">
      <c r="A5256" s="5">
        <v>5195</v>
      </c>
      <c r="B5256" s="1832">
        <f>'Revenues 9-14'!C206</f>
        <v>15421</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384161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3421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165246</v>
      </c>
      <c r="D5278" s="2" t="str">
        <f t="shared" si="81"/>
        <v>Error?</v>
      </c>
    </row>
    <row r="5279" spans="1:4" x14ac:dyDescent="0.2">
      <c r="A5279" s="5">
        <v>5218</v>
      </c>
      <c r="B5279" s="1832">
        <f>'Revenues 9-14'!C214</f>
        <v>11167</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179834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1900</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896509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896762</v>
      </c>
      <c r="C5326" s="2" t="s">
        <v>569</v>
      </c>
      <c r="D5326" s="2" t="str">
        <f t="shared" si="82"/>
        <v>Error?</v>
      </c>
    </row>
    <row r="5327" spans="1:5" x14ac:dyDescent="0.2">
      <c r="A5327" s="5">
        <v>5266</v>
      </c>
      <c r="B5327" s="1832">
        <f>'Revenues 9-14'!C268</f>
        <v>8042954</v>
      </c>
      <c r="C5327" s="2" t="s">
        <v>569</v>
      </c>
      <c r="D5327" s="2" t="str">
        <f t="shared" si="82"/>
        <v>Error?</v>
      </c>
    </row>
    <row r="5328" spans="1:5" x14ac:dyDescent="0.2">
      <c r="A5328" s="5">
        <v>5267</v>
      </c>
      <c r="B5328" s="1832">
        <f>'Revenues 9-14'!D5</f>
        <v>293677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293677</v>
      </c>
      <c r="C5334" s="2" t="s">
        <v>569</v>
      </c>
      <c r="D5334" s="2" t="str">
        <f t="shared" si="82"/>
        <v>Error?</v>
      </c>
    </row>
    <row r="5335" spans="1:4" x14ac:dyDescent="0.2">
      <c r="A5335" s="5">
        <v>5274</v>
      </c>
      <c r="B5335" s="1832">
        <f>'Revenues 9-14'!D14</f>
        <v>1438</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1438</v>
      </c>
      <c r="C5339" s="2" t="s">
        <v>569</v>
      </c>
      <c r="D5339" s="2" t="str">
        <f t="shared" si="82"/>
        <v>Error?</v>
      </c>
    </row>
    <row r="5340" spans="1:4" x14ac:dyDescent="0.2">
      <c r="A5340" s="5">
        <v>5279</v>
      </c>
      <c r="B5340" s="1832">
        <f>'Revenues 9-14'!D65</f>
        <v>756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756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335</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7563</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2500</v>
      </c>
      <c r="D5354" s="2" t="str">
        <f t="shared" si="82"/>
        <v>Error?</v>
      </c>
    </row>
    <row r="5355" spans="1:4" x14ac:dyDescent="0.2">
      <c r="A5355" s="5">
        <v>5294</v>
      </c>
      <c r="B5355" s="1832">
        <f>'Revenues 9-14'!D108</f>
        <v>10398</v>
      </c>
      <c r="C5355" s="2" t="s">
        <v>569</v>
      </c>
      <c r="D5355" s="2" t="str">
        <f t="shared" si="82"/>
        <v>Error?</v>
      </c>
    </row>
    <row r="5356" spans="1:4" x14ac:dyDescent="0.2">
      <c r="A5356" s="5">
        <v>5295</v>
      </c>
      <c r="B5356" s="1832">
        <f>'Revenues 9-14'!D109</f>
        <v>306269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933</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933</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1900</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307202</v>
      </c>
      <c r="C5508" s="2" t="s">
        <v>569</v>
      </c>
      <c r="D5508" s="2" t="str">
        <f t="shared" si="85"/>
        <v>Error?</v>
      </c>
    </row>
    <row r="5509" spans="1:4" x14ac:dyDescent="0.2">
      <c r="A5509" s="5">
        <v>5448</v>
      </c>
      <c r="B5509" s="1832">
        <f>'Revenues 9-14'!E5</f>
        <v>575936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575936</v>
      </c>
      <c r="C5513" s="2" t="s">
        <v>569</v>
      </c>
      <c r="D5513" s="2" t="str">
        <f t="shared" si="85"/>
        <v>Error?</v>
      </c>
    </row>
    <row r="5514" spans="1:4" x14ac:dyDescent="0.2">
      <c r="A5514" s="5">
        <v>5453</v>
      </c>
      <c r="B5514" s="1832">
        <f>'Revenues 9-14'!E14</f>
        <v>2829</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2829</v>
      </c>
      <c r="C5518" s="2" t="s">
        <v>569</v>
      </c>
      <c r="D5518" s="2" t="str">
        <f t="shared" si="85"/>
        <v>Error?</v>
      </c>
    </row>
    <row r="5519" spans="1:4" x14ac:dyDescent="0.2">
      <c r="A5519" s="5">
        <v>5458</v>
      </c>
      <c r="B5519" s="1832">
        <f>'Revenues 9-14'!E65</f>
        <v>356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356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289641</v>
      </c>
      <c r="C5526" s="2" t="s">
        <v>569</v>
      </c>
      <c r="D5526" s="2" t="str">
        <f t="shared" si="85"/>
        <v>Error?</v>
      </c>
    </row>
    <row r="5527" spans="1:4" x14ac:dyDescent="0.2">
      <c r="A5527" s="5">
        <v>5466</v>
      </c>
      <c r="B5527" s="1832">
        <f>'Revenues 9-14'!E109</f>
        <v>868762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868762</v>
      </c>
      <c r="C5552" s="2" t="s">
        <v>569</v>
      </c>
      <c r="D5552" s="2" t="str">
        <f t="shared" si="85"/>
        <v>Error?</v>
      </c>
    </row>
    <row r="5553" spans="1:4" x14ac:dyDescent="0.2">
      <c r="A5553" s="5">
        <v>5492</v>
      </c>
      <c r="B5553" s="1832">
        <f>'Revenues 9-14'!F5</f>
        <v>156627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156627</v>
      </c>
      <c r="C5557" s="2" t="s">
        <v>569</v>
      </c>
      <c r="D5557" s="2" t="str">
        <f t="shared" si="85"/>
        <v>Error?</v>
      </c>
    </row>
    <row r="5558" spans="1:4" x14ac:dyDescent="0.2">
      <c r="A5558" s="5">
        <v>5497</v>
      </c>
      <c r="B5558" s="1832">
        <f>'Revenues 9-14'!F14</f>
        <v>767</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767</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13055</v>
      </c>
      <c r="D5565" s="2" t="str">
        <f t="shared" si="85"/>
        <v>Error?</v>
      </c>
    </row>
    <row r="5566" spans="1:4" x14ac:dyDescent="0.2">
      <c r="A5566" s="5">
        <v>5505</v>
      </c>
      <c r="B5566" s="1832">
        <f>'Revenues 9-14'!F45</f>
        <v>592</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13647</v>
      </c>
      <c r="C5579" s="2" t="s">
        <v>569</v>
      </c>
      <c r="D5579" s="2" t="str">
        <f t="shared" si="86"/>
        <v>Error?</v>
      </c>
    </row>
    <row r="5580" spans="1:4" x14ac:dyDescent="0.2">
      <c r="A5580" s="5">
        <v>5519</v>
      </c>
      <c r="B5580" s="1832">
        <f>'Revenues 9-14'!F65</f>
        <v>742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742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1852</v>
      </c>
      <c r="D5586" s="2" t="str">
        <f t="shared" si="86"/>
        <v>Error?</v>
      </c>
    </row>
    <row r="5587" spans="1:4" x14ac:dyDescent="0.2">
      <c r="A5587" s="5">
        <v>5526</v>
      </c>
      <c r="B5587" s="1832">
        <f>'Revenues 9-14'!F108</f>
        <v>1852</v>
      </c>
      <c r="C5587" s="2" t="s">
        <v>569</v>
      </c>
      <c r="D5587" s="2" t="str">
        <f t="shared" si="86"/>
        <v>Error?</v>
      </c>
    </row>
    <row r="5588" spans="1:4" x14ac:dyDescent="0.2">
      <c r="A5588" s="5">
        <v>5527</v>
      </c>
      <c r="B5588" s="1832">
        <f>'Revenues 9-14'!F109</f>
        <v>173635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488738</v>
      </c>
      <c r="D5615" s="2" t="str">
        <f t="shared" si="86"/>
        <v>Error?</v>
      </c>
    </row>
    <row r="5616" spans="1:4" x14ac:dyDescent="0.2">
      <c r="A5616" s="10">
        <v>5555</v>
      </c>
      <c r="B5616" s="1832"/>
      <c r="D5616" s="2" t="str">
        <f t="shared" si="86"/>
        <v>OK</v>
      </c>
    </row>
    <row r="5617" spans="1:5" x14ac:dyDescent="0.2">
      <c r="A5617" s="5">
        <v>5556</v>
      </c>
      <c r="B5617" s="1832">
        <f>'Revenues 9-14'!F153</f>
        <v>140490</v>
      </c>
      <c r="D5617" s="2" t="str">
        <f t="shared" si="86"/>
        <v>Error?</v>
      </c>
    </row>
    <row r="5618" spans="1:5" x14ac:dyDescent="0.2">
      <c r="A5618" s="5">
        <v>5557</v>
      </c>
      <c r="B5618" s="1832">
        <f>'Revenues 9-14'!F155</f>
        <v>629228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1900</v>
      </c>
    </row>
    <row r="5631" spans="1:5" x14ac:dyDescent="0.2">
      <c r="A5631" s="10">
        <v>5570</v>
      </c>
      <c r="B5631" s="1832"/>
      <c r="D5631" s="2" t="str">
        <f t="shared" ref="D5631:D5694" si="87">IF(ISBLANK(B5631),"OK",IF(A5631-B5631=0,"OK","Error?"))</f>
        <v>OK</v>
      </c>
      <c r="E5631" s="4" t="s">
        <v>1900</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629228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629228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1900</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1291</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1900</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1291</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1291</v>
      </c>
      <c r="C5719" s="2" t="s">
        <v>569</v>
      </c>
      <c r="D5719" s="2" t="str">
        <f t="shared" si="88"/>
        <v>Error?</v>
      </c>
    </row>
    <row r="5720" spans="1:4" x14ac:dyDescent="0.2">
      <c r="A5720" s="5">
        <v>5659</v>
      </c>
      <c r="B5720" s="1832">
        <f>'Revenues 9-14'!F268</f>
        <v>804154</v>
      </c>
      <c r="C5720" s="2" t="s">
        <v>569</v>
      </c>
      <c r="D5720" s="2" t="str">
        <f t="shared" si="88"/>
        <v>Error?</v>
      </c>
    </row>
    <row r="5721" spans="1:4" x14ac:dyDescent="0.2">
      <c r="A5721" s="5">
        <v>5660</v>
      </c>
      <c r="B5721" s="1832">
        <f>'Revenues 9-14'!G5</f>
        <v>199458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159564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359022</v>
      </c>
      <c r="C5725" s="2" t="s">
        <v>569</v>
      </c>
      <c r="D5725" s="2" t="str">
        <f t="shared" si="88"/>
        <v>Error?</v>
      </c>
    </row>
    <row r="5726" spans="1:4" x14ac:dyDescent="0.2">
      <c r="A5726" s="5">
        <v>5665</v>
      </c>
      <c r="B5726" s="1832">
        <f>'Revenues 9-14'!G14</f>
        <v>1756</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105000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106756</v>
      </c>
      <c r="C5730" s="2" t="s">
        <v>569</v>
      </c>
      <c r="D5730" s="2" t="str">
        <f t="shared" si="88"/>
        <v>Error?</v>
      </c>
    </row>
    <row r="5731" spans="1:4" x14ac:dyDescent="0.2">
      <c r="A5731" s="5">
        <v>5670</v>
      </c>
      <c r="B5731" s="1832">
        <f>'Revenues 9-14'!G65</f>
        <v>4139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4139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1900</v>
      </c>
    </row>
    <row r="5768" spans="1:5" x14ac:dyDescent="0.2">
      <c r="A5768" s="10">
        <v>5707</v>
      </c>
      <c r="B5768" s="1832"/>
      <c r="D5768" s="2" t="str">
        <f t="shared" si="89"/>
        <v>OK</v>
      </c>
      <c r="E5768" s="4" t="s">
        <v>1900</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1900</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1900</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469917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3464</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3464</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337257</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340721</v>
      </c>
      <c r="C5915" s="2" t="s">
        <v>569</v>
      </c>
      <c r="D5915" s="2" t="str">
        <f t="shared" si="91"/>
        <v>Error?</v>
      </c>
    </row>
    <row r="5916" spans="1:4" x14ac:dyDescent="0.2">
      <c r="A5916" s="5">
        <v>5855</v>
      </c>
      <c r="B5916" s="1832">
        <f>'Revenues 9-14'!I5</f>
        <v>39157</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39157</v>
      </c>
      <c r="C5918" s="2" t="s">
        <v>569</v>
      </c>
      <c r="D5918" s="2" t="str">
        <f t="shared" si="91"/>
        <v>Error?</v>
      </c>
    </row>
    <row r="5919" spans="1:4" x14ac:dyDescent="0.2">
      <c r="A5919" s="5">
        <v>5858</v>
      </c>
      <c r="B5919" s="1832">
        <f>'Revenues 9-14'!I14</f>
        <v>192</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192</v>
      </c>
      <c r="C5923" s="2" t="s">
        <v>569</v>
      </c>
      <c r="D5923" s="2" t="str">
        <f t="shared" si="91"/>
        <v>Error?</v>
      </c>
    </row>
    <row r="5924" spans="1:4" x14ac:dyDescent="0.2">
      <c r="A5924" s="5">
        <v>5863</v>
      </c>
      <c r="B5924" s="1832">
        <f>'Revenues 9-14'!I65</f>
        <v>2675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2675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42024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39157</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39157</v>
      </c>
      <c r="C5987" s="2" t="s">
        <v>569</v>
      </c>
      <c r="D5987" s="2" t="str">
        <f t="shared" si="92"/>
        <v>Error?</v>
      </c>
    </row>
    <row r="5988" spans="1:4" x14ac:dyDescent="0.2">
      <c r="A5988" s="5">
        <v>5927</v>
      </c>
      <c r="B5988" s="1832">
        <f>'Revenues 9-14'!K14</f>
        <v>192</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192</v>
      </c>
      <c r="C5992" s="2" t="s">
        <v>569</v>
      </c>
      <c r="D5992" s="2" t="str">
        <f t="shared" si="92"/>
        <v>Error?</v>
      </c>
    </row>
    <row r="5993" spans="1:4" x14ac:dyDescent="0.2">
      <c r="A5993" s="5">
        <v>5932</v>
      </c>
      <c r="B5993" s="1832">
        <f>'Revenues 9-14'!K65</f>
        <v>335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335</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39684</v>
      </c>
      <c r="C6023" s="2" t="s">
        <v>569</v>
      </c>
      <c r="D6023" s="2" t="str">
        <f t="shared" si="93"/>
        <v>Error?</v>
      </c>
    </row>
    <row r="6024" spans="1:5" x14ac:dyDescent="0.2">
      <c r="A6024" s="5">
        <v>5963</v>
      </c>
      <c r="B6024" s="1832">
        <f>'Revenues 9-14'!G109</f>
        <v>469917</v>
      </c>
      <c r="C6024" s="2" t="s">
        <v>569</v>
      </c>
      <c r="D6024" s="2" t="str">
        <f t="shared" si="93"/>
        <v>Error?</v>
      </c>
    </row>
    <row r="6025" spans="1:5" x14ac:dyDescent="0.2">
      <c r="A6025" s="5">
        <v>5964</v>
      </c>
      <c r="B6025" s="1832">
        <f>'Revenues 9-14'!H109</f>
        <v>340721</v>
      </c>
      <c r="C6025" s="2" t="s">
        <v>569</v>
      </c>
      <c r="D6025" s="2" t="str">
        <f t="shared" si="93"/>
        <v>Error?</v>
      </c>
    </row>
    <row r="6026" spans="1:5" x14ac:dyDescent="0.2">
      <c r="A6026" s="5">
        <v>5965</v>
      </c>
      <c r="B6026" s="1832">
        <f>'Revenues 9-14'!I109</f>
        <v>42024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39684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40885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24387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816.6</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800000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1834</v>
      </c>
      <c r="D6099" s="2" t="str">
        <f t="shared" si="94"/>
        <v>Error?</v>
      </c>
      <c r="E6099" s="2" t="s">
        <v>189</v>
      </c>
    </row>
    <row r="6100" spans="1:5" x14ac:dyDescent="0.2">
      <c r="A6100">
        <v>6039</v>
      </c>
      <c r="B6100" s="1832">
        <f>'Assets-Liab 5-6'!D9</f>
        <v>131</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1079692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300000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500000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1079692</v>
      </c>
      <c r="D6215" s="2" t="str">
        <f t="shared" si="96"/>
        <v>Error?</v>
      </c>
      <c r="E6215" s="2" t="s">
        <v>189</v>
      </c>
    </row>
    <row r="6216" spans="1:5" x14ac:dyDescent="0.2">
      <c r="A6216">
        <v>6155</v>
      </c>
      <c r="B6216" s="1832">
        <f>'Assets-Liab 5-6'!J41</f>
        <v>1079692</v>
      </c>
      <c r="D6216" s="2" t="str">
        <f t="shared" si="96"/>
        <v>Error?</v>
      </c>
      <c r="E6216" s="2" t="s">
        <v>189</v>
      </c>
    </row>
    <row r="6217" spans="1:5" x14ac:dyDescent="0.2">
      <c r="A6217">
        <v>6156</v>
      </c>
      <c r="B6217" s="1832">
        <f>'Assets-Liab 5-6'!J4</f>
        <v>1079692</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520482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520482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520482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562174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562174</v>
      </c>
      <c r="D6229" s="2" t="str">
        <f t="shared" si="96"/>
        <v>Error?</v>
      </c>
      <c r="E6229" s="2" t="s">
        <v>189</v>
      </c>
    </row>
    <row r="6230" spans="1:5" x14ac:dyDescent="0.2">
      <c r="A6230">
        <v>6169</v>
      </c>
      <c r="B6230" s="1832">
        <f>'Acct Summary 7-8'!J20</f>
        <v>-41692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-41692</v>
      </c>
      <c r="D6263" s="2" t="str">
        <f t="shared" si="96"/>
        <v>Error?</v>
      </c>
      <c r="E6263" s="2" t="s">
        <v>189</v>
      </c>
    </row>
    <row r="6264" spans="1:5" x14ac:dyDescent="0.2">
      <c r="A6264">
        <v>6203</v>
      </c>
      <c r="B6264" s="1832">
        <f>'Acct Summary 7-8'!J79</f>
        <v>1121384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1079692</v>
      </c>
      <c r="D6266" s="2" t="str">
        <f t="shared" si="96"/>
        <v>Error?</v>
      </c>
      <c r="E6266" s="2" t="s">
        <v>189</v>
      </c>
    </row>
    <row r="6267" spans="1:5" x14ac:dyDescent="0.2">
      <c r="A6267">
        <v>6206</v>
      </c>
      <c r="B6267" s="1832">
        <f>'Acct Summary 7-8'!C82</f>
        <v>744449</v>
      </c>
      <c r="D6267" s="2" t="str">
        <f t="shared" si="96"/>
        <v>Error?</v>
      </c>
      <c r="E6267" s="2" t="s">
        <v>189</v>
      </c>
    </row>
    <row r="6268" spans="1:5" x14ac:dyDescent="0.2">
      <c r="A6268">
        <v>6207</v>
      </c>
      <c r="B6268" s="1832">
        <f>'Acct Summary 7-8'!D82</f>
        <v>-88247</v>
      </c>
      <c r="D6268" s="2" t="str">
        <f t="shared" si="96"/>
        <v>Error?</v>
      </c>
      <c r="E6268" s="2" t="s">
        <v>189</v>
      </c>
    </row>
    <row r="6269" spans="1:5" x14ac:dyDescent="0.2">
      <c r="A6269">
        <v>6208</v>
      </c>
      <c r="B6269" s="1832">
        <f>'Acct Summary 7-8'!E82</f>
        <v>6096</v>
      </c>
      <c r="D6269" s="2" t="str">
        <f t="shared" si="96"/>
        <v>Error?</v>
      </c>
      <c r="E6269" s="2" t="s">
        <v>189</v>
      </c>
    </row>
    <row r="6270" spans="1:5" x14ac:dyDescent="0.2">
      <c r="A6270">
        <v>6209</v>
      </c>
      <c r="B6270" s="1832">
        <f>'Acct Summary 7-8'!F82</f>
        <v>-6260</v>
      </c>
      <c r="D6270" s="2" t="str">
        <f t="shared" si="96"/>
        <v>Error?</v>
      </c>
      <c r="E6270" s="2" t="s">
        <v>189</v>
      </c>
    </row>
    <row r="6271" spans="1:5" x14ac:dyDescent="0.2">
      <c r="A6271">
        <v>6210</v>
      </c>
      <c r="B6271" s="1832">
        <f>'Acct Summary 7-8'!G82</f>
        <v>147629</v>
      </c>
      <c r="D6271" s="2" t="str">
        <f t="shared" ref="D6271:D6334" si="97">IF(ISBLANK(B6271),"OK",IF(A6271-B6271=0,"OK","Error?"))</f>
        <v>Error?</v>
      </c>
      <c r="E6271" s="2" t="s">
        <v>189</v>
      </c>
    </row>
    <row r="6272" spans="1:5" x14ac:dyDescent="0.2">
      <c r="A6272">
        <v>6211</v>
      </c>
      <c r="B6272" s="1832">
        <f>'Acct Summary 7-8'!H82</f>
        <v>-962369</v>
      </c>
      <c r="D6272" s="2" t="str">
        <f t="shared" si="97"/>
        <v>Error?</v>
      </c>
      <c r="E6272" s="2" t="s">
        <v>189</v>
      </c>
    </row>
    <row r="6273" spans="1:5" x14ac:dyDescent="0.2">
      <c r="A6273">
        <v>6212</v>
      </c>
      <c r="B6273" s="1832">
        <f>'Acct Summary 7-8'!I82</f>
        <v>42024</v>
      </c>
      <c r="D6273" s="2" t="str">
        <f t="shared" si="97"/>
        <v>Error?</v>
      </c>
      <c r="E6273" s="2" t="s">
        <v>189</v>
      </c>
    </row>
    <row r="6274" spans="1:5" x14ac:dyDescent="0.2">
      <c r="A6274">
        <v>6213</v>
      </c>
      <c r="B6274" s="1832">
        <f>'Acct Summary 7-8'!J82</f>
        <v>-41692</v>
      </c>
      <c r="D6274" s="2" t="str">
        <f t="shared" si="97"/>
        <v>Error?</v>
      </c>
      <c r="E6274" s="2" t="s">
        <v>189</v>
      </c>
    </row>
    <row r="6275" spans="1:5" x14ac:dyDescent="0.2">
      <c r="A6275">
        <v>6214</v>
      </c>
      <c r="B6275" s="1832">
        <f>'Acct Summary 7-8'!K82</f>
        <v>39684</v>
      </c>
      <c r="D6275" s="2" t="str">
        <f t="shared" si="97"/>
        <v>Error?</v>
      </c>
      <c r="E6275" s="2" t="s">
        <v>189</v>
      </c>
    </row>
    <row r="6276" spans="1:5" x14ac:dyDescent="0.2">
      <c r="A6276">
        <v>6215</v>
      </c>
      <c r="B6276" s="1832">
        <f>'Acct Summary 7-8'!C83</f>
        <v>0.41657704097563486</v>
      </c>
      <c r="D6276" s="2" t="str">
        <f t="shared" si="97"/>
        <v>Error?</v>
      </c>
      <c r="E6276" s="2" t="s">
        <v>189</v>
      </c>
    </row>
    <row r="6277" spans="1:5" x14ac:dyDescent="0.2">
      <c r="A6277">
        <v>6216</v>
      </c>
      <c r="B6277" s="1832">
        <f>'Acct Summary 7-8'!D83</f>
        <v>-0.89640005688397695</v>
      </c>
      <c r="D6277" s="2" t="str">
        <f t="shared" si="97"/>
        <v>Error?</v>
      </c>
      <c r="E6277" s="2" t="s">
        <v>189</v>
      </c>
    </row>
    <row r="6278" spans="1:5" x14ac:dyDescent="0.2">
      <c r="A6278">
        <v>6217</v>
      </c>
      <c r="B6278" s="1832">
        <f>'Acct Summary 7-8'!E83</f>
        <v>3.2783182485520222E-2</v>
      </c>
      <c r="D6278" s="2" t="str">
        <f t="shared" si="97"/>
        <v>Error?</v>
      </c>
      <c r="E6278" s="2" t="s">
        <v>189</v>
      </c>
    </row>
    <row r="6279" spans="1:5" x14ac:dyDescent="0.2">
      <c r="A6279">
        <v>6218</v>
      </c>
      <c r="B6279" s="1832">
        <f>'Acct Summary 7-8'!F83</f>
        <v>-6.185190125432889E-3</v>
      </c>
      <c r="D6279" s="2" t="str">
        <f t="shared" si="97"/>
        <v>Error?</v>
      </c>
      <c r="E6279" s="2" t="s">
        <v>189</v>
      </c>
    </row>
    <row r="6280" spans="1:5" x14ac:dyDescent="0.2">
      <c r="A6280">
        <v>6219</v>
      </c>
      <c r="B6280" s="1832">
        <f>'Acct Summary 7-8'!G83</f>
        <v>0.16200162189269829</v>
      </c>
      <c r="D6280" s="2" t="str">
        <f t="shared" si="97"/>
        <v>Error?</v>
      </c>
      <c r="E6280" s="2" t="s">
        <v>189</v>
      </c>
    </row>
    <row r="6281" spans="1:5" x14ac:dyDescent="0.2">
      <c r="A6281">
        <v>6220</v>
      </c>
      <c r="B6281" s="1832">
        <f>'Acct Summary 7-8'!H83</f>
        <v>-0.39319301479750968</v>
      </c>
      <c r="D6281" s="2" t="str">
        <f t="shared" si="97"/>
        <v>Error?</v>
      </c>
      <c r="E6281" s="2" t="s">
        <v>189</v>
      </c>
    </row>
    <row r="6282" spans="1:5" x14ac:dyDescent="0.2">
      <c r="A6282">
        <v>6221</v>
      </c>
      <c r="B6282" s="1832">
        <f>'Acct Summary 7-8'!I83</f>
        <v>2.2217933907673761E-2</v>
      </c>
      <c r="D6282" s="2" t="str">
        <f t="shared" si="97"/>
        <v>Error?</v>
      </c>
      <c r="E6282" s="2" t="s">
        <v>189</v>
      </c>
    </row>
    <row r="6283" spans="1:5" x14ac:dyDescent="0.2">
      <c r="A6283">
        <v>6222</v>
      </c>
      <c r="B6283" s="1832">
        <f>'Acct Summary 7-8'!J83</f>
        <v>-3.861471604865091E-2</v>
      </c>
      <c r="D6283" s="2" t="str">
        <f t="shared" si="97"/>
        <v>Error?</v>
      </c>
      <c r="E6283" s="2" t="s">
        <v>189</v>
      </c>
    </row>
    <row r="6284" spans="1:5" x14ac:dyDescent="0.2">
      <c r="A6284">
        <v>6223</v>
      </c>
      <c r="B6284" s="1832">
        <f>'Acct Summary 7-8'!K83</f>
        <v>0.16936609349192733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498626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498626</v>
      </c>
      <c r="D6301" s="2" t="str">
        <f t="shared" si="97"/>
        <v>Error?</v>
      </c>
      <c r="E6301" s="2" t="s">
        <v>189</v>
      </c>
    </row>
    <row r="6302" spans="1:5" x14ac:dyDescent="0.2">
      <c r="A6302">
        <v>6241</v>
      </c>
      <c r="B6302" s="1832">
        <f>'Revenues 9-14'!J14</f>
        <v>2439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2439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2780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2780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16637</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2450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16637</v>
      </c>
      <c r="D6351" s="2" t="str">
        <f t="shared" si="98"/>
        <v>Error?</v>
      </c>
      <c r="E6351" s="2" t="s">
        <v>189</v>
      </c>
    </row>
    <row r="6352" spans="1:5" x14ac:dyDescent="0.2">
      <c r="A6352">
        <v>6291</v>
      </c>
      <c r="B6352" s="1832">
        <f>'Revenues 9-14'!J109</f>
        <v>520482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7234</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1899</v>
      </c>
    </row>
    <row r="6383" spans="1:6" x14ac:dyDescent="0.2">
      <c r="A6383" s="126">
        <v>6322</v>
      </c>
      <c r="B6383" s="1832"/>
      <c r="D6383" s="2" t="str">
        <f t="shared" si="98"/>
        <v>OK</v>
      </c>
      <c r="E6383" s="2" t="s">
        <v>189</v>
      </c>
      <c r="F6383" s="1" t="s">
        <v>1899</v>
      </c>
    </row>
    <row r="6384" spans="1:6" x14ac:dyDescent="0.2">
      <c r="A6384" s="126">
        <v>6323</v>
      </c>
      <c r="B6384" s="1832"/>
      <c r="D6384" s="2" t="str">
        <f t="shared" si="98"/>
        <v>OK</v>
      </c>
      <c r="E6384" s="2" t="s">
        <v>189</v>
      </c>
      <c r="F6384" s="1" t="s">
        <v>1899</v>
      </c>
    </row>
    <row r="6385" spans="1:6" x14ac:dyDescent="0.2">
      <c r="A6385" s="126">
        <v>6324</v>
      </c>
      <c r="B6385" s="1832"/>
      <c r="D6385" s="2" t="str">
        <f t="shared" si="98"/>
        <v>OK</v>
      </c>
      <c r="E6385" s="2" t="s">
        <v>189</v>
      </c>
      <c r="F6385" s="1" t="s">
        <v>1899</v>
      </c>
    </row>
    <row r="6386" spans="1:6" x14ac:dyDescent="0.2">
      <c r="A6386" s="126">
        <v>6325</v>
      </c>
      <c r="B6386" s="1832"/>
      <c r="D6386" s="2" t="str">
        <f t="shared" si="98"/>
        <v>OK</v>
      </c>
      <c r="E6386" s="2" t="s">
        <v>189</v>
      </c>
      <c r="F6386" s="1" t="s">
        <v>1899</v>
      </c>
    </row>
    <row r="6387" spans="1:6" x14ac:dyDescent="0.2">
      <c r="A6387" s="126">
        <v>6326</v>
      </c>
      <c r="B6387" s="1832"/>
      <c r="D6387" s="2" t="str">
        <f t="shared" si="98"/>
        <v>OK</v>
      </c>
      <c r="E6387" s="2" t="s">
        <v>189</v>
      </c>
      <c r="F6387" s="1" t="s">
        <v>1899</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1899</v>
      </c>
    </row>
    <row r="6411" spans="1:6" x14ac:dyDescent="0.2">
      <c r="A6411" s="126">
        <v>6350</v>
      </c>
      <c r="B6411" s="1832"/>
      <c r="D6411" s="2" t="str">
        <f t="shared" si="99"/>
        <v>OK</v>
      </c>
      <c r="E6411" s="2" t="s">
        <v>189</v>
      </c>
      <c r="F6411" s="1" t="s">
        <v>1899</v>
      </c>
    </row>
    <row r="6412" spans="1:6" x14ac:dyDescent="0.2">
      <c r="A6412" s="126">
        <v>6351</v>
      </c>
      <c r="B6412" s="1832"/>
      <c r="D6412" s="2" t="str">
        <f t="shared" si="99"/>
        <v>OK</v>
      </c>
      <c r="E6412" s="2" t="s">
        <v>189</v>
      </c>
      <c r="F6412" s="1" t="s">
        <v>1899</v>
      </c>
    </row>
    <row r="6413" spans="1:6" x14ac:dyDescent="0.2">
      <c r="A6413" s="126">
        <v>6352</v>
      </c>
      <c r="B6413" s="1832"/>
      <c r="D6413" s="2" t="str">
        <f t="shared" si="99"/>
        <v>OK</v>
      </c>
      <c r="E6413" s="2" t="s">
        <v>189</v>
      </c>
      <c r="F6413" s="1" t="s">
        <v>1899</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1995</v>
      </c>
    </row>
    <row r="6417" spans="1:5" x14ac:dyDescent="0.2">
      <c r="A6417" s="126">
        <v>6356</v>
      </c>
      <c r="B6417" s="1832"/>
      <c r="D6417" s="2" t="str">
        <f t="shared" si="99"/>
        <v>OK</v>
      </c>
      <c r="E6417" s="4" t="s">
        <v>1995</v>
      </c>
    </row>
    <row r="6418" spans="1:5" x14ac:dyDescent="0.2">
      <c r="A6418" s="126">
        <v>6357</v>
      </c>
      <c r="B6418" s="1832"/>
      <c r="D6418" s="2" t="str">
        <f t="shared" si="99"/>
        <v>OK</v>
      </c>
      <c r="E6418" s="4" t="s">
        <v>1995</v>
      </c>
    </row>
    <row r="6419" spans="1:5" x14ac:dyDescent="0.2">
      <c r="A6419" s="126">
        <v>6358</v>
      </c>
      <c r="B6419" s="1832"/>
      <c r="D6419" s="2" t="str">
        <f t="shared" si="99"/>
        <v>OK</v>
      </c>
      <c r="E6419" s="4" t="s">
        <v>1995</v>
      </c>
    </row>
    <row r="6420" spans="1:5" x14ac:dyDescent="0.2">
      <c r="A6420" s="126">
        <v>6359</v>
      </c>
      <c r="B6420" s="1832"/>
      <c r="D6420" s="2" t="str">
        <f t="shared" si="99"/>
        <v>OK</v>
      </c>
      <c r="E6420" s="4" t="s">
        <v>1995</v>
      </c>
    </row>
    <row r="6421" spans="1:5" x14ac:dyDescent="0.2">
      <c r="A6421" s="126">
        <v>6360</v>
      </c>
      <c r="B6421" s="1832"/>
      <c r="D6421" s="2" t="str">
        <f t="shared" si="99"/>
        <v>OK</v>
      </c>
      <c r="E6421" s="4" t="s">
        <v>1995</v>
      </c>
    </row>
    <row r="6422" spans="1:5" x14ac:dyDescent="0.2">
      <c r="A6422" s="126">
        <v>6361</v>
      </c>
      <c r="B6422" s="1832"/>
      <c r="D6422" s="2" t="str">
        <f t="shared" si="99"/>
        <v>OK</v>
      </c>
      <c r="E6422" s="4" t="s">
        <v>1995</v>
      </c>
    </row>
    <row r="6423" spans="1:5" x14ac:dyDescent="0.2">
      <c r="A6423" s="126">
        <v>6362</v>
      </c>
      <c r="B6423" s="1832"/>
      <c r="D6423" s="2" t="str">
        <f t="shared" si="99"/>
        <v>OK</v>
      </c>
      <c r="E6423" s="4" t="s">
        <v>1995</v>
      </c>
    </row>
    <row r="6424" spans="1:5" x14ac:dyDescent="0.2">
      <c r="A6424" s="126">
        <v>6363</v>
      </c>
      <c r="B6424" s="1832"/>
      <c r="D6424" s="2" t="str">
        <f t="shared" si="99"/>
        <v>OK</v>
      </c>
      <c r="E6424" s="4" t="s">
        <v>1995</v>
      </c>
    </row>
    <row r="6425" spans="1:5" x14ac:dyDescent="0.2">
      <c r="A6425" s="126">
        <v>6364</v>
      </c>
      <c r="B6425" s="1832"/>
      <c r="D6425" s="2" t="str">
        <f t="shared" si="99"/>
        <v>OK</v>
      </c>
      <c r="E6425" s="4" t="s">
        <v>1995</v>
      </c>
    </row>
    <row r="6426" spans="1:5" x14ac:dyDescent="0.2">
      <c r="A6426" s="126">
        <v>6365</v>
      </c>
      <c r="B6426" s="1832"/>
      <c r="D6426" s="2" t="str">
        <f t="shared" si="99"/>
        <v>OK</v>
      </c>
      <c r="E6426" s="4" t="s">
        <v>1995</v>
      </c>
    </row>
    <row r="6427" spans="1:5" x14ac:dyDescent="0.2">
      <c r="A6427" s="126">
        <v>6366</v>
      </c>
      <c r="B6427" s="1832"/>
      <c r="D6427" s="2" t="str">
        <f t="shared" si="99"/>
        <v>OK</v>
      </c>
      <c r="E6427" s="4" t="s">
        <v>1995</v>
      </c>
    </row>
    <row r="6428" spans="1:5" x14ac:dyDescent="0.2">
      <c r="A6428" s="126">
        <v>6367</v>
      </c>
      <c r="B6428" s="1832"/>
      <c r="D6428" s="2" t="str">
        <f t="shared" si="99"/>
        <v>OK</v>
      </c>
      <c r="E6428" s="4" t="s">
        <v>1995</v>
      </c>
    </row>
    <row r="6429" spans="1:5" x14ac:dyDescent="0.2">
      <c r="A6429" s="126">
        <v>6368</v>
      </c>
      <c r="B6429" s="1832"/>
      <c r="D6429" s="2" t="str">
        <f t="shared" si="99"/>
        <v>OK</v>
      </c>
      <c r="E6429" s="4" t="s">
        <v>1995</v>
      </c>
    </row>
    <row r="6430" spans="1:5" x14ac:dyDescent="0.2">
      <c r="A6430" s="126">
        <v>6369</v>
      </c>
      <c r="B6430" s="1832"/>
      <c r="D6430" s="2" t="str">
        <f t="shared" si="99"/>
        <v>OK</v>
      </c>
      <c r="E6430" s="4" t="s">
        <v>1995</v>
      </c>
    </row>
    <row r="6431" spans="1:5" x14ac:dyDescent="0.2">
      <c r="A6431" s="126">
        <v>6370</v>
      </c>
      <c r="B6431" s="1832"/>
      <c r="D6431" s="2" t="str">
        <f t="shared" si="99"/>
        <v>OK</v>
      </c>
      <c r="E6431" s="4" t="s">
        <v>1995</v>
      </c>
    </row>
    <row r="6432" spans="1:5" x14ac:dyDescent="0.2">
      <c r="A6432" s="126">
        <v>6371</v>
      </c>
      <c r="B6432" s="1832"/>
      <c r="D6432" s="2" t="str">
        <f t="shared" si="99"/>
        <v>OK</v>
      </c>
      <c r="E6432" s="4" t="s">
        <v>1995</v>
      </c>
    </row>
    <row r="6433" spans="1:5" x14ac:dyDescent="0.2">
      <c r="A6433" s="126">
        <v>6372</v>
      </c>
      <c r="B6433" s="1832"/>
      <c r="D6433" s="2" t="str">
        <f t="shared" si="99"/>
        <v>OK</v>
      </c>
      <c r="E6433" s="4" t="s">
        <v>1995</v>
      </c>
    </row>
    <row r="6434" spans="1:5" x14ac:dyDescent="0.2">
      <c r="A6434" s="126">
        <v>6373</v>
      </c>
      <c r="B6434" s="1832"/>
      <c r="D6434" s="2" t="str">
        <f t="shared" si="99"/>
        <v>OK</v>
      </c>
      <c r="E6434" s="4" t="s">
        <v>1995</v>
      </c>
    </row>
    <row r="6435" spans="1:5" x14ac:dyDescent="0.2">
      <c r="A6435" s="126">
        <v>6374</v>
      </c>
      <c r="B6435" s="1832"/>
      <c r="D6435" s="2" t="str">
        <f t="shared" si="99"/>
        <v>OK</v>
      </c>
      <c r="E6435" s="4" t="s">
        <v>1995</v>
      </c>
    </row>
    <row r="6436" spans="1:5" x14ac:dyDescent="0.2">
      <c r="A6436" s="126">
        <v>6375</v>
      </c>
      <c r="B6436" s="1832"/>
      <c r="D6436" s="2" t="str">
        <f t="shared" si="99"/>
        <v>OK</v>
      </c>
      <c r="E6436" s="4" t="s">
        <v>1995</v>
      </c>
    </row>
    <row r="6437" spans="1:5" x14ac:dyDescent="0.2">
      <c r="A6437" s="126">
        <v>6376</v>
      </c>
      <c r="B6437" s="1832"/>
      <c r="D6437" s="2" t="str">
        <f t="shared" si="99"/>
        <v>OK</v>
      </c>
      <c r="E6437" s="4" t="s">
        <v>1995</v>
      </c>
    </row>
    <row r="6438" spans="1:5" x14ac:dyDescent="0.2">
      <c r="A6438" s="126">
        <v>6377</v>
      </c>
      <c r="B6438" s="1832"/>
      <c r="D6438" s="2" t="str">
        <f t="shared" si="99"/>
        <v>OK</v>
      </c>
      <c r="E6438" s="4" t="s">
        <v>1995</v>
      </c>
    </row>
    <row r="6439" spans="1:5" x14ac:dyDescent="0.2">
      <c r="A6439" s="126">
        <v>6378</v>
      </c>
      <c r="B6439" s="1832"/>
      <c r="D6439" s="2" t="str">
        <f t="shared" si="99"/>
        <v>OK</v>
      </c>
      <c r="E6439" s="4" t="s">
        <v>1995</v>
      </c>
    </row>
    <row r="6440" spans="1:5" x14ac:dyDescent="0.2">
      <c r="A6440" s="126">
        <v>6379</v>
      </c>
      <c r="B6440" s="1832"/>
      <c r="D6440" s="2" t="str">
        <f t="shared" si="99"/>
        <v>OK</v>
      </c>
      <c r="E6440" s="4" t="s">
        <v>1995</v>
      </c>
    </row>
    <row r="6441" spans="1:5" x14ac:dyDescent="0.2">
      <c r="A6441" s="126">
        <v>6380</v>
      </c>
      <c r="B6441" s="1832"/>
      <c r="D6441" s="2" t="str">
        <f t="shared" si="99"/>
        <v>OK</v>
      </c>
      <c r="E6441" s="4" t="s">
        <v>1995</v>
      </c>
    </row>
    <row r="6442" spans="1:5" x14ac:dyDescent="0.2">
      <c r="A6442" s="126">
        <v>6381</v>
      </c>
      <c r="B6442" s="1832"/>
      <c r="D6442" s="2" t="str">
        <f t="shared" si="99"/>
        <v>OK</v>
      </c>
      <c r="E6442" s="4" t="s">
        <v>1995</v>
      </c>
    </row>
    <row r="6443" spans="1:5" x14ac:dyDescent="0.2">
      <c r="A6443" s="126">
        <v>6382</v>
      </c>
      <c r="B6443" s="1832"/>
      <c r="D6443" s="2" t="str">
        <f t="shared" si="99"/>
        <v>OK</v>
      </c>
      <c r="E6443" s="4" t="s">
        <v>1995</v>
      </c>
    </row>
    <row r="6444" spans="1:5" x14ac:dyDescent="0.2">
      <c r="A6444" s="126">
        <v>6383</v>
      </c>
      <c r="B6444" s="1832"/>
      <c r="D6444" s="2" t="str">
        <f t="shared" si="99"/>
        <v>OK</v>
      </c>
      <c r="E6444" s="4" t="s">
        <v>1995</v>
      </c>
    </row>
    <row r="6445" spans="1:5" x14ac:dyDescent="0.2">
      <c r="A6445" s="126">
        <v>6384</v>
      </c>
      <c r="B6445" s="1832"/>
      <c r="D6445" s="2" t="str">
        <f t="shared" si="99"/>
        <v>OK</v>
      </c>
      <c r="E6445" s="4" t="s">
        <v>1995</v>
      </c>
    </row>
    <row r="6446" spans="1:5" x14ac:dyDescent="0.2">
      <c r="A6446" s="126">
        <v>6385</v>
      </c>
      <c r="B6446" s="1832"/>
      <c r="D6446" s="2" t="str">
        <f t="shared" si="99"/>
        <v>OK</v>
      </c>
      <c r="E6446" s="4" t="s">
        <v>1995</v>
      </c>
    </row>
    <row r="6447" spans="1:5" x14ac:dyDescent="0.2">
      <c r="A6447" s="126">
        <v>6386</v>
      </c>
      <c r="B6447" s="1832"/>
      <c r="D6447" s="2" t="str">
        <f t="shared" si="99"/>
        <v>OK</v>
      </c>
      <c r="E6447" s="4" t="s">
        <v>1995</v>
      </c>
    </row>
    <row r="6448" spans="1:5" x14ac:dyDescent="0.2">
      <c r="A6448" s="126">
        <v>6387</v>
      </c>
      <c r="B6448" s="1832"/>
      <c r="D6448" s="2" t="str">
        <f t="shared" si="99"/>
        <v>OK</v>
      </c>
      <c r="E6448" s="4" t="s">
        <v>1995</v>
      </c>
    </row>
    <row r="6449" spans="1:5" x14ac:dyDescent="0.2">
      <c r="A6449" s="126">
        <v>6388</v>
      </c>
      <c r="B6449" s="1832"/>
      <c r="D6449" s="2" t="str">
        <f t="shared" si="99"/>
        <v>OK</v>
      </c>
      <c r="E6449" s="4" t="s">
        <v>1995</v>
      </c>
    </row>
    <row r="6450" spans="1:5" x14ac:dyDescent="0.2">
      <c r="A6450" s="126">
        <v>6389</v>
      </c>
      <c r="B6450" s="1832"/>
      <c r="D6450" s="2" t="str">
        <f t="shared" si="99"/>
        <v>OK</v>
      </c>
      <c r="E6450" s="4" t="s">
        <v>1995</v>
      </c>
    </row>
    <row r="6451" spans="1:5" x14ac:dyDescent="0.2">
      <c r="A6451" s="126">
        <v>6390</v>
      </c>
      <c r="B6451" s="1832"/>
      <c r="D6451" s="2" t="str">
        <f t="shared" si="99"/>
        <v>OK</v>
      </c>
      <c r="E6451" s="4" t="s">
        <v>1995</v>
      </c>
    </row>
    <row r="6452" spans="1:5" x14ac:dyDescent="0.2">
      <c r="A6452" s="126">
        <v>6391</v>
      </c>
      <c r="B6452" s="1832"/>
      <c r="D6452" s="2" t="str">
        <f t="shared" si="99"/>
        <v>OK</v>
      </c>
      <c r="E6452" s="4" t="s">
        <v>1995</v>
      </c>
    </row>
    <row r="6453" spans="1:5" x14ac:dyDescent="0.2">
      <c r="A6453" s="126">
        <v>6392</v>
      </c>
      <c r="B6453" s="1832"/>
      <c r="D6453" s="2" t="str">
        <f t="shared" si="99"/>
        <v>OK</v>
      </c>
      <c r="E6453" s="4" t="s">
        <v>1995</v>
      </c>
    </row>
    <row r="6454" spans="1:5" x14ac:dyDescent="0.2">
      <c r="A6454" s="126">
        <v>6393</v>
      </c>
      <c r="B6454" s="1832"/>
      <c r="D6454" s="2" t="str">
        <f t="shared" si="99"/>
        <v>OK</v>
      </c>
      <c r="E6454" s="4" t="s">
        <v>1995</v>
      </c>
    </row>
    <row r="6455" spans="1:5" x14ac:dyDescent="0.2">
      <c r="A6455" s="126">
        <v>6394</v>
      </c>
      <c r="B6455" s="1832"/>
      <c r="D6455" s="2" t="str">
        <f t="shared" si="99"/>
        <v>OK</v>
      </c>
      <c r="E6455" s="4" t="s">
        <v>1995</v>
      </c>
    </row>
    <row r="6456" spans="1:5" x14ac:dyDescent="0.2">
      <c r="A6456" s="126">
        <v>6395</v>
      </c>
      <c r="B6456" s="1832"/>
      <c r="D6456" s="2" t="str">
        <f t="shared" si="99"/>
        <v>OK</v>
      </c>
      <c r="E6456" s="4" t="s">
        <v>1995</v>
      </c>
    </row>
    <row r="6457" spans="1:5" x14ac:dyDescent="0.2">
      <c r="A6457" s="126">
        <v>6396</v>
      </c>
      <c r="B6457" s="1832"/>
      <c r="D6457" s="2" t="str">
        <f t="shared" si="99"/>
        <v>OK</v>
      </c>
      <c r="E6457" s="4" t="s">
        <v>1995</v>
      </c>
    </row>
    <row r="6458" spans="1:5" x14ac:dyDescent="0.2">
      <c r="A6458" s="126">
        <v>6397</v>
      </c>
      <c r="B6458" s="1832"/>
      <c r="D6458" s="2" t="str">
        <f t="shared" si="99"/>
        <v>OK</v>
      </c>
      <c r="E6458" s="4" t="s">
        <v>1995</v>
      </c>
    </row>
    <row r="6459" spans="1:5" x14ac:dyDescent="0.2">
      <c r="A6459" s="126">
        <v>6398</v>
      </c>
      <c r="B6459" s="1832"/>
      <c r="D6459" s="2" t="str">
        <f t="shared" si="99"/>
        <v>OK</v>
      </c>
      <c r="E6459" s="4" t="s">
        <v>1995</v>
      </c>
    </row>
    <row r="6460" spans="1:5" x14ac:dyDescent="0.2">
      <c r="A6460" s="126">
        <v>6399</v>
      </c>
      <c r="B6460" s="1832"/>
      <c r="D6460" s="2" t="str">
        <f t="shared" si="99"/>
        <v>OK</v>
      </c>
      <c r="E6460" s="4" t="s">
        <v>1995</v>
      </c>
    </row>
    <row r="6461" spans="1:5" x14ac:dyDescent="0.2">
      <c r="A6461" s="126">
        <v>6400</v>
      </c>
      <c r="B6461" s="1832"/>
      <c r="D6461" s="2" t="str">
        <f t="shared" si="99"/>
        <v>OK</v>
      </c>
      <c r="E6461" s="4" t="s">
        <v>1995</v>
      </c>
    </row>
    <row r="6462" spans="1:5" x14ac:dyDescent="0.2">
      <c r="A6462" s="126">
        <v>6401</v>
      </c>
      <c r="B6462" s="1832"/>
      <c r="D6462" s="2" t="str">
        <f t="shared" si="99"/>
        <v>OK</v>
      </c>
      <c r="E6462" s="4" t="s">
        <v>1995</v>
      </c>
    </row>
    <row r="6463" spans="1:5" x14ac:dyDescent="0.2">
      <c r="A6463" s="126">
        <v>6402</v>
      </c>
      <c r="B6463" s="1832"/>
      <c r="D6463" s="2" t="str">
        <f t="shared" ref="D6463:D6526" si="100">IF(ISBLANK(B6463),"OK",IF(A6463-B6463=0,"OK","Error?"))</f>
        <v>OK</v>
      </c>
      <c r="E6463" s="4" t="s">
        <v>1995</v>
      </c>
    </row>
    <row r="6464" spans="1:5" x14ac:dyDescent="0.2">
      <c r="A6464" s="126">
        <v>6403</v>
      </c>
      <c r="B6464" s="1832"/>
      <c r="D6464" s="2" t="str">
        <f t="shared" si="100"/>
        <v>OK</v>
      </c>
      <c r="E6464" s="4" t="s">
        <v>1995</v>
      </c>
    </row>
    <row r="6465" spans="1:5" x14ac:dyDescent="0.2">
      <c r="A6465" s="126">
        <v>6404</v>
      </c>
      <c r="B6465" s="1832"/>
      <c r="D6465" s="2" t="str">
        <f t="shared" si="100"/>
        <v>OK</v>
      </c>
      <c r="E6465" s="4" t="s">
        <v>1995</v>
      </c>
    </row>
    <row r="6466" spans="1:5" x14ac:dyDescent="0.2">
      <c r="A6466" s="126">
        <v>6405</v>
      </c>
      <c r="B6466" s="1832"/>
      <c r="D6466" s="2" t="str">
        <f t="shared" si="100"/>
        <v>OK</v>
      </c>
      <c r="E6466" s="4" t="s">
        <v>1995</v>
      </c>
    </row>
    <row r="6467" spans="1:5" x14ac:dyDescent="0.2">
      <c r="A6467" s="126">
        <v>6406</v>
      </c>
      <c r="B6467" s="1832"/>
      <c r="D6467" s="2" t="str">
        <f t="shared" si="100"/>
        <v>OK</v>
      </c>
      <c r="E6467" s="4" t="s">
        <v>1995</v>
      </c>
    </row>
    <row r="6468" spans="1:5" x14ac:dyDescent="0.2">
      <c r="A6468" s="126">
        <v>6407</v>
      </c>
      <c r="B6468" s="1832"/>
      <c r="D6468" s="2" t="str">
        <f t="shared" si="100"/>
        <v>OK</v>
      </c>
      <c r="E6468" s="4" t="s">
        <v>1995</v>
      </c>
    </row>
    <row r="6469" spans="1:5" x14ac:dyDescent="0.2">
      <c r="A6469" s="126">
        <v>6408</v>
      </c>
      <c r="B6469" s="1832"/>
      <c r="D6469" s="2" t="str">
        <f t="shared" si="100"/>
        <v>OK</v>
      </c>
      <c r="E6469" s="4" t="s">
        <v>1995</v>
      </c>
    </row>
    <row r="6470" spans="1:5" x14ac:dyDescent="0.2">
      <c r="A6470" s="126">
        <v>6409</v>
      </c>
      <c r="B6470" s="1832"/>
      <c r="D6470" s="2" t="str">
        <f t="shared" si="100"/>
        <v>OK</v>
      </c>
      <c r="E6470" s="4" t="s">
        <v>1995</v>
      </c>
    </row>
    <row r="6471" spans="1:5" x14ac:dyDescent="0.2">
      <c r="A6471" s="126">
        <v>6410</v>
      </c>
      <c r="B6471" s="1832"/>
      <c r="D6471" s="2" t="str">
        <f t="shared" si="100"/>
        <v>OK</v>
      </c>
      <c r="E6471" s="4" t="s">
        <v>1995</v>
      </c>
    </row>
    <row r="6472" spans="1:5" x14ac:dyDescent="0.2">
      <c r="A6472" s="126">
        <v>6411</v>
      </c>
      <c r="B6472" s="1832"/>
      <c r="D6472" s="2" t="str">
        <f t="shared" si="100"/>
        <v>OK</v>
      </c>
      <c r="E6472" s="4" t="s">
        <v>1995</v>
      </c>
    </row>
    <row r="6473" spans="1:5" x14ac:dyDescent="0.2">
      <c r="A6473" s="126">
        <v>6412</v>
      </c>
      <c r="B6473" s="1832"/>
      <c r="D6473" s="2" t="str">
        <f t="shared" si="100"/>
        <v>OK</v>
      </c>
      <c r="E6473" s="4" t="s">
        <v>1995</v>
      </c>
    </row>
    <row r="6474" spans="1:5" x14ac:dyDescent="0.2">
      <c r="A6474" s="126">
        <v>6413</v>
      </c>
      <c r="B6474" s="1832"/>
      <c r="D6474" s="2" t="str">
        <f t="shared" si="100"/>
        <v>OK</v>
      </c>
      <c r="E6474" s="4" t="s">
        <v>1995</v>
      </c>
    </row>
    <row r="6475" spans="1:5" x14ac:dyDescent="0.2">
      <c r="A6475" s="126">
        <v>6414</v>
      </c>
      <c r="B6475" s="1832"/>
      <c r="D6475" s="2" t="str">
        <f t="shared" si="100"/>
        <v>OK</v>
      </c>
      <c r="E6475" s="4" t="s">
        <v>1995</v>
      </c>
    </row>
    <row r="6476" spans="1:5" x14ac:dyDescent="0.2">
      <c r="A6476" s="126">
        <v>6415</v>
      </c>
      <c r="B6476" s="1832"/>
      <c r="D6476" s="2" t="str">
        <f t="shared" si="100"/>
        <v>OK</v>
      </c>
      <c r="E6476" s="4" t="s">
        <v>1995</v>
      </c>
    </row>
    <row r="6477" spans="1:5" x14ac:dyDescent="0.2">
      <c r="A6477" s="126">
        <v>6416</v>
      </c>
      <c r="B6477" s="1832"/>
      <c r="D6477" s="2" t="str">
        <f t="shared" si="100"/>
        <v>OK</v>
      </c>
      <c r="E6477" s="4" t="s">
        <v>1995</v>
      </c>
    </row>
    <row r="6478" spans="1:5" x14ac:dyDescent="0.2">
      <c r="A6478" s="126">
        <v>6417</v>
      </c>
      <c r="B6478" s="1832"/>
      <c r="D6478" s="2" t="str">
        <f t="shared" si="100"/>
        <v>OK</v>
      </c>
      <c r="E6478" s="4" t="s">
        <v>1995</v>
      </c>
    </row>
    <row r="6479" spans="1:5" x14ac:dyDescent="0.2">
      <c r="A6479" s="126">
        <v>6418</v>
      </c>
      <c r="B6479" s="1832"/>
      <c r="D6479" s="2" t="str">
        <f t="shared" si="100"/>
        <v>OK</v>
      </c>
      <c r="E6479" s="4" t="s">
        <v>1995</v>
      </c>
    </row>
    <row r="6480" spans="1:5" x14ac:dyDescent="0.2">
      <c r="A6480" s="126">
        <v>6419</v>
      </c>
      <c r="B6480" s="1832"/>
      <c r="D6480" s="2" t="str">
        <f t="shared" si="100"/>
        <v>OK</v>
      </c>
      <c r="E6480" s="4" t="s">
        <v>1995</v>
      </c>
    </row>
    <row r="6481" spans="1:5" x14ac:dyDescent="0.2">
      <c r="A6481" s="126">
        <v>6420</v>
      </c>
      <c r="B6481" s="1832"/>
      <c r="D6481" s="2" t="str">
        <f t="shared" si="100"/>
        <v>OK</v>
      </c>
      <c r="E6481" s="4" t="s">
        <v>1995</v>
      </c>
    </row>
    <row r="6482" spans="1:5" x14ac:dyDescent="0.2">
      <c r="A6482" s="126">
        <v>6421</v>
      </c>
      <c r="B6482" s="1832"/>
      <c r="D6482" s="2" t="str">
        <f t="shared" si="100"/>
        <v>OK</v>
      </c>
      <c r="E6482" s="4" t="s">
        <v>1995</v>
      </c>
    </row>
    <row r="6483" spans="1:5" x14ac:dyDescent="0.2">
      <c r="A6483" s="126">
        <v>6422</v>
      </c>
      <c r="B6483" s="1832"/>
      <c r="D6483" s="2" t="str">
        <f t="shared" si="100"/>
        <v>OK</v>
      </c>
      <c r="E6483" s="4" t="s">
        <v>1995</v>
      </c>
    </row>
    <row r="6484" spans="1:5" x14ac:dyDescent="0.2">
      <c r="A6484" s="126">
        <v>6423</v>
      </c>
      <c r="B6484" s="1832"/>
      <c r="D6484" s="2" t="str">
        <f t="shared" si="100"/>
        <v>OK</v>
      </c>
      <c r="E6484" s="4" t="s">
        <v>1995</v>
      </c>
    </row>
    <row r="6485" spans="1:5" x14ac:dyDescent="0.2">
      <c r="A6485" s="126">
        <v>6424</v>
      </c>
      <c r="B6485" s="1832"/>
      <c r="D6485" s="2" t="str">
        <f t="shared" si="100"/>
        <v>OK</v>
      </c>
      <c r="E6485" s="4" t="s">
        <v>1995</v>
      </c>
    </row>
    <row r="6486" spans="1:5" x14ac:dyDescent="0.2">
      <c r="A6486" s="126">
        <v>6425</v>
      </c>
      <c r="B6486" s="1832"/>
      <c r="D6486" s="2" t="str">
        <f t="shared" si="100"/>
        <v>OK</v>
      </c>
      <c r="E6486" s="4" t="s">
        <v>1995</v>
      </c>
    </row>
    <row r="6487" spans="1:5" x14ac:dyDescent="0.2">
      <c r="A6487" s="126">
        <v>6426</v>
      </c>
      <c r="B6487" s="1832"/>
      <c r="D6487" s="2" t="str">
        <f t="shared" si="100"/>
        <v>OK</v>
      </c>
      <c r="E6487" s="4" t="s">
        <v>1995</v>
      </c>
    </row>
    <row r="6488" spans="1:5" x14ac:dyDescent="0.2">
      <c r="A6488" s="126">
        <v>6427</v>
      </c>
      <c r="B6488" s="1832"/>
      <c r="D6488" s="2" t="str">
        <f t="shared" si="100"/>
        <v>OK</v>
      </c>
      <c r="E6488" s="4" t="s">
        <v>1995</v>
      </c>
    </row>
    <row r="6489" spans="1:5" x14ac:dyDescent="0.2">
      <c r="A6489" s="126">
        <v>6428</v>
      </c>
      <c r="B6489" s="1832"/>
      <c r="D6489" s="2" t="str">
        <f t="shared" si="100"/>
        <v>OK</v>
      </c>
      <c r="E6489" s="4" t="s">
        <v>1995</v>
      </c>
    </row>
    <row r="6490" spans="1:5" x14ac:dyDescent="0.2">
      <c r="A6490" s="126">
        <v>6429</v>
      </c>
      <c r="B6490" s="1832"/>
      <c r="D6490" s="2" t="str">
        <f t="shared" si="100"/>
        <v>OK</v>
      </c>
      <c r="E6490" s="4" t="s">
        <v>1995</v>
      </c>
    </row>
    <row r="6491" spans="1:5" x14ac:dyDescent="0.2">
      <c r="A6491" s="126">
        <v>6430</v>
      </c>
      <c r="B6491" s="1832"/>
      <c r="D6491" s="2" t="str">
        <f t="shared" si="100"/>
        <v>OK</v>
      </c>
      <c r="E6491" s="4" t="s">
        <v>1995</v>
      </c>
    </row>
    <row r="6492" spans="1:5" x14ac:dyDescent="0.2">
      <c r="A6492" s="126">
        <v>6431</v>
      </c>
      <c r="B6492" s="1832"/>
      <c r="D6492" s="2" t="str">
        <f t="shared" si="100"/>
        <v>OK</v>
      </c>
      <c r="E6492" s="4" t="s">
        <v>1995</v>
      </c>
    </row>
    <row r="6493" spans="1:5" x14ac:dyDescent="0.2">
      <c r="A6493" s="126">
        <v>6432</v>
      </c>
      <c r="B6493" s="1832"/>
      <c r="D6493" s="2" t="str">
        <f t="shared" si="100"/>
        <v>OK</v>
      </c>
      <c r="E6493" s="4" t="s">
        <v>1995</v>
      </c>
    </row>
    <row r="6494" spans="1:5" x14ac:dyDescent="0.2">
      <c r="A6494" s="126">
        <v>6433</v>
      </c>
      <c r="B6494" s="1832"/>
      <c r="D6494" s="2" t="str">
        <f t="shared" si="100"/>
        <v>OK</v>
      </c>
      <c r="E6494" s="4" t="s">
        <v>1995</v>
      </c>
    </row>
    <row r="6495" spans="1:5" x14ac:dyDescent="0.2">
      <c r="A6495" s="126">
        <v>6434</v>
      </c>
      <c r="B6495" s="1832"/>
      <c r="D6495" s="2" t="str">
        <f t="shared" si="100"/>
        <v>OK</v>
      </c>
      <c r="E6495" s="4" t="s">
        <v>1995</v>
      </c>
    </row>
    <row r="6496" spans="1:5" x14ac:dyDescent="0.2">
      <c r="A6496" s="126">
        <v>6435</v>
      </c>
      <c r="B6496" s="1832"/>
      <c r="D6496" s="2" t="str">
        <f t="shared" si="100"/>
        <v>OK</v>
      </c>
      <c r="E6496" s="4" t="s">
        <v>1995</v>
      </c>
    </row>
    <row r="6497" spans="1:5" x14ac:dyDescent="0.2">
      <c r="A6497" s="126">
        <v>6436</v>
      </c>
      <c r="B6497" s="1832"/>
      <c r="D6497" s="2" t="str">
        <f t="shared" si="100"/>
        <v>OK</v>
      </c>
      <c r="E6497" s="4" t="s">
        <v>1995</v>
      </c>
    </row>
    <row r="6498" spans="1:5" x14ac:dyDescent="0.2">
      <c r="A6498" s="126">
        <v>6437</v>
      </c>
      <c r="B6498" s="1832"/>
      <c r="D6498" s="2" t="str">
        <f t="shared" si="100"/>
        <v>OK</v>
      </c>
      <c r="E6498" s="4" t="s">
        <v>1995</v>
      </c>
    </row>
    <row r="6499" spans="1:5" x14ac:dyDescent="0.2">
      <c r="A6499" s="126">
        <v>6438</v>
      </c>
      <c r="B6499" s="1832"/>
      <c r="D6499" s="2" t="str">
        <f t="shared" si="100"/>
        <v>OK</v>
      </c>
      <c r="E6499" s="4" t="s">
        <v>1995</v>
      </c>
    </row>
    <row r="6500" spans="1:5" x14ac:dyDescent="0.2">
      <c r="A6500" s="126">
        <v>6439</v>
      </c>
      <c r="B6500" s="1832"/>
      <c r="D6500" s="2" t="str">
        <f t="shared" si="100"/>
        <v>OK</v>
      </c>
      <c r="E6500" s="4" t="s">
        <v>1995</v>
      </c>
    </row>
    <row r="6501" spans="1:5" x14ac:dyDescent="0.2">
      <c r="A6501" s="126">
        <v>6440</v>
      </c>
      <c r="B6501" s="1832"/>
      <c r="D6501" s="2" t="str">
        <f t="shared" si="100"/>
        <v>OK</v>
      </c>
      <c r="E6501" s="4" t="s">
        <v>1995</v>
      </c>
    </row>
    <row r="6502" spans="1:5" x14ac:dyDescent="0.2">
      <c r="A6502" s="126">
        <v>6441</v>
      </c>
      <c r="B6502" s="1832"/>
      <c r="D6502" s="2" t="str">
        <f t="shared" si="100"/>
        <v>OK</v>
      </c>
      <c r="E6502" s="4" t="s">
        <v>1995</v>
      </c>
    </row>
    <row r="6503" spans="1:5" x14ac:dyDescent="0.2">
      <c r="A6503" s="126">
        <v>6442</v>
      </c>
      <c r="B6503" s="1832"/>
      <c r="D6503" s="2" t="str">
        <f t="shared" si="100"/>
        <v>OK</v>
      </c>
      <c r="E6503" s="4" t="s">
        <v>1995</v>
      </c>
    </row>
    <row r="6504" spans="1:5" x14ac:dyDescent="0.2">
      <c r="A6504" s="126">
        <v>6443</v>
      </c>
      <c r="B6504" s="1832"/>
      <c r="D6504" s="2" t="str">
        <f t="shared" si="100"/>
        <v>OK</v>
      </c>
      <c r="E6504" s="4" t="s">
        <v>1995</v>
      </c>
    </row>
    <row r="6505" spans="1:5" x14ac:dyDescent="0.2">
      <c r="A6505" s="126">
        <v>6444</v>
      </c>
      <c r="B6505" s="1832"/>
      <c r="D6505" s="2" t="str">
        <f t="shared" si="100"/>
        <v>OK</v>
      </c>
      <c r="E6505" s="4" t="s">
        <v>1995</v>
      </c>
    </row>
    <row r="6506" spans="1:5" x14ac:dyDescent="0.2">
      <c r="A6506" s="126">
        <v>6445</v>
      </c>
      <c r="B6506" s="1832"/>
      <c r="D6506" s="2" t="str">
        <f t="shared" si="100"/>
        <v>OK</v>
      </c>
      <c r="E6506" s="4" t="s">
        <v>1995</v>
      </c>
    </row>
    <row r="6507" spans="1:5" x14ac:dyDescent="0.2">
      <c r="A6507" s="126">
        <v>6446</v>
      </c>
      <c r="B6507" s="1832"/>
      <c r="D6507" s="2" t="str">
        <f t="shared" si="100"/>
        <v>OK</v>
      </c>
      <c r="E6507" s="4" t="s">
        <v>1995</v>
      </c>
    </row>
    <row r="6508" spans="1:5" x14ac:dyDescent="0.2">
      <c r="A6508" s="126">
        <v>6447</v>
      </c>
      <c r="B6508" s="1832"/>
      <c r="D6508" s="2" t="str">
        <f t="shared" si="100"/>
        <v>OK</v>
      </c>
      <c r="E6508" s="4" t="s">
        <v>1995</v>
      </c>
    </row>
    <row r="6509" spans="1:5" x14ac:dyDescent="0.2">
      <c r="A6509" s="126">
        <v>6448</v>
      </c>
      <c r="B6509" s="1832"/>
      <c r="D6509" s="2" t="str">
        <f t="shared" si="100"/>
        <v>OK</v>
      </c>
      <c r="E6509" s="4" t="s">
        <v>1995</v>
      </c>
    </row>
    <row r="6510" spans="1:5" x14ac:dyDescent="0.2">
      <c r="A6510" s="126">
        <v>6449</v>
      </c>
      <c r="B6510" s="1832"/>
      <c r="D6510" s="2" t="str">
        <f t="shared" si="100"/>
        <v>OK</v>
      </c>
      <c r="E6510" s="4" t="s">
        <v>1995</v>
      </c>
    </row>
    <row r="6511" spans="1:5" x14ac:dyDescent="0.2">
      <c r="A6511" s="126">
        <v>6450</v>
      </c>
      <c r="B6511" s="1832"/>
      <c r="D6511" s="2" t="str">
        <f t="shared" si="100"/>
        <v>OK</v>
      </c>
      <c r="E6511" s="4" t="s">
        <v>1995</v>
      </c>
    </row>
    <row r="6512" spans="1:5" x14ac:dyDescent="0.2">
      <c r="A6512" s="126">
        <v>6451</v>
      </c>
      <c r="B6512" s="1832"/>
      <c r="D6512" s="2" t="str">
        <f t="shared" si="100"/>
        <v>OK</v>
      </c>
      <c r="E6512" s="4" t="s">
        <v>1995</v>
      </c>
    </row>
    <row r="6513" spans="1:5" x14ac:dyDescent="0.2">
      <c r="A6513" s="126">
        <v>6452</v>
      </c>
      <c r="B6513" s="1832"/>
      <c r="D6513" s="2" t="str">
        <f t="shared" si="100"/>
        <v>OK</v>
      </c>
      <c r="E6513" s="4" t="s">
        <v>1995</v>
      </c>
    </row>
    <row r="6514" spans="1:5" x14ac:dyDescent="0.2">
      <c r="A6514" s="126">
        <v>6453</v>
      </c>
      <c r="B6514" s="1832"/>
      <c r="D6514" s="2" t="str">
        <f t="shared" si="100"/>
        <v>OK</v>
      </c>
      <c r="E6514" s="4" t="s">
        <v>1995</v>
      </c>
    </row>
    <row r="6515" spans="1:5" x14ac:dyDescent="0.2">
      <c r="A6515" s="126">
        <v>6454</v>
      </c>
      <c r="B6515" s="1832"/>
      <c r="D6515" s="2" t="str">
        <f t="shared" si="100"/>
        <v>OK</v>
      </c>
      <c r="E6515" s="4" t="s">
        <v>1995</v>
      </c>
    </row>
    <row r="6516" spans="1:5" x14ac:dyDescent="0.2">
      <c r="A6516" s="126">
        <v>6455</v>
      </c>
      <c r="B6516" s="1832"/>
      <c r="D6516" s="2" t="str">
        <f t="shared" si="100"/>
        <v>OK</v>
      </c>
      <c r="E6516" s="4" t="s">
        <v>1995</v>
      </c>
    </row>
    <row r="6517" spans="1:5" x14ac:dyDescent="0.2">
      <c r="A6517" s="126">
        <v>6456</v>
      </c>
      <c r="B6517" s="1832"/>
      <c r="D6517" s="2" t="str">
        <f t="shared" si="100"/>
        <v>OK</v>
      </c>
      <c r="E6517" s="4" t="s">
        <v>1995</v>
      </c>
    </row>
    <row r="6518" spans="1:5" x14ac:dyDescent="0.2">
      <c r="A6518" s="126">
        <v>6457</v>
      </c>
      <c r="B6518" s="1832"/>
      <c r="D6518" s="2" t="str">
        <f t="shared" si="100"/>
        <v>OK</v>
      </c>
      <c r="E6518" s="4" t="s">
        <v>1995</v>
      </c>
    </row>
    <row r="6519" spans="1:5" x14ac:dyDescent="0.2">
      <c r="A6519" s="126">
        <v>6458</v>
      </c>
      <c r="B6519" s="1832"/>
      <c r="D6519" s="2" t="str">
        <f t="shared" si="100"/>
        <v>OK</v>
      </c>
      <c r="E6519" s="4" t="s">
        <v>1995</v>
      </c>
    </row>
    <row r="6520" spans="1:5" x14ac:dyDescent="0.2">
      <c r="A6520" s="126">
        <v>6459</v>
      </c>
      <c r="B6520" s="1832"/>
      <c r="D6520" s="2" t="str">
        <f t="shared" si="100"/>
        <v>OK</v>
      </c>
      <c r="E6520" s="4" t="s">
        <v>1995</v>
      </c>
    </row>
    <row r="6521" spans="1:5" x14ac:dyDescent="0.2">
      <c r="A6521" s="126">
        <v>6460</v>
      </c>
      <c r="B6521" s="1832"/>
      <c r="D6521" s="2" t="str">
        <f t="shared" si="100"/>
        <v>OK</v>
      </c>
      <c r="E6521" s="4" t="s">
        <v>1995</v>
      </c>
    </row>
    <row r="6522" spans="1:5" x14ac:dyDescent="0.2">
      <c r="A6522" s="126">
        <v>6461</v>
      </c>
      <c r="B6522" s="1832"/>
      <c r="D6522" s="2" t="str">
        <f t="shared" si="100"/>
        <v>OK</v>
      </c>
      <c r="E6522" s="4" t="s">
        <v>1995</v>
      </c>
    </row>
    <row r="6523" spans="1:5" x14ac:dyDescent="0.2">
      <c r="A6523" s="126">
        <v>6462</v>
      </c>
      <c r="B6523" s="1832"/>
      <c r="D6523" s="2" t="str">
        <f t="shared" si="100"/>
        <v>OK</v>
      </c>
      <c r="E6523" s="4" t="s">
        <v>1995</v>
      </c>
    </row>
    <row r="6524" spans="1:5" x14ac:dyDescent="0.2">
      <c r="A6524" s="126">
        <v>6463</v>
      </c>
      <c r="B6524" s="1832"/>
      <c r="D6524" s="2" t="str">
        <f t="shared" si="100"/>
        <v>OK</v>
      </c>
      <c r="E6524" s="4" t="s">
        <v>1995</v>
      </c>
    </row>
    <row r="6525" spans="1:5" x14ac:dyDescent="0.2">
      <c r="A6525" s="126">
        <v>6464</v>
      </c>
      <c r="B6525" s="1832"/>
      <c r="D6525" s="2" t="str">
        <f t="shared" si="100"/>
        <v>OK</v>
      </c>
      <c r="E6525" s="4" t="s">
        <v>1995</v>
      </c>
    </row>
    <row r="6526" spans="1:5" x14ac:dyDescent="0.2">
      <c r="A6526" s="126">
        <v>6465</v>
      </c>
      <c r="B6526" s="1832"/>
      <c r="D6526" s="2" t="str">
        <f t="shared" si="100"/>
        <v>OK</v>
      </c>
      <c r="E6526" s="4" t="s">
        <v>1995</v>
      </c>
    </row>
    <row r="6527" spans="1:5" x14ac:dyDescent="0.2">
      <c r="A6527" s="126">
        <v>6466</v>
      </c>
      <c r="B6527" s="1832"/>
      <c r="D6527" s="2" t="str">
        <f t="shared" ref="D6527:D6590" si="101">IF(ISBLANK(B6527),"OK",IF(A6527-B6527=0,"OK","Error?"))</f>
        <v>OK</v>
      </c>
      <c r="E6527" s="4" t="s">
        <v>1995</v>
      </c>
    </row>
    <row r="6528" spans="1:5" x14ac:dyDescent="0.2">
      <c r="A6528" s="126">
        <v>6467</v>
      </c>
      <c r="B6528" s="1832"/>
      <c r="D6528" s="2" t="str">
        <f t="shared" si="101"/>
        <v>OK</v>
      </c>
      <c r="E6528" s="4" t="s">
        <v>1995</v>
      </c>
    </row>
    <row r="6529" spans="1:5" x14ac:dyDescent="0.2">
      <c r="A6529" s="126">
        <v>6468</v>
      </c>
      <c r="B6529" s="1832"/>
      <c r="D6529" s="2" t="str">
        <f t="shared" si="101"/>
        <v>OK</v>
      </c>
      <c r="E6529" s="4" t="s">
        <v>1995</v>
      </c>
    </row>
    <row r="6530" spans="1:5" x14ac:dyDescent="0.2">
      <c r="A6530" s="126">
        <v>6469</v>
      </c>
      <c r="B6530" s="1832"/>
      <c r="D6530" s="2" t="str">
        <f t="shared" si="101"/>
        <v>OK</v>
      </c>
      <c r="E6530" s="4" t="s">
        <v>1995</v>
      </c>
    </row>
    <row r="6531" spans="1:5" x14ac:dyDescent="0.2">
      <c r="A6531" s="126">
        <v>6470</v>
      </c>
      <c r="B6531" s="1832"/>
      <c r="D6531" s="2" t="str">
        <f t="shared" si="101"/>
        <v>OK</v>
      </c>
      <c r="E6531" s="4" t="s">
        <v>1995</v>
      </c>
    </row>
    <row r="6532" spans="1:5" x14ac:dyDescent="0.2">
      <c r="A6532" s="126">
        <v>6471</v>
      </c>
      <c r="B6532" s="1832"/>
      <c r="D6532" s="2" t="str">
        <f t="shared" si="101"/>
        <v>OK</v>
      </c>
      <c r="E6532" s="4" t="s">
        <v>1995</v>
      </c>
    </row>
    <row r="6533" spans="1:5" x14ac:dyDescent="0.2">
      <c r="A6533" s="126">
        <v>6472</v>
      </c>
      <c r="B6533" s="1832"/>
      <c r="D6533" s="2" t="str">
        <f t="shared" si="101"/>
        <v>OK</v>
      </c>
      <c r="E6533" s="4" t="s">
        <v>1995</v>
      </c>
    </row>
    <row r="6534" spans="1:5" x14ac:dyDescent="0.2">
      <c r="A6534" s="126">
        <v>6473</v>
      </c>
      <c r="B6534" s="1832"/>
      <c r="D6534" s="2" t="str">
        <f t="shared" si="101"/>
        <v>OK</v>
      </c>
      <c r="E6534" s="4" t="s">
        <v>1995</v>
      </c>
    </row>
    <row r="6535" spans="1:5" x14ac:dyDescent="0.2">
      <c r="A6535" s="126">
        <v>6474</v>
      </c>
      <c r="B6535" s="1832"/>
      <c r="D6535" s="2" t="str">
        <f t="shared" si="101"/>
        <v>OK</v>
      </c>
      <c r="E6535" s="4" t="s">
        <v>1995</v>
      </c>
    </row>
    <row r="6536" spans="1:5" x14ac:dyDescent="0.2">
      <c r="A6536" s="126">
        <v>6475</v>
      </c>
      <c r="B6536" s="1832"/>
      <c r="D6536" s="2" t="str">
        <f t="shared" si="101"/>
        <v>OK</v>
      </c>
      <c r="E6536" s="4" t="s">
        <v>1995</v>
      </c>
    </row>
    <row r="6537" spans="1:5" x14ac:dyDescent="0.2">
      <c r="A6537" s="126">
        <v>6476</v>
      </c>
      <c r="B6537" s="1832"/>
      <c r="D6537" s="2" t="str">
        <f t="shared" si="101"/>
        <v>OK</v>
      </c>
      <c r="E6537" s="4" t="s">
        <v>1995</v>
      </c>
    </row>
    <row r="6538" spans="1:5" x14ac:dyDescent="0.2">
      <c r="A6538" s="126">
        <v>6477</v>
      </c>
      <c r="B6538" s="1832"/>
      <c r="D6538" s="2" t="str">
        <f t="shared" si="101"/>
        <v>OK</v>
      </c>
      <c r="E6538" s="4" t="s">
        <v>1995</v>
      </c>
    </row>
    <row r="6539" spans="1:5" x14ac:dyDescent="0.2">
      <c r="A6539" s="126">
        <v>6478</v>
      </c>
      <c r="B6539" s="1832"/>
      <c r="D6539" s="2" t="str">
        <f t="shared" si="101"/>
        <v>OK</v>
      </c>
      <c r="E6539" s="4" t="s">
        <v>1995</v>
      </c>
    </row>
    <row r="6540" spans="1:5" x14ac:dyDescent="0.2">
      <c r="A6540" s="126">
        <v>6479</v>
      </c>
      <c r="B6540" s="1832"/>
      <c r="D6540" s="2" t="str">
        <f t="shared" si="101"/>
        <v>OK</v>
      </c>
      <c r="E6540" s="4" t="s">
        <v>1995</v>
      </c>
    </row>
    <row r="6541" spans="1:5" x14ac:dyDescent="0.2">
      <c r="A6541" s="126">
        <v>6480</v>
      </c>
      <c r="B6541" s="1832"/>
      <c r="D6541" s="2" t="str">
        <f t="shared" si="101"/>
        <v>OK</v>
      </c>
      <c r="E6541" s="4" t="s">
        <v>1995</v>
      </c>
    </row>
    <row r="6542" spans="1:5" x14ac:dyDescent="0.2">
      <c r="A6542" s="126">
        <v>6481</v>
      </c>
      <c r="B6542" s="1832"/>
      <c r="D6542" s="2" t="str">
        <f t="shared" si="101"/>
        <v>OK</v>
      </c>
      <c r="E6542" s="4" t="s">
        <v>1995</v>
      </c>
    </row>
    <row r="6543" spans="1:5" x14ac:dyDescent="0.2">
      <c r="A6543" s="126">
        <v>6482</v>
      </c>
      <c r="B6543" s="1832"/>
      <c r="D6543" s="2" t="str">
        <f t="shared" si="101"/>
        <v>OK</v>
      </c>
      <c r="E6543" s="4" t="s">
        <v>1995</v>
      </c>
    </row>
    <row r="6544" spans="1:5" x14ac:dyDescent="0.2">
      <c r="A6544" s="126">
        <v>6483</v>
      </c>
      <c r="B6544" s="1832"/>
      <c r="D6544" s="2" t="str">
        <f t="shared" si="101"/>
        <v>OK</v>
      </c>
      <c r="E6544" s="4" t="s">
        <v>1995</v>
      </c>
    </row>
    <row r="6545" spans="1:5" x14ac:dyDescent="0.2">
      <c r="A6545" s="126">
        <v>6484</v>
      </c>
      <c r="B6545" s="1832"/>
      <c r="D6545" s="2" t="str">
        <f t="shared" si="101"/>
        <v>OK</v>
      </c>
      <c r="E6545" s="4" t="s">
        <v>1995</v>
      </c>
    </row>
    <row r="6546" spans="1:5" x14ac:dyDescent="0.2">
      <c r="A6546" s="126">
        <v>6485</v>
      </c>
      <c r="B6546" s="1832"/>
      <c r="D6546" s="2" t="str">
        <f t="shared" si="101"/>
        <v>OK</v>
      </c>
      <c r="E6546" s="4" t="s">
        <v>1995</v>
      </c>
    </row>
    <row r="6547" spans="1:5" x14ac:dyDescent="0.2">
      <c r="A6547" s="126">
        <v>6486</v>
      </c>
      <c r="B6547" s="1832"/>
      <c r="D6547" s="2" t="str">
        <f t="shared" si="101"/>
        <v>OK</v>
      </c>
      <c r="E6547" s="4" t="s">
        <v>1995</v>
      </c>
    </row>
    <row r="6548" spans="1:5" x14ac:dyDescent="0.2">
      <c r="A6548" s="126">
        <v>6487</v>
      </c>
      <c r="B6548" s="1832"/>
      <c r="D6548" s="2" t="str">
        <f t="shared" si="101"/>
        <v>OK</v>
      </c>
      <c r="E6548" s="4" t="s">
        <v>1995</v>
      </c>
    </row>
    <row r="6549" spans="1:5" x14ac:dyDescent="0.2">
      <c r="A6549" s="126">
        <v>6488</v>
      </c>
      <c r="B6549" s="1832"/>
      <c r="D6549" s="2" t="str">
        <f t="shared" si="101"/>
        <v>OK</v>
      </c>
      <c r="E6549" s="4" t="s">
        <v>1995</v>
      </c>
    </row>
    <row r="6550" spans="1:5" x14ac:dyDescent="0.2">
      <c r="A6550" s="126">
        <v>6489</v>
      </c>
      <c r="B6550" s="1832"/>
      <c r="D6550" s="2" t="str">
        <f t="shared" si="101"/>
        <v>OK</v>
      </c>
      <c r="E6550" s="4" t="s">
        <v>1995</v>
      </c>
    </row>
    <row r="6551" spans="1:5" x14ac:dyDescent="0.2">
      <c r="A6551" s="126">
        <v>6490</v>
      </c>
      <c r="B6551" s="1832"/>
      <c r="D6551" s="2" t="str">
        <f t="shared" si="101"/>
        <v>OK</v>
      </c>
      <c r="E6551" s="4" t="s">
        <v>1995</v>
      </c>
    </row>
    <row r="6552" spans="1:5" x14ac:dyDescent="0.2">
      <c r="A6552" s="126">
        <v>6491</v>
      </c>
      <c r="B6552" s="1832"/>
      <c r="D6552" s="2" t="str">
        <f t="shared" si="101"/>
        <v>OK</v>
      </c>
      <c r="E6552" s="4" t="s">
        <v>1995</v>
      </c>
    </row>
    <row r="6553" spans="1:5" x14ac:dyDescent="0.2">
      <c r="A6553" s="126">
        <v>6492</v>
      </c>
      <c r="B6553" s="1832"/>
      <c r="D6553" s="2" t="str">
        <f t="shared" si="101"/>
        <v>OK</v>
      </c>
      <c r="E6553" s="4" t="s">
        <v>1995</v>
      </c>
    </row>
    <row r="6554" spans="1:5" x14ac:dyDescent="0.2">
      <c r="A6554" s="126">
        <v>6493</v>
      </c>
      <c r="B6554" s="1832"/>
      <c r="D6554" s="2" t="str">
        <f t="shared" si="101"/>
        <v>OK</v>
      </c>
      <c r="E6554" s="4" t="s">
        <v>1995</v>
      </c>
    </row>
    <row r="6555" spans="1:5" x14ac:dyDescent="0.2">
      <c r="A6555" s="126">
        <v>6494</v>
      </c>
      <c r="B6555" s="1832"/>
      <c r="D6555" s="2" t="str">
        <f t="shared" si="101"/>
        <v>OK</v>
      </c>
      <c r="E6555" s="4" t="s">
        <v>1995</v>
      </c>
    </row>
    <row r="6556" spans="1:5" x14ac:dyDescent="0.2">
      <c r="A6556" s="126">
        <v>6495</v>
      </c>
      <c r="B6556" s="1832"/>
      <c r="D6556" s="2" t="str">
        <f t="shared" si="101"/>
        <v>OK</v>
      </c>
      <c r="E6556" s="4" t="s">
        <v>1995</v>
      </c>
    </row>
    <row r="6557" spans="1:5" x14ac:dyDescent="0.2">
      <c r="A6557" s="126">
        <v>6496</v>
      </c>
      <c r="B6557" s="1832"/>
      <c r="D6557" s="2" t="str">
        <f t="shared" si="101"/>
        <v>OK</v>
      </c>
      <c r="E6557" s="4" t="s">
        <v>1995</v>
      </c>
    </row>
    <row r="6558" spans="1:5" x14ac:dyDescent="0.2">
      <c r="A6558" s="126">
        <v>6497</v>
      </c>
      <c r="B6558" s="1832"/>
      <c r="D6558" s="2" t="str">
        <f t="shared" si="101"/>
        <v>OK</v>
      </c>
      <c r="E6558" s="4" t="s">
        <v>1995</v>
      </c>
    </row>
    <row r="6559" spans="1:5" x14ac:dyDescent="0.2">
      <c r="A6559" s="126">
        <v>6498</v>
      </c>
      <c r="B6559" s="1832"/>
      <c r="D6559" s="2" t="str">
        <f t="shared" si="101"/>
        <v>OK</v>
      </c>
      <c r="E6559" s="4" t="s">
        <v>1995</v>
      </c>
    </row>
    <row r="6560" spans="1:5" x14ac:dyDescent="0.2">
      <c r="A6560" s="126">
        <v>6499</v>
      </c>
      <c r="B6560" s="1832"/>
      <c r="D6560" s="2" t="str">
        <f t="shared" si="101"/>
        <v>OK</v>
      </c>
      <c r="E6560" s="4" t="s">
        <v>1995</v>
      </c>
    </row>
    <row r="6561" spans="1:5" x14ac:dyDescent="0.2">
      <c r="A6561" s="126">
        <v>6500</v>
      </c>
      <c r="B6561" s="1832"/>
      <c r="D6561" s="2" t="str">
        <f t="shared" si="101"/>
        <v>OK</v>
      </c>
      <c r="E6561" s="4" t="s">
        <v>1995</v>
      </c>
    </row>
    <row r="6562" spans="1:5" x14ac:dyDescent="0.2">
      <c r="A6562" s="126">
        <v>6501</v>
      </c>
      <c r="B6562" s="1832"/>
      <c r="D6562" s="2" t="str">
        <f t="shared" si="101"/>
        <v>OK</v>
      </c>
      <c r="E6562" s="4" t="s">
        <v>1995</v>
      </c>
    </row>
    <row r="6563" spans="1:5" x14ac:dyDescent="0.2">
      <c r="A6563" s="126">
        <v>6502</v>
      </c>
      <c r="B6563" s="1832"/>
      <c r="D6563" s="2" t="str">
        <f t="shared" si="101"/>
        <v>OK</v>
      </c>
      <c r="E6563" s="4" t="s">
        <v>1995</v>
      </c>
    </row>
    <row r="6564" spans="1:5" x14ac:dyDescent="0.2">
      <c r="A6564" s="126">
        <v>6503</v>
      </c>
      <c r="B6564" s="1832"/>
      <c r="D6564" s="2" t="str">
        <f t="shared" si="101"/>
        <v>OK</v>
      </c>
      <c r="E6564" s="4" t="s">
        <v>1995</v>
      </c>
    </row>
    <row r="6565" spans="1:5" x14ac:dyDescent="0.2">
      <c r="A6565" s="126">
        <v>6504</v>
      </c>
      <c r="B6565" s="1832"/>
      <c r="D6565" s="2" t="str">
        <f t="shared" si="101"/>
        <v>OK</v>
      </c>
      <c r="E6565" s="4" t="s">
        <v>1995</v>
      </c>
    </row>
    <row r="6566" spans="1:5" x14ac:dyDescent="0.2">
      <c r="A6566" s="126">
        <v>6505</v>
      </c>
      <c r="B6566" s="1832"/>
      <c r="D6566" s="2" t="str">
        <f t="shared" si="101"/>
        <v>OK</v>
      </c>
      <c r="E6566" s="4" t="s">
        <v>1995</v>
      </c>
    </row>
    <row r="6567" spans="1:5" x14ac:dyDescent="0.2">
      <c r="A6567" s="126">
        <v>6506</v>
      </c>
      <c r="B6567" s="1832"/>
      <c r="D6567" s="2" t="str">
        <f t="shared" si="101"/>
        <v>OK</v>
      </c>
      <c r="E6567" s="4" t="s">
        <v>1995</v>
      </c>
    </row>
    <row r="6568" spans="1:5" x14ac:dyDescent="0.2">
      <c r="A6568" s="126">
        <v>6507</v>
      </c>
      <c r="B6568" s="1832"/>
      <c r="D6568" s="2" t="str">
        <f t="shared" si="101"/>
        <v>OK</v>
      </c>
      <c r="E6568" s="4" t="s">
        <v>1995</v>
      </c>
    </row>
    <row r="6569" spans="1:5" x14ac:dyDescent="0.2">
      <c r="A6569" s="126">
        <v>6508</v>
      </c>
      <c r="B6569" s="1832"/>
      <c r="D6569" s="2" t="str">
        <f t="shared" si="101"/>
        <v>OK</v>
      </c>
      <c r="E6569" s="4" t="s">
        <v>1995</v>
      </c>
    </row>
    <row r="6570" spans="1:5" x14ac:dyDescent="0.2">
      <c r="A6570" s="126">
        <v>6509</v>
      </c>
      <c r="B6570" s="1832"/>
      <c r="D6570" s="2" t="str">
        <f t="shared" si="101"/>
        <v>OK</v>
      </c>
      <c r="E6570" s="4" t="s">
        <v>1995</v>
      </c>
    </row>
    <row r="6571" spans="1:5" x14ac:dyDescent="0.2">
      <c r="A6571" s="126">
        <v>6510</v>
      </c>
      <c r="B6571" s="1832"/>
      <c r="D6571" s="2" t="str">
        <f t="shared" si="101"/>
        <v>OK</v>
      </c>
      <c r="E6571" s="4" t="s">
        <v>1995</v>
      </c>
    </row>
    <row r="6572" spans="1:5" x14ac:dyDescent="0.2">
      <c r="A6572" s="126">
        <v>6511</v>
      </c>
      <c r="B6572" s="1832"/>
      <c r="D6572" s="2" t="str">
        <f t="shared" si="101"/>
        <v>OK</v>
      </c>
      <c r="E6572" s="4" t="s">
        <v>1995</v>
      </c>
    </row>
    <row r="6573" spans="1:5" x14ac:dyDescent="0.2">
      <c r="A6573" s="126">
        <v>6512</v>
      </c>
      <c r="B6573" s="1832"/>
      <c r="D6573" s="2" t="str">
        <f t="shared" si="101"/>
        <v>OK</v>
      </c>
      <c r="E6573" s="4" t="s">
        <v>1995</v>
      </c>
    </row>
    <row r="6574" spans="1:5" x14ac:dyDescent="0.2">
      <c r="A6574" s="126">
        <v>6513</v>
      </c>
      <c r="B6574" s="1832"/>
      <c r="D6574" s="2" t="str">
        <f t="shared" si="101"/>
        <v>OK</v>
      </c>
      <c r="E6574" s="4" t="s">
        <v>1995</v>
      </c>
    </row>
    <row r="6575" spans="1:5" x14ac:dyDescent="0.2">
      <c r="A6575" s="126">
        <v>6514</v>
      </c>
      <c r="B6575" s="1832"/>
      <c r="D6575" s="2" t="str">
        <f t="shared" si="101"/>
        <v>OK</v>
      </c>
      <c r="E6575" s="4" t="s">
        <v>1995</v>
      </c>
    </row>
    <row r="6576" spans="1:5" x14ac:dyDescent="0.2">
      <c r="A6576" s="126">
        <v>6515</v>
      </c>
      <c r="B6576" s="1832"/>
      <c r="D6576" s="2" t="str">
        <f t="shared" si="101"/>
        <v>OK</v>
      </c>
      <c r="E6576" s="4" t="s">
        <v>1995</v>
      </c>
    </row>
    <row r="6577" spans="1:5" x14ac:dyDescent="0.2">
      <c r="A6577" s="126">
        <v>6516</v>
      </c>
      <c r="B6577" s="1832"/>
      <c r="D6577" s="2" t="str">
        <f t="shared" si="101"/>
        <v>OK</v>
      </c>
      <c r="E6577" s="4" t="s">
        <v>1995</v>
      </c>
    </row>
    <row r="6578" spans="1:5" x14ac:dyDescent="0.2">
      <c r="A6578" s="126">
        <v>6517</v>
      </c>
      <c r="B6578" s="1832"/>
      <c r="D6578" s="2" t="str">
        <f t="shared" si="101"/>
        <v>OK</v>
      </c>
      <c r="E6578" s="4" t="s">
        <v>1995</v>
      </c>
    </row>
    <row r="6579" spans="1:5" x14ac:dyDescent="0.2">
      <c r="A6579" s="126">
        <v>6518</v>
      </c>
      <c r="B6579" s="1832"/>
      <c r="D6579" s="2" t="str">
        <f t="shared" si="101"/>
        <v>OK</v>
      </c>
      <c r="E6579" s="4" t="s">
        <v>1995</v>
      </c>
    </row>
    <row r="6580" spans="1:5" x14ac:dyDescent="0.2">
      <c r="A6580" s="126">
        <v>6519</v>
      </c>
      <c r="B6580" s="1832"/>
      <c r="D6580" s="2" t="str">
        <f t="shared" si="101"/>
        <v>OK</v>
      </c>
      <c r="E6580" s="4" t="s">
        <v>1995</v>
      </c>
    </row>
    <row r="6581" spans="1:5" x14ac:dyDescent="0.2">
      <c r="A6581" s="126">
        <v>6520</v>
      </c>
      <c r="B6581" s="1832"/>
      <c r="D6581" s="2" t="str">
        <f t="shared" si="101"/>
        <v>OK</v>
      </c>
      <c r="E6581" s="4" t="s">
        <v>1995</v>
      </c>
    </row>
    <row r="6582" spans="1:5" x14ac:dyDescent="0.2">
      <c r="A6582" s="126">
        <v>6521</v>
      </c>
      <c r="B6582" s="1832"/>
      <c r="D6582" s="2" t="str">
        <f t="shared" si="101"/>
        <v>OK</v>
      </c>
      <c r="E6582" s="4" t="s">
        <v>1995</v>
      </c>
    </row>
    <row r="6583" spans="1:5" x14ac:dyDescent="0.2">
      <c r="A6583" s="126">
        <v>6522</v>
      </c>
      <c r="B6583" s="1832"/>
      <c r="D6583" s="2" t="str">
        <f t="shared" si="101"/>
        <v>OK</v>
      </c>
      <c r="E6583" s="4" t="s">
        <v>1995</v>
      </c>
    </row>
    <row r="6584" spans="1:5" x14ac:dyDescent="0.2">
      <c r="A6584" s="126">
        <v>6523</v>
      </c>
      <c r="B6584" s="1832"/>
      <c r="D6584" s="2" t="str">
        <f t="shared" si="101"/>
        <v>OK</v>
      </c>
      <c r="E6584" s="4" t="s">
        <v>1995</v>
      </c>
    </row>
    <row r="6585" spans="1:5" x14ac:dyDescent="0.2">
      <c r="A6585" s="126">
        <v>6524</v>
      </c>
      <c r="B6585" s="1832"/>
      <c r="D6585" s="2" t="str">
        <f t="shared" si="101"/>
        <v>OK</v>
      </c>
      <c r="E6585" s="4" t="s">
        <v>1995</v>
      </c>
    </row>
    <row r="6586" spans="1:5" x14ac:dyDescent="0.2">
      <c r="A6586" s="126">
        <v>6525</v>
      </c>
      <c r="B6586" s="1832"/>
      <c r="D6586" s="2" t="str">
        <f t="shared" si="101"/>
        <v>OK</v>
      </c>
      <c r="E6586" s="4" t="s">
        <v>1995</v>
      </c>
    </row>
    <row r="6587" spans="1:5" x14ac:dyDescent="0.2">
      <c r="A6587" s="126">
        <v>6526</v>
      </c>
      <c r="B6587" s="1832"/>
      <c r="D6587" s="2" t="str">
        <f t="shared" si="101"/>
        <v>OK</v>
      </c>
      <c r="E6587" s="4" t="s">
        <v>1995</v>
      </c>
    </row>
    <row r="6588" spans="1:5" x14ac:dyDescent="0.2">
      <c r="A6588" s="126">
        <v>6527</v>
      </c>
      <c r="B6588" s="1832"/>
      <c r="D6588" s="2" t="str">
        <f t="shared" si="101"/>
        <v>OK</v>
      </c>
      <c r="E6588" s="4" t="s">
        <v>1995</v>
      </c>
    </row>
    <row r="6589" spans="1:5" x14ac:dyDescent="0.2">
      <c r="A6589" s="126">
        <v>6528</v>
      </c>
      <c r="B6589" s="1832"/>
      <c r="D6589" s="2" t="str">
        <f t="shared" si="101"/>
        <v>OK</v>
      </c>
      <c r="E6589" s="4" t="s">
        <v>1995</v>
      </c>
    </row>
    <row r="6590" spans="1:5" x14ac:dyDescent="0.2">
      <c r="A6590" s="126">
        <v>6529</v>
      </c>
      <c r="B6590" s="1832"/>
      <c r="D6590" s="2" t="str">
        <f t="shared" si="101"/>
        <v>OK</v>
      </c>
      <c r="E6590" s="4" t="s">
        <v>1995</v>
      </c>
    </row>
    <row r="6591" spans="1:5" x14ac:dyDescent="0.2">
      <c r="A6591" s="126">
        <v>6530</v>
      </c>
      <c r="B6591" s="1832"/>
      <c r="D6591" s="2" t="str">
        <f t="shared" ref="D6591:D6654" si="102">IF(ISBLANK(B6591),"OK",IF(A6591-B6591=0,"OK","Error?"))</f>
        <v>OK</v>
      </c>
      <c r="E6591" s="4" t="s">
        <v>1995</v>
      </c>
    </row>
    <row r="6592" spans="1:5" x14ac:dyDescent="0.2">
      <c r="A6592" s="126">
        <v>6531</v>
      </c>
      <c r="B6592" s="1832"/>
      <c r="D6592" s="2" t="str">
        <f t="shared" si="102"/>
        <v>OK</v>
      </c>
      <c r="E6592" s="4" t="s">
        <v>1995</v>
      </c>
    </row>
    <row r="6593" spans="1:5" x14ac:dyDescent="0.2">
      <c r="A6593" s="126">
        <v>6532</v>
      </c>
      <c r="B6593" s="1832"/>
      <c r="D6593" s="2" t="str">
        <f t="shared" si="102"/>
        <v>OK</v>
      </c>
      <c r="E6593" s="4" t="s">
        <v>1995</v>
      </c>
    </row>
    <row r="6594" spans="1:5" x14ac:dyDescent="0.2">
      <c r="A6594" s="126">
        <v>6533</v>
      </c>
      <c r="B6594" s="1832"/>
      <c r="D6594" s="2" t="str">
        <f t="shared" si="102"/>
        <v>OK</v>
      </c>
      <c r="E6594" s="4" t="s">
        <v>1995</v>
      </c>
    </row>
    <row r="6595" spans="1:5" x14ac:dyDescent="0.2">
      <c r="A6595" s="126">
        <v>6534</v>
      </c>
      <c r="B6595" s="1832"/>
      <c r="D6595" s="2" t="str">
        <f t="shared" si="102"/>
        <v>OK</v>
      </c>
      <c r="E6595" s="4" t="s">
        <v>1995</v>
      </c>
    </row>
    <row r="6596" spans="1:5" x14ac:dyDescent="0.2">
      <c r="A6596" s="126">
        <v>6535</v>
      </c>
      <c r="B6596" s="1832"/>
      <c r="D6596" s="2" t="str">
        <f t="shared" si="102"/>
        <v>OK</v>
      </c>
      <c r="E6596" s="4" t="s">
        <v>1995</v>
      </c>
    </row>
    <row r="6597" spans="1:5" x14ac:dyDescent="0.2">
      <c r="A6597" s="126">
        <v>6536</v>
      </c>
      <c r="B6597" s="1832"/>
      <c r="D6597" s="2" t="str">
        <f t="shared" si="102"/>
        <v>OK</v>
      </c>
      <c r="E6597" s="4" t="s">
        <v>1995</v>
      </c>
    </row>
    <row r="6598" spans="1:5" x14ac:dyDescent="0.2">
      <c r="A6598" s="126">
        <v>6537</v>
      </c>
      <c r="B6598" s="1832"/>
      <c r="D6598" s="2" t="str">
        <f t="shared" si="102"/>
        <v>OK</v>
      </c>
      <c r="E6598" s="4" t="s">
        <v>1995</v>
      </c>
    </row>
    <row r="6599" spans="1:5" x14ac:dyDescent="0.2">
      <c r="A6599" s="126">
        <v>6538</v>
      </c>
      <c r="B6599" s="1832"/>
      <c r="D6599" s="2" t="str">
        <f t="shared" si="102"/>
        <v>OK</v>
      </c>
      <c r="E6599" s="4" t="s">
        <v>1995</v>
      </c>
    </row>
    <row r="6600" spans="1:5" x14ac:dyDescent="0.2">
      <c r="A6600" s="126">
        <v>6539</v>
      </c>
      <c r="B6600" s="1832"/>
      <c r="D6600" s="2" t="str">
        <f t="shared" si="102"/>
        <v>OK</v>
      </c>
      <c r="E6600" s="4" t="s">
        <v>1995</v>
      </c>
    </row>
    <row r="6601" spans="1:5" x14ac:dyDescent="0.2">
      <c r="A6601" s="126">
        <v>6540</v>
      </c>
      <c r="B6601" s="1832"/>
      <c r="D6601" s="2" t="str">
        <f t="shared" si="102"/>
        <v>OK</v>
      </c>
      <c r="E6601" s="4" t="s">
        <v>1995</v>
      </c>
    </row>
    <row r="6602" spans="1:5" x14ac:dyDescent="0.2">
      <c r="A6602" s="126">
        <v>6541</v>
      </c>
      <c r="B6602" s="1832"/>
      <c r="D6602" s="2" t="str">
        <f t="shared" si="102"/>
        <v>OK</v>
      </c>
      <c r="E6602" s="4" t="s">
        <v>1995</v>
      </c>
    </row>
    <row r="6603" spans="1:5" x14ac:dyDescent="0.2">
      <c r="A6603" s="126">
        <v>6542</v>
      </c>
      <c r="B6603" s="1832"/>
      <c r="D6603" s="2" t="str">
        <f t="shared" si="102"/>
        <v>OK</v>
      </c>
      <c r="E6603" s="4" t="s">
        <v>1995</v>
      </c>
    </row>
    <row r="6604" spans="1:5" x14ac:dyDescent="0.2">
      <c r="A6604" s="126">
        <v>6543</v>
      </c>
      <c r="B6604" s="1832"/>
      <c r="D6604" s="2" t="str">
        <f t="shared" si="102"/>
        <v>OK</v>
      </c>
      <c r="E6604" s="4" t="s">
        <v>1995</v>
      </c>
    </row>
    <row r="6605" spans="1:5" x14ac:dyDescent="0.2">
      <c r="A6605" s="126">
        <v>6544</v>
      </c>
      <c r="B6605" s="1832"/>
      <c r="D6605" s="2" t="str">
        <f t="shared" si="102"/>
        <v>OK</v>
      </c>
      <c r="E6605" s="4" t="s">
        <v>1995</v>
      </c>
    </row>
    <row r="6606" spans="1:5" x14ac:dyDescent="0.2">
      <c r="A6606" s="126">
        <v>6545</v>
      </c>
      <c r="B6606" s="1832"/>
      <c r="D6606" s="2" t="str">
        <f t="shared" si="102"/>
        <v>OK</v>
      </c>
      <c r="E6606" s="4" t="s">
        <v>1995</v>
      </c>
    </row>
    <row r="6607" spans="1:5" x14ac:dyDescent="0.2">
      <c r="A6607" s="126">
        <v>6546</v>
      </c>
      <c r="B6607" s="1832"/>
      <c r="D6607" s="2" t="str">
        <f t="shared" si="102"/>
        <v>OK</v>
      </c>
      <c r="E6607" s="4" t="s">
        <v>1995</v>
      </c>
    </row>
    <row r="6608" spans="1:5" x14ac:dyDescent="0.2">
      <c r="A6608" s="126">
        <v>6547</v>
      </c>
      <c r="B6608" s="1832"/>
      <c r="D6608" s="2" t="str">
        <f t="shared" si="102"/>
        <v>OK</v>
      </c>
      <c r="E6608" s="4" t="s">
        <v>1995</v>
      </c>
    </row>
    <row r="6609" spans="1:5" x14ac:dyDescent="0.2">
      <c r="A6609" s="126">
        <v>6548</v>
      </c>
      <c r="B6609" s="1832"/>
      <c r="D6609" s="2" t="str">
        <f t="shared" si="102"/>
        <v>OK</v>
      </c>
      <c r="E6609" s="4" t="s">
        <v>1995</v>
      </c>
    </row>
    <row r="6610" spans="1:5" x14ac:dyDescent="0.2">
      <c r="A6610" s="126">
        <v>6549</v>
      </c>
      <c r="B6610" s="1832"/>
      <c r="D6610" s="2" t="str">
        <f t="shared" si="102"/>
        <v>OK</v>
      </c>
      <c r="E6610" s="4" t="s">
        <v>1995</v>
      </c>
    </row>
    <row r="6611" spans="1:5" x14ac:dyDescent="0.2">
      <c r="A6611" s="126">
        <v>6550</v>
      </c>
      <c r="B6611" s="1832"/>
      <c r="D6611" s="2" t="str">
        <f t="shared" si="102"/>
        <v>OK</v>
      </c>
      <c r="E6611" s="4" t="s">
        <v>1995</v>
      </c>
    </row>
    <row r="6612" spans="1:5" x14ac:dyDescent="0.2">
      <c r="A6612" s="126">
        <v>6551</v>
      </c>
      <c r="B6612" s="1832"/>
      <c r="D6612" s="2" t="str">
        <f t="shared" si="102"/>
        <v>OK</v>
      </c>
      <c r="E6612" s="4" t="s">
        <v>1995</v>
      </c>
    </row>
    <row r="6613" spans="1:5" x14ac:dyDescent="0.2">
      <c r="A6613" s="126">
        <v>6552</v>
      </c>
      <c r="B6613" s="1832"/>
      <c r="D6613" s="2" t="str">
        <f t="shared" si="102"/>
        <v>OK</v>
      </c>
      <c r="E6613" s="4" t="s">
        <v>1995</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1899</v>
      </c>
    </row>
    <row r="6842" spans="1:5" x14ac:dyDescent="0.2">
      <c r="A6842" s="126">
        <v>6781</v>
      </c>
      <c r="B6842" s="1832"/>
      <c r="D6842" s="2" t="str">
        <f t="shared" si="105"/>
        <v>OK</v>
      </c>
      <c r="E6842" s="1" t="s">
        <v>1899</v>
      </c>
    </row>
    <row r="6843" spans="1:5" x14ac:dyDescent="0.2">
      <c r="A6843" s="126">
        <v>6782</v>
      </c>
      <c r="B6843" s="1832"/>
      <c r="D6843" s="2" t="str">
        <f t="shared" si="105"/>
        <v>OK</v>
      </c>
      <c r="E6843" s="1" t="s">
        <v>1899</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562174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520482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101940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101940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382183</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68989</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5849</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457021</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3213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3213</v>
      </c>
      <c r="D7198" s="2" t="str">
        <f t="shared" si="111"/>
        <v>Error?</v>
      </c>
    </row>
    <row r="7199" spans="1:4" x14ac:dyDescent="0.2">
      <c r="A7199">
        <v>7138</v>
      </c>
      <c r="B7199" s="1832">
        <f>'Expenditures 15-22'!C330</f>
        <v>382183</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174142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5849</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562174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382183</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174142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5849</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562174</v>
      </c>
      <c r="D7224" s="2" t="str">
        <f t="shared" si="111"/>
        <v>Error?</v>
      </c>
    </row>
    <row r="7225" spans="1:4" x14ac:dyDescent="0.2">
      <c r="A7225">
        <v>7164</v>
      </c>
      <c r="B7225" s="1832">
        <f>'Expenditures 15-22'!K343</f>
        <v>-41692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383876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1996</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1996</v>
      </c>
    </row>
    <row r="7641" spans="1:6" x14ac:dyDescent="0.2">
      <c r="A7641" s="126">
        <f t="shared" si="125"/>
        <v>7580</v>
      </c>
      <c r="B7641" s="1833"/>
      <c r="D7641" s="2" t="str">
        <f t="shared" si="124"/>
        <v>OK</v>
      </c>
      <c r="E7641" s="4" t="s">
        <v>1996</v>
      </c>
    </row>
    <row r="7642" spans="1:6" x14ac:dyDescent="0.2">
      <c r="A7642" s="126">
        <f t="shared" si="125"/>
        <v>7581</v>
      </c>
      <c r="B7642" s="1833"/>
      <c r="D7642" s="2" t="str">
        <f t="shared" si="124"/>
        <v>OK</v>
      </c>
      <c r="E7642" s="4" t="s">
        <v>1996</v>
      </c>
    </row>
    <row r="7643" spans="1:6" x14ac:dyDescent="0.2">
      <c r="A7643" s="126">
        <f t="shared" si="125"/>
        <v>7582</v>
      </c>
      <c r="B7643" s="1833"/>
      <c r="D7643" s="2" t="str">
        <f t="shared" si="124"/>
        <v>OK</v>
      </c>
      <c r="E7643" s="4" t="s">
        <v>1996</v>
      </c>
    </row>
    <row r="7644" spans="1:6" x14ac:dyDescent="0.2">
      <c r="A7644" s="126">
        <f t="shared" si="125"/>
        <v>7583</v>
      </c>
      <c r="B7644" s="1833"/>
      <c r="D7644" s="2" t="str">
        <f t="shared" si="124"/>
        <v>OK</v>
      </c>
      <c r="E7644" s="4" t="s">
        <v>1996</v>
      </c>
    </row>
    <row r="7645" spans="1:6" x14ac:dyDescent="0.2">
      <c r="A7645" s="126">
        <f t="shared" si="125"/>
        <v>7584</v>
      </c>
      <c r="B7645" s="1833"/>
      <c r="D7645" s="2" t="str">
        <f t="shared" si="124"/>
        <v>OK</v>
      </c>
      <c r="E7645" s="4" t="s">
        <v>1996</v>
      </c>
    </row>
    <row r="7646" spans="1:6" x14ac:dyDescent="0.2">
      <c r="A7646" s="126">
        <f t="shared" si="125"/>
        <v>7585</v>
      </c>
      <c r="B7646" s="1833"/>
      <c r="D7646" s="2" t="str">
        <f t="shared" si="124"/>
        <v>OK</v>
      </c>
      <c r="E7646" s="4" t="s">
        <v>1996</v>
      </c>
    </row>
    <row r="7647" spans="1:6" x14ac:dyDescent="0.2">
      <c r="A7647" s="126">
        <f t="shared" si="125"/>
        <v>7586</v>
      </c>
      <c r="B7647" s="1833"/>
      <c r="D7647" s="2" t="str">
        <f t="shared" si="124"/>
        <v>OK</v>
      </c>
      <c r="E7647" s="4" t="s">
        <v>1996</v>
      </c>
    </row>
    <row r="7648" spans="1:6" x14ac:dyDescent="0.2">
      <c r="A7648" s="126">
        <f t="shared" si="125"/>
        <v>7587</v>
      </c>
      <c r="B7648" s="1833"/>
      <c r="D7648" s="2" t="str">
        <f t="shared" si="124"/>
        <v>OK</v>
      </c>
      <c r="E7648" s="4" t="s">
        <v>1996</v>
      </c>
    </row>
    <row r="7649" spans="1:5" x14ac:dyDescent="0.2">
      <c r="A7649" s="126">
        <f t="shared" si="125"/>
        <v>7588</v>
      </c>
      <c r="B7649" s="1833"/>
      <c r="D7649" s="2" t="str">
        <f t="shared" si="124"/>
        <v>OK</v>
      </c>
      <c r="E7649" s="4" t="s">
        <v>1996</v>
      </c>
    </row>
    <row r="7650" spans="1:5" x14ac:dyDescent="0.2">
      <c r="A7650" s="126">
        <f t="shared" si="125"/>
        <v>7589</v>
      </c>
      <c r="B7650" s="1833"/>
      <c r="D7650" s="2" t="str">
        <f t="shared" si="124"/>
        <v>OK</v>
      </c>
      <c r="E7650" s="4" t="s">
        <v>1996</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825606</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1073</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2450</v>
      </c>
      <c r="D7712" s="2" t="str">
        <f t="shared" si="126"/>
        <v>Error?</v>
      </c>
      <c r="E7712" s="2" t="s">
        <v>822</v>
      </c>
    </row>
    <row r="7713" spans="1:6" x14ac:dyDescent="0.2">
      <c r="A7713">
        <v>7652</v>
      </c>
      <c r="B7713" s="1832">
        <f>'Rest Tax Levies-Tort Im 25'!J8</f>
        <v>626898</v>
      </c>
      <c r="D7713" s="2" t="str">
        <f t="shared" si="126"/>
        <v>Error?</v>
      </c>
      <c r="E7713" s="2" t="s">
        <v>822</v>
      </c>
    </row>
    <row r="7714" spans="1:6" x14ac:dyDescent="0.2">
      <c r="A7714">
        <v>7653</v>
      </c>
      <c r="B7714" s="1832">
        <f>'Rest Tax Levies-Tort Im 25'!K9</f>
        <v>8992</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627971</v>
      </c>
      <c r="D7718" s="2" t="str">
        <f t="shared" si="126"/>
        <v>Error?</v>
      </c>
      <c r="E7718" s="2" t="s">
        <v>822</v>
      </c>
    </row>
    <row r="7719" spans="1:6" x14ac:dyDescent="0.2">
      <c r="A7719">
        <v>7658</v>
      </c>
      <c r="B7719" s="1832">
        <f>'Rest Tax Levies-Tort Im 25'!K12</f>
        <v>11442</v>
      </c>
      <c r="D7719" s="2" t="str">
        <f t="shared" si="126"/>
        <v>Error?</v>
      </c>
      <c r="E7719" s="2" t="s">
        <v>822</v>
      </c>
    </row>
    <row r="7720" spans="1:6" x14ac:dyDescent="0.2">
      <c r="A7720">
        <v>7659</v>
      </c>
      <c r="B7720" s="1832">
        <f>'Rest Tax Levies-Tort Im 25'!H14</f>
        <v>31104</v>
      </c>
      <c r="D7720" s="2" t="str">
        <f t="shared" si="126"/>
        <v>Error?</v>
      </c>
      <c r="E7720" s="2" t="s">
        <v>822</v>
      </c>
    </row>
    <row r="7721" spans="1:6" x14ac:dyDescent="0.2">
      <c r="A7721">
        <v>7660</v>
      </c>
      <c r="B7721" s="1832">
        <f>'Rest Tax Levies-Tort Im 25'!K14</f>
        <v>11442</v>
      </c>
      <c r="D7721" s="2" t="str">
        <f t="shared" si="126"/>
        <v>Error?</v>
      </c>
      <c r="E7721" s="2" t="s">
        <v>822</v>
      </c>
    </row>
    <row r="7722" spans="1:6" x14ac:dyDescent="0.2">
      <c r="A7722">
        <v>7661</v>
      </c>
      <c r="B7722" s="1832">
        <f>'Rest Tax Levies-Tort Im 25'!J15</f>
        <v>1163936</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87341</v>
      </c>
      <c r="D7724" s="2" t="str">
        <f t="shared" si="126"/>
        <v>Error?</v>
      </c>
      <c r="E7724" s="2" t="s">
        <v>822</v>
      </c>
      <c r="F7724" s="2"/>
    </row>
    <row r="7725" spans="1:6" x14ac:dyDescent="0.2">
      <c r="A7725">
        <v>7664</v>
      </c>
      <c r="B7725" s="1832">
        <f>'Rest Tax Levies-Tort Im 25'!J19</f>
        <v>202300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289641</v>
      </c>
      <c r="D7727" s="2" t="str">
        <f t="shared" si="126"/>
        <v>Error?</v>
      </c>
      <c r="E7727" s="2" t="s">
        <v>822</v>
      </c>
    </row>
    <row r="7728" spans="1:6" x14ac:dyDescent="0.2">
      <c r="A7728">
        <v>7667</v>
      </c>
      <c r="B7728" s="1832">
        <f>'Revenues 9-14'!E103</f>
        <v>289641</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1453577</v>
      </c>
      <c r="D7730" s="2" t="str">
        <f t="shared" si="126"/>
        <v>Error?</v>
      </c>
      <c r="E7730" s="2" t="s">
        <v>822</v>
      </c>
    </row>
    <row r="7731" spans="1:6" x14ac:dyDescent="0.2">
      <c r="A7731">
        <v>7670</v>
      </c>
      <c r="B7731" s="1832">
        <f>'Revenues 9-14'!H103</f>
        <v>337257</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1998</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1827</v>
      </c>
    </row>
    <row r="7775" spans="1:5" x14ac:dyDescent="0.2">
      <c r="A7775">
        <v>7714</v>
      </c>
      <c r="B7775" s="1832">
        <f>'Expenditures 15-22'!H133</f>
        <v>0</v>
      </c>
      <c r="D7775" s="2" t="str">
        <f t="shared" si="127"/>
        <v>Error?</v>
      </c>
      <c r="E7775" s="4" t="s">
        <v>1827</v>
      </c>
    </row>
    <row r="7776" spans="1:5" x14ac:dyDescent="0.2">
      <c r="A7776">
        <v>7715</v>
      </c>
      <c r="B7776" s="1832">
        <f>'Expenditures 15-22'!K133</f>
        <v>0</v>
      </c>
      <c r="D7776" s="2" t="str">
        <f t="shared" si="127"/>
        <v>Error?</v>
      </c>
      <c r="E7776" s="4" t="s">
        <v>1827</v>
      </c>
    </row>
    <row r="7777" spans="1:5" x14ac:dyDescent="0.2">
      <c r="A7777">
        <v>7716</v>
      </c>
      <c r="B7777" s="1832">
        <f>'Expenditures 15-22'!H157</f>
        <v>0</v>
      </c>
      <c r="D7777" s="2" t="str">
        <f t="shared" si="127"/>
        <v>Error?</v>
      </c>
      <c r="E7777" s="4" t="s">
        <v>1827</v>
      </c>
    </row>
    <row r="7778" spans="1:5" x14ac:dyDescent="0.2">
      <c r="A7778">
        <v>7717</v>
      </c>
      <c r="B7778" s="1832">
        <f>'Expenditures 15-22'!K157</f>
        <v>0</v>
      </c>
      <c r="D7778" s="2" t="str">
        <f t="shared" si="127"/>
        <v>Error?</v>
      </c>
      <c r="E7778" s="4" t="s">
        <v>1827</v>
      </c>
    </row>
    <row r="7779" spans="1:5" x14ac:dyDescent="0.2">
      <c r="A7779">
        <v>7718</v>
      </c>
      <c r="B7779" s="1832">
        <f>'Expenditures 15-22'!H158</f>
        <v>0</v>
      </c>
      <c r="D7779" s="2" t="str">
        <f t="shared" si="127"/>
        <v>Error?</v>
      </c>
      <c r="E7779" s="4" t="s">
        <v>1827</v>
      </c>
    </row>
    <row r="7780" spans="1:5" x14ac:dyDescent="0.2">
      <c r="A7780">
        <v>7719</v>
      </c>
      <c r="B7780" s="1832">
        <f>'Expenditures 15-22'!K158</f>
        <v>0</v>
      </c>
      <c r="D7780" s="2" t="str">
        <f t="shared" si="127"/>
        <v>Error?</v>
      </c>
      <c r="E7780" s="4" t="s">
        <v>1827</v>
      </c>
    </row>
    <row r="7781" spans="1:5" x14ac:dyDescent="0.2">
      <c r="A7781">
        <v>7720</v>
      </c>
      <c r="B7781" s="1832">
        <f>'Expenditures 15-22'!H159</f>
        <v>0</v>
      </c>
      <c r="D7781" s="2" t="str">
        <f t="shared" si="127"/>
        <v>Error?</v>
      </c>
      <c r="E7781" s="4" t="s">
        <v>1827</v>
      </c>
    </row>
    <row r="7782" spans="1:5" x14ac:dyDescent="0.2">
      <c r="A7782">
        <v>7721</v>
      </c>
      <c r="B7782" s="1832">
        <f>'Expenditures 15-22'!K159</f>
        <v>0</v>
      </c>
      <c r="D7782" s="2" t="str">
        <f t="shared" si="127"/>
        <v>Error?</v>
      </c>
      <c r="E7782" s="4" t="s">
        <v>1827</v>
      </c>
    </row>
    <row r="7783" spans="1:5" x14ac:dyDescent="0.2">
      <c r="A7783">
        <v>7722</v>
      </c>
      <c r="B7783" s="1832">
        <f>'Expenditures 15-22'!D282</f>
        <v>0</v>
      </c>
      <c r="D7783" s="2" t="str">
        <f t="shared" si="127"/>
        <v>Error?</v>
      </c>
      <c r="E7783" s="4" t="s">
        <v>1827</v>
      </c>
    </row>
    <row r="7784" spans="1:5" x14ac:dyDescent="0.2">
      <c r="A7784">
        <v>7723</v>
      </c>
      <c r="B7784" s="1832">
        <f>'Expenditures 15-22'!K282</f>
        <v>0</v>
      </c>
      <c r="D7784" s="2" t="str">
        <f t="shared" si="127"/>
        <v>Error?</v>
      </c>
      <c r="E7784" s="4" t="s">
        <v>1827</v>
      </c>
    </row>
    <row r="7785" spans="1:5" x14ac:dyDescent="0.2">
      <c r="A7785">
        <v>7724</v>
      </c>
      <c r="B7785" s="1832">
        <f>'Expenditures 15-22'!H332</f>
        <v>0</v>
      </c>
      <c r="D7785" s="2" t="str">
        <f t="shared" si="127"/>
        <v>Error?</v>
      </c>
      <c r="E7785" s="4" t="s">
        <v>1827</v>
      </c>
    </row>
    <row r="7786" spans="1:5" x14ac:dyDescent="0.2">
      <c r="A7786">
        <v>7725</v>
      </c>
      <c r="B7786" s="1832">
        <f>'Expenditures 15-22'!K332</f>
        <v>0</v>
      </c>
      <c r="D7786" s="2" t="str">
        <f t="shared" si="127"/>
        <v>Error?</v>
      </c>
      <c r="E7786" s="4" t="s">
        <v>1827</v>
      </c>
    </row>
    <row r="7787" spans="1:5" x14ac:dyDescent="0.2">
      <c r="A7787">
        <v>7726</v>
      </c>
      <c r="B7787" s="1832">
        <f>'Expenditures 15-22'!H333</f>
        <v>0</v>
      </c>
      <c r="D7787" s="2" t="str">
        <f t="shared" si="127"/>
        <v>Error?</v>
      </c>
      <c r="E7787" s="4" t="s">
        <v>1827</v>
      </c>
    </row>
    <row r="7788" spans="1:5" x14ac:dyDescent="0.2">
      <c r="A7788">
        <v>7727</v>
      </c>
      <c r="B7788" s="1832">
        <f>'Expenditures 15-22'!K333</f>
        <v>0</v>
      </c>
      <c r="D7788" s="2" t="str">
        <f t="shared" si="127"/>
        <v>Error?</v>
      </c>
      <c r="E7788" s="4" t="s">
        <v>1827</v>
      </c>
    </row>
    <row r="7789" spans="1:5" x14ac:dyDescent="0.2">
      <c r="A7789">
        <v>7728</v>
      </c>
      <c r="B7789" s="1832">
        <f>'Expenditures 15-22'!H334</f>
        <v>0</v>
      </c>
      <c r="D7789" s="2" t="str">
        <f t="shared" si="127"/>
        <v>Error?</v>
      </c>
      <c r="E7789" s="4" t="s">
        <v>1827</v>
      </c>
    </row>
    <row r="7790" spans="1:5" x14ac:dyDescent="0.2">
      <c r="A7790">
        <v>7729</v>
      </c>
      <c r="B7790" s="1832">
        <f>'Expenditures 15-22'!K334</f>
        <v>0</v>
      </c>
      <c r="D7790" s="2" t="str">
        <f t="shared" si="127"/>
        <v>Error?</v>
      </c>
      <c r="E7790" s="4" t="s">
        <v>1827</v>
      </c>
    </row>
    <row r="7791" spans="1:5" x14ac:dyDescent="0.2">
      <c r="A7791">
        <v>7730</v>
      </c>
      <c r="B7791" s="1832">
        <f>'Expenditures 15-22'!H354</f>
        <v>0</v>
      </c>
      <c r="D7791" s="2" t="str">
        <f t="shared" si="127"/>
        <v>Error?</v>
      </c>
      <c r="E7791" s="4" t="s">
        <v>1827</v>
      </c>
    </row>
    <row r="7792" spans="1:5" x14ac:dyDescent="0.2">
      <c r="A7792">
        <v>7731</v>
      </c>
      <c r="B7792" s="1832">
        <f>'Expenditures 15-22'!K354</f>
        <v>0</v>
      </c>
      <c r="D7792" s="2" t="str">
        <f t="shared" si="127"/>
        <v>Error?</v>
      </c>
      <c r="E7792" s="4" t="s">
        <v>1827</v>
      </c>
    </row>
    <row r="7793" spans="1:5" x14ac:dyDescent="0.2">
      <c r="A7793">
        <v>7732</v>
      </c>
      <c r="B7793" s="1832">
        <f>'Expenditures 15-22'!H355</f>
        <v>0</v>
      </c>
      <c r="D7793" s="2" t="str">
        <f t="shared" si="127"/>
        <v>Error?</v>
      </c>
      <c r="E7793" s="4" t="s">
        <v>1827</v>
      </c>
    </row>
    <row r="7794" spans="1:5" x14ac:dyDescent="0.2">
      <c r="A7794">
        <v>7733</v>
      </c>
      <c r="B7794" s="1832">
        <f>'Expenditures 15-22'!K355</f>
        <v>0</v>
      </c>
      <c r="D7794" s="2" t="str">
        <f t="shared" si="127"/>
        <v>Error?</v>
      </c>
      <c r="E7794" s="4" t="s">
        <v>1827</v>
      </c>
    </row>
    <row r="7795" spans="1:5" x14ac:dyDescent="0.2">
      <c r="A7795">
        <v>7734</v>
      </c>
      <c r="B7795" s="1832">
        <f>'Expenditures 15-22'!E138</f>
        <v>0</v>
      </c>
      <c r="D7795" s="2" t="str">
        <f t="shared" si="127"/>
        <v>Error?</v>
      </c>
      <c r="E7795" s="4" t="s">
        <v>1827</v>
      </c>
    </row>
    <row r="7796" spans="1:5" x14ac:dyDescent="0.2">
      <c r="A7796">
        <v>7735</v>
      </c>
      <c r="B7796" s="1832">
        <f>'Acct Summary 7-8'!J15</f>
        <v>0</v>
      </c>
      <c r="D7796" s="2" t="str">
        <f t="shared" si="127"/>
        <v>Error?</v>
      </c>
      <c r="E7796" s="4" t="s">
        <v>1827</v>
      </c>
    </row>
    <row r="7797" spans="1:5" x14ac:dyDescent="0.2">
      <c r="A7797" s="126">
        <v>7736</v>
      </c>
      <c r="B7797" s="1832"/>
      <c r="D7797" s="2" t="str">
        <f t="shared" si="127"/>
        <v>OK</v>
      </c>
      <c r="E7797" s="4" t="s">
        <v>1980</v>
      </c>
    </row>
    <row r="7798" spans="1:5" x14ac:dyDescent="0.2">
      <c r="A7798" s="126">
        <v>7737</v>
      </c>
      <c r="B7798" s="1832"/>
      <c r="D7798" s="2" t="str">
        <f t="shared" si="127"/>
        <v>OK</v>
      </c>
      <c r="E7798" s="4" t="s">
        <v>1980</v>
      </c>
    </row>
    <row r="7799" spans="1:5" x14ac:dyDescent="0.2">
      <c r="A7799" s="126">
        <v>7738</v>
      </c>
      <c r="B7799" s="1832"/>
      <c r="D7799" s="2" t="str">
        <f t="shared" si="127"/>
        <v>OK</v>
      </c>
      <c r="E7799" s="4" t="s">
        <v>1980</v>
      </c>
    </row>
    <row r="7800" spans="1:5" x14ac:dyDescent="0.2">
      <c r="A7800">
        <v>7739</v>
      </c>
      <c r="B7800" s="1832">
        <f>'Rest Tax Levies-Tort Im 25'!K23</f>
        <v>11442</v>
      </c>
      <c r="D7800" s="2" t="str">
        <f t="shared" si="127"/>
        <v>Error?</v>
      </c>
      <c r="E7800" s="4" t="s">
        <v>1967</v>
      </c>
    </row>
    <row r="7801" spans="1:5" x14ac:dyDescent="0.2">
      <c r="A7801">
        <v>7740</v>
      </c>
      <c r="B7801" s="1832">
        <f>'Revenues 9-14'!C120</f>
        <v>0</v>
      </c>
      <c r="D7801" s="2" t="str">
        <f t="shared" si="127"/>
        <v>Error?</v>
      </c>
      <c r="E7801" s="4" t="s">
        <v>1901</v>
      </c>
    </row>
    <row r="7802" spans="1:5" x14ac:dyDescent="0.2">
      <c r="A7802">
        <v>7741</v>
      </c>
      <c r="B7802" s="1832">
        <f>'Revenues 9-14'!D120</f>
        <v>0</v>
      </c>
      <c r="D7802" s="2" t="str">
        <f t="shared" si="127"/>
        <v>Error?</v>
      </c>
      <c r="E7802" s="4" t="s">
        <v>1901</v>
      </c>
    </row>
    <row r="7803" spans="1:5" x14ac:dyDescent="0.2">
      <c r="A7803">
        <v>7742</v>
      </c>
      <c r="B7803" s="1832">
        <f>'Revenues 9-14'!E120</f>
        <v>0</v>
      </c>
      <c r="D7803" s="2" t="str">
        <f t="shared" si="127"/>
        <v>Error?</v>
      </c>
      <c r="E7803" s="4" t="s">
        <v>1901</v>
      </c>
    </row>
    <row r="7804" spans="1:5" x14ac:dyDescent="0.2">
      <c r="A7804">
        <v>7743</v>
      </c>
      <c r="B7804" s="1832">
        <f>'Revenues 9-14'!F120</f>
        <v>0</v>
      </c>
      <c r="D7804" s="2" t="str">
        <f t="shared" si="127"/>
        <v>Error?</v>
      </c>
      <c r="E7804" s="4" t="s">
        <v>1901</v>
      </c>
    </row>
    <row r="7805" spans="1:5" x14ac:dyDescent="0.2">
      <c r="A7805">
        <v>7744</v>
      </c>
      <c r="B7805" s="1832">
        <f>'Revenues 9-14'!G120</f>
        <v>0</v>
      </c>
      <c r="D7805" s="2" t="str">
        <f t="shared" si="127"/>
        <v>Error?</v>
      </c>
      <c r="E7805" s="4" t="s">
        <v>1901</v>
      </c>
    </row>
    <row r="7806" spans="1:5" x14ac:dyDescent="0.2">
      <c r="A7806">
        <v>7745</v>
      </c>
      <c r="B7806" s="1832">
        <f>'Revenues 9-14'!H120</f>
        <v>0</v>
      </c>
      <c r="D7806" s="2" t="str">
        <f t="shared" si="127"/>
        <v>Error?</v>
      </c>
      <c r="E7806" s="4" t="s">
        <v>1901</v>
      </c>
    </row>
    <row r="7807" spans="1:5" x14ac:dyDescent="0.2">
      <c r="A7807">
        <v>7746</v>
      </c>
      <c r="B7807" s="1832">
        <f>'Revenues 9-14'!J120</f>
        <v>0</v>
      </c>
      <c r="D7807" s="2" t="str">
        <f t="shared" ref="D7807:D7821" si="128">IF(ISBLANK(B7807),"OK",IF(A7807-B7807=0,"OK","Error?"))</f>
        <v>Error?</v>
      </c>
      <c r="E7807" s="4" t="s">
        <v>1901</v>
      </c>
    </row>
    <row r="7808" spans="1:5" x14ac:dyDescent="0.2">
      <c r="A7808">
        <v>7747</v>
      </c>
      <c r="B7808" s="1832">
        <f>'Revenues 9-14'!K120</f>
        <v>0</v>
      </c>
      <c r="D7808" s="2" t="str">
        <f t="shared" si="128"/>
        <v>Error?</v>
      </c>
      <c r="E7808" s="4" t="s">
        <v>1901</v>
      </c>
    </row>
    <row r="7809" spans="1:5" x14ac:dyDescent="0.2">
      <c r="A7809">
        <v>7748</v>
      </c>
      <c r="B7809" s="1832">
        <f>'Revenues 9-14'!C261</f>
        <v>0</v>
      </c>
      <c r="D7809" s="2" t="str">
        <f t="shared" si="128"/>
        <v>Error?</v>
      </c>
      <c r="E7809" s="4" t="s">
        <v>1902</v>
      </c>
    </row>
    <row r="7810" spans="1:5" x14ac:dyDescent="0.2">
      <c r="A7810">
        <v>7749</v>
      </c>
      <c r="B7810" s="1832">
        <f>'Revenues 9-14'!D261</f>
        <v>0</v>
      </c>
      <c r="D7810" s="2" t="str">
        <f t="shared" si="128"/>
        <v>Error?</v>
      </c>
      <c r="E7810" s="4" t="s">
        <v>1902</v>
      </c>
    </row>
    <row r="7811" spans="1:5" x14ac:dyDescent="0.2">
      <c r="A7811">
        <v>7750</v>
      </c>
      <c r="B7811" s="1832">
        <f>'Revenues 9-14'!F261</f>
        <v>0</v>
      </c>
      <c r="D7811" s="2" t="str">
        <f t="shared" si="128"/>
        <v>Error?</v>
      </c>
      <c r="E7811" s="4" t="s">
        <v>1902</v>
      </c>
    </row>
    <row r="7812" spans="1:5" x14ac:dyDescent="0.2">
      <c r="A7812">
        <v>7751</v>
      </c>
      <c r="B7812" s="1832">
        <f>'Revenues 9-14'!G261</f>
        <v>0</v>
      </c>
      <c r="D7812" s="2" t="str">
        <f t="shared" si="128"/>
        <v>Error?</v>
      </c>
      <c r="E7812" s="4" t="s">
        <v>1902</v>
      </c>
    </row>
    <row r="7813" spans="1:5" x14ac:dyDescent="0.2">
      <c r="A7813">
        <v>7752</v>
      </c>
      <c r="B7813" s="1832">
        <f>'Revenues 9-14'!C262</f>
        <v>0</v>
      </c>
      <c r="D7813" s="2" t="str">
        <f t="shared" si="128"/>
        <v>Error?</v>
      </c>
      <c r="E7813" s="4" t="s">
        <v>1903</v>
      </c>
    </row>
    <row r="7814" spans="1:5" x14ac:dyDescent="0.2">
      <c r="A7814">
        <v>7753</v>
      </c>
      <c r="B7814" s="1832">
        <f>'Revenues 9-14'!D262</f>
        <v>0</v>
      </c>
      <c r="D7814" s="2" t="str">
        <f t="shared" si="128"/>
        <v>Error?</v>
      </c>
      <c r="E7814" s="4" t="s">
        <v>1903</v>
      </c>
    </row>
    <row r="7815" spans="1:5" x14ac:dyDescent="0.2">
      <c r="A7815">
        <v>7754</v>
      </c>
      <c r="B7815" s="1832">
        <f>'Revenues 9-14'!F262</f>
        <v>0</v>
      </c>
      <c r="D7815" s="2" t="str">
        <f t="shared" si="128"/>
        <v>Error?</v>
      </c>
      <c r="E7815" s="4" t="s">
        <v>1903</v>
      </c>
    </row>
    <row r="7816" spans="1:5" x14ac:dyDescent="0.2">
      <c r="A7816">
        <v>7755</v>
      </c>
      <c r="B7816" s="1832">
        <f>'Revenues 9-14'!G262</f>
        <v>0</v>
      </c>
      <c r="D7816" s="2" t="str">
        <f t="shared" si="128"/>
        <v>Error?</v>
      </c>
      <c r="E7816" s="4" t="s">
        <v>1903</v>
      </c>
    </row>
    <row r="7817" spans="1:5" x14ac:dyDescent="0.2">
      <c r="A7817">
        <v>7756</v>
      </c>
      <c r="B7817" s="1832">
        <f>'Short-Term Long-Term Debt 24'!C49</f>
        <v>5390000</v>
      </c>
      <c r="D7817" s="2" t="str">
        <f t="shared" si="128"/>
        <v>Error?</v>
      </c>
      <c r="E7817" s="4" t="s">
        <v>1967</v>
      </c>
    </row>
    <row r="7818" spans="1:5" x14ac:dyDescent="0.2">
      <c r="A7818">
        <v>7757</v>
      </c>
      <c r="B7818" s="1832">
        <f>'PCTC-OEPP 27-28'!F172</f>
        <v>337391</v>
      </c>
      <c r="D7818" s="2" t="str">
        <f t="shared" si="128"/>
        <v>Error?</v>
      </c>
      <c r="E7818" s="4" t="s">
        <v>1981</v>
      </c>
    </row>
    <row r="7819" spans="1:5" x14ac:dyDescent="0.2">
      <c r="A7819">
        <v>7758</v>
      </c>
      <c r="B7819" s="1832">
        <f>'PCTC-OEPP 27-28'!F173</f>
        <v>8636</v>
      </c>
      <c r="D7819" s="2" t="str">
        <f t="shared" si="128"/>
        <v>Error?</v>
      </c>
      <c r="E7819" s="4" t="s">
        <v>1981</v>
      </c>
    </row>
    <row r="7820" spans="1:5" x14ac:dyDescent="0.2">
      <c r="A7820">
        <v>7759</v>
      </c>
      <c r="B7820" s="1832">
        <f>'ICR Computation 30'!E40</f>
        <v>-84765</v>
      </c>
      <c r="D7820" s="2" t="str">
        <f t="shared" si="128"/>
        <v>Error?</v>
      </c>
    </row>
    <row r="7821" spans="1:5" x14ac:dyDescent="0.2">
      <c r="A7821">
        <v>7760</v>
      </c>
      <c r="B7821" s="1832">
        <f>'ICR Computation 30'!G40</f>
        <v>-84765</v>
      </c>
      <c r="D7821" s="2" t="str">
        <f t="shared" si="128"/>
        <v>Error?</v>
      </c>
    </row>
    <row r="7822" spans="1:5" x14ac:dyDescent="0.2">
      <c r="A7822" s="1">
        <v>7761</v>
      </c>
      <c r="B7822" s="1832">
        <f>'PCTC-OEPP 27-28'!F14</f>
        <v>10251496</v>
      </c>
      <c r="D7822" s="4" t="s">
        <v>1998</v>
      </c>
      <c r="E7822" s="4" t="s">
        <v>1999</v>
      </c>
    </row>
    <row r="7823" spans="1:5" x14ac:dyDescent="0.2">
      <c r="A7823" s="1">
        <v>7762</v>
      </c>
      <c r="B7823" s="1832">
        <f>'PCTC-OEPP 27-28'!F30</f>
        <v>0</v>
      </c>
      <c r="D7823" s="4" t="s">
        <v>1998</v>
      </c>
      <c r="E7823" s="4" t="s">
        <v>1999</v>
      </c>
    </row>
    <row r="7824" spans="1:5" x14ac:dyDescent="0.2">
      <c r="A7824" s="1">
        <v>7763</v>
      </c>
      <c r="B7824" s="1832">
        <f>'PCTC-OEPP 27-28'!F31</f>
        <v>0</v>
      </c>
      <c r="D7824" s="4" t="s">
        <v>1998</v>
      </c>
      <c r="E7824" s="4" t="s">
        <v>1999</v>
      </c>
    </row>
    <row r="7825" spans="1:5" x14ac:dyDescent="0.2">
      <c r="A7825" s="1">
        <v>7764</v>
      </c>
      <c r="B7825" s="1832">
        <f>'PCTC-OEPP 27-28'!F32</f>
        <v>0</v>
      </c>
      <c r="D7825" s="2" t="str">
        <f t="shared" ref="D7825:D7887" si="129">IF(ISBLANK(B7825),"OK",IF(A7825-B7825=0,"OK","Error?"))</f>
        <v>Error?</v>
      </c>
      <c r="E7825" s="4" t="s">
        <v>1999</v>
      </c>
    </row>
    <row r="7826" spans="1:5" x14ac:dyDescent="0.2">
      <c r="A7826">
        <v>7765</v>
      </c>
      <c r="B7826" s="1832">
        <f>'PCTC-OEPP 27-28'!F34</f>
        <v>0</v>
      </c>
      <c r="D7826" s="2" t="str">
        <f t="shared" si="129"/>
        <v>Error?</v>
      </c>
      <c r="E7826" s="4" t="s">
        <v>1999</v>
      </c>
    </row>
    <row r="7827" spans="1:5" x14ac:dyDescent="0.2">
      <c r="A7827">
        <v>7766</v>
      </c>
      <c r="B7827" s="1832">
        <f>'PCTC-OEPP 27-28'!F35</f>
        <v>0</v>
      </c>
      <c r="D7827" s="2" t="str">
        <f t="shared" si="129"/>
        <v>Error?</v>
      </c>
      <c r="E7827" s="4" t="s">
        <v>1999</v>
      </c>
    </row>
    <row r="7828" spans="1:5" x14ac:dyDescent="0.2">
      <c r="A7828">
        <v>7767</v>
      </c>
      <c r="B7828" s="1832">
        <f>'PCTC-OEPP 27-28'!F36</f>
        <v>0</v>
      </c>
      <c r="D7828" s="2" t="str">
        <f t="shared" si="129"/>
        <v>Error?</v>
      </c>
      <c r="E7828" s="4" t="s">
        <v>1999</v>
      </c>
    </row>
    <row r="7829" spans="1:5" x14ac:dyDescent="0.2">
      <c r="A7829">
        <v>7768</v>
      </c>
      <c r="B7829" s="1832">
        <f>'PCTC-OEPP 27-28'!F37</f>
        <v>0</v>
      </c>
      <c r="D7829" s="2" t="str">
        <f t="shared" si="129"/>
        <v>Error?</v>
      </c>
      <c r="E7829" s="4" t="s">
        <v>1999</v>
      </c>
    </row>
    <row r="7830" spans="1:5" x14ac:dyDescent="0.2">
      <c r="A7830">
        <v>7769</v>
      </c>
      <c r="B7830" s="1832">
        <f>'PCTC-OEPP 27-28'!F38</f>
        <v>0</v>
      </c>
      <c r="D7830" s="2" t="str">
        <f t="shared" si="129"/>
        <v>Error?</v>
      </c>
      <c r="E7830" s="4" t="s">
        <v>1999</v>
      </c>
    </row>
    <row r="7831" spans="1:5" x14ac:dyDescent="0.2">
      <c r="A7831">
        <v>7770</v>
      </c>
      <c r="B7831" s="1832">
        <f>'PCTC-OEPP 27-28'!F52</f>
        <v>1558</v>
      </c>
      <c r="D7831" s="2" t="str">
        <f t="shared" si="129"/>
        <v>Error?</v>
      </c>
      <c r="E7831" s="4" t="s">
        <v>1999</v>
      </c>
    </row>
    <row r="7832" spans="1:5" x14ac:dyDescent="0.2">
      <c r="A7832">
        <v>7771</v>
      </c>
      <c r="B7832" s="1832">
        <f>'PCTC-OEPP 27-28'!F56</f>
        <v>0</v>
      </c>
      <c r="D7832" s="2" t="str">
        <f t="shared" si="129"/>
        <v>Error?</v>
      </c>
      <c r="E7832" s="4" t="s">
        <v>1999</v>
      </c>
    </row>
    <row r="7833" spans="1:5" x14ac:dyDescent="0.2">
      <c r="A7833">
        <v>7772</v>
      </c>
      <c r="B7833" s="1832">
        <f>'PCTC-OEPP 27-28'!F62</f>
        <v>0</v>
      </c>
      <c r="D7833" s="2" t="str">
        <f t="shared" si="129"/>
        <v>Error?</v>
      </c>
      <c r="E7833" s="4" t="s">
        <v>1999</v>
      </c>
    </row>
    <row r="7834" spans="1:5" x14ac:dyDescent="0.2">
      <c r="A7834">
        <v>7773</v>
      </c>
      <c r="B7834" s="1832">
        <f>'PCTC-OEPP 27-28'!F77</f>
        <v>1718175</v>
      </c>
      <c r="D7834" s="2" t="str">
        <f t="shared" si="129"/>
        <v>Error?</v>
      </c>
      <c r="E7834" s="4" t="s">
        <v>1999</v>
      </c>
    </row>
    <row r="7835" spans="1:5" x14ac:dyDescent="0.2">
      <c r="A7835">
        <v>7774</v>
      </c>
      <c r="B7835" s="1832">
        <f>'PCTC-OEPP 27-28'!F78</f>
        <v>8533321</v>
      </c>
      <c r="D7835" s="2" t="str">
        <f t="shared" si="129"/>
        <v>Error?</v>
      </c>
      <c r="E7835" s="4" t="s">
        <v>1999</v>
      </c>
    </row>
    <row r="7836" spans="1:5" x14ac:dyDescent="0.2">
      <c r="A7836" s="126">
        <v>7775</v>
      </c>
      <c r="B7836" s="1832"/>
      <c r="D7836" s="2" t="str">
        <f t="shared" si="129"/>
        <v>OK</v>
      </c>
      <c r="E7836" s="4" t="s">
        <v>2001</v>
      </c>
    </row>
    <row r="7837" spans="1:5" x14ac:dyDescent="0.2">
      <c r="A7837">
        <v>7776</v>
      </c>
      <c r="B7837" s="1832">
        <f>'PCTC-OEPP 27-28'!F80</f>
        <v>10449.817536125398</v>
      </c>
      <c r="D7837" s="2" t="str">
        <f t="shared" si="129"/>
        <v>Error?</v>
      </c>
      <c r="E7837" s="4" t="s">
        <v>1999</v>
      </c>
    </row>
    <row r="7838" spans="1:5" x14ac:dyDescent="0.2">
      <c r="A7838">
        <v>7777</v>
      </c>
      <c r="B7838" s="1832">
        <f>'PCTC-OEPP 27-28'!F96</f>
        <v>82197</v>
      </c>
      <c r="D7838" s="2" t="str">
        <f t="shared" si="129"/>
        <v>Error?</v>
      </c>
      <c r="E7838" s="4" t="s">
        <v>1999</v>
      </c>
    </row>
    <row r="7839" spans="1:5" x14ac:dyDescent="0.2">
      <c r="A7839">
        <v>7778</v>
      </c>
      <c r="B7839" s="1832">
        <f>'PCTC-OEPP 27-28'!F102</f>
        <v>335</v>
      </c>
      <c r="D7839" s="2" t="str">
        <f t="shared" si="129"/>
        <v>Error?</v>
      </c>
      <c r="E7839" s="4" t="s">
        <v>1999</v>
      </c>
    </row>
    <row r="7840" spans="1:5" x14ac:dyDescent="0.2">
      <c r="A7840">
        <v>7779</v>
      </c>
      <c r="B7840" s="1832">
        <f>'PCTC-OEPP 27-28'!F103</f>
        <v>0</v>
      </c>
      <c r="D7840" s="2" t="str">
        <f t="shared" si="129"/>
        <v>Error?</v>
      </c>
      <c r="E7840" s="4" t="s">
        <v>1999</v>
      </c>
    </row>
    <row r="7841" spans="1:5" x14ac:dyDescent="0.2">
      <c r="A7841">
        <v>7780</v>
      </c>
      <c r="B7841" s="1832">
        <f>'PCTC-OEPP 27-28'!F104</f>
        <v>0</v>
      </c>
      <c r="D7841" s="2" t="str">
        <f t="shared" si="129"/>
        <v>Error?</v>
      </c>
      <c r="E7841" s="4" t="s">
        <v>1999</v>
      </c>
    </row>
    <row r="7842" spans="1:5" x14ac:dyDescent="0.2">
      <c r="A7842">
        <v>7781</v>
      </c>
      <c r="B7842" s="1832">
        <f>'PCTC-OEPP 27-28'!F106</f>
        <v>37440</v>
      </c>
      <c r="D7842" s="2" t="str">
        <f t="shared" si="129"/>
        <v>Error?</v>
      </c>
      <c r="E7842" s="4" t="s">
        <v>1999</v>
      </c>
    </row>
    <row r="7843" spans="1:5" x14ac:dyDescent="0.2">
      <c r="A7843">
        <v>7782</v>
      </c>
      <c r="B7843" s="1832">
        <f>'PCTC-OEPP 27-28'!F107</f>
        <v>7234</v>
      </c>
      <c r="D7843" s="2" t="str">
        <f t="shared" si="129"/>
        <v>Error?</v>
      </c>
      <c r="E7843" s="4" t="s">
        <v>1999</v>
      </c>
    </row>
    <row r="7844" spans="1:5" x14ac:dyDescent="0.2">
      <c r="A7844">
        <v>7783</v>
      </c>
      <c r="B7844" s="1832">
        <f>'PCTC-OEPP 27-28'!F108</f>
        <v>0</v>
      </c>
      <c r="D7844" s="2" t="str">
        <f t="shared" si="129"/>
        <v>Error?</v>
      </c>
      <c r="E7844" s="4" t="s">
        <v>1999</v>
      </c>
    </row>
    <row r="7845" spans="1:5" x14ac:dyDescent="0.2">
      <c r="A7845">
        <v>7784</v>
      </c>
      <c r="B7845" s="1832">
        <f>'PCTC-OEPP 27-28'!F110</f>
        <v>0</v>
      </c>
      <c r="D7845" s="2" t="str">
        <f t="shared" si="129"/>
        <v>Error?</v>
      </c>
      <c r="E7845" s="4" t="s">
        <v>1999</v>
      </c>
    </row>
    <row r="7846" spans="1:5" x14ac:dyDescent="0.2">
      <c r="A7846">
        <v>7785</v>
      </c>
      <c r="B7846" s="1832">
        <f>'PCTC-OEPP 27-28'!F111</f>
        <v>8992</v>
      </c>
      <c r="D7846" s="2" t="str">
        <f t="shared" si="129"/>
        <v>Error?</v>
      </c>
      <c r="E7846" s="4" t="s">
        <v>1999</v>
      </c>
    </row>
    <row r="7847" spans="1:5" x14ac:dyDescent="0.2">
      <c r="A7847">
        <v>7786</v>
      </c>
      <c r="B7847" s="1832">
        <f>'PCTC-OEPP 27-28'!F112</f>
        <v>629228</v>
      </c>
      <c r="D7847" s="2" t="str">
        <f t="shared" si="129"/>
        <v>Error?</v>
      </c>
      <c r="E7847" s="4" t="s">
        <v>1999</v>
      </c>
    </row>
    <row r="7848" spans="1:5" x14ac:dyDescent="0.2">
      <c r="A7848">
        <v>7787</v>
      </c>
      <c r="B7848" s="1832">
        <f>'PCTC-OEPP 27-28'!F114</f>
        <v>0</v>
      </c>
      <c r="D7848" s="2" t="str">
        <f t="shared" si="129"/>
        <v>Error?</v>
      </c>
      <c r="E7848" s="4" t="s">
        <v>1999</v>
      </c>
    </row>
    <row r="7849" spans="1:5" x14ac:dyDescent="0.2">
      <c r="A7849">
        <v>7788</v>
      </c>
      <c r="B7849" s="1832">
        <f>'PCTC-OEPP 27-28'!F115</f>
        <v>0</v>
      </c>
      <c r="D7849" s="2" t="str">
        <f t="shared" si="129"/>
        <v>Error?</v>
      </c>
      <c r="E7849" s="4" t="s">
        <v>1999</v>
      </c>
    </row>
    <row r="7850" spans="1:5" x14ac:dyDescent="0.2">
      <c r="A7850">
        <v>7789</v>
      </c>
      <c r="B7850" s="1832">
        <f>'PCTC-OEPP 27-28'!F116</f>
        <v>0</v>
      </c>
      <c r="D7850" s="2" t="str">
        <f t="shared" si="129"/>
        <v>Error?</v>
      </c>
      <c r="E7850" s="4" t="s">
        <v>1999</v>
      </c>
    </row>
    <row r="7851" spans="1:5" x14ac:dyDescent="0.2">
      <c r="A7851">
        <v>7790</v>
      </c>
      <c r="B7851" s="1832">
        <f>'PCTC-OEPP 27-28'!F117</f>
        <v>0</v>
      </c>
      <c r="D7851" s="2" t="str">
        <f t="shared" si="129"/>
        <v>Error?</v>
      </c>
      <c r="E7851" s="4" t="s">
        <v>1999</v>
      </c>
    </row>
    <row r="7852" spans="1:5" x14ac:dyDescent="0.2">
      <c r="A7852">
        <v>7791</v>
      </c>
      <c r="B7852" s="1832">
        <f>'PCTC-OEPP 27-28'!F118</f>
        <v>0</v>
      </c>
      <c r="D7852" s="2" t="str">
        <f t="shared" si="129"/>
        <v>Error?</v>
      </c>
      <c r="E7852" s="4" t="s">
        <v>1999</v>
      </c>
    </row>
    <row r="7853" spans="1:5" x14ac:dyDescent="0.2">
      <c r="A7853">
        <v>7792</v>
      </c>
      <c r="B7853" s="1832">
        <f>'PCTC-OEPP 27-28'!F119</f>
        <v>0</v>
      </c>
      <c r="D7853" s="2" t="str">
        <f t="shared" si="129"/>
        <v>Error?</v>
      </c>
      <c r="E7853" s="4" t="s">
        <v>1999</v>
      </c>
    </row>
    <row r="7854" spans="1:5" x14ac:dyDescent="0.2">
      <c r="A7854">
        <v>7793</v>
      </c>
      <c r="B7854" s="1832">
        <f>'PCTC-OEPP 27-28'!F120</f>
        <v>0</v>
      </c>
      <c r="D7854" s="2" t="str">
        <f t="shared" si="129"/>
        <v>Error?</v>
      </c>
      <c r="E7854" s="4" t="s">
        <v>1999</v>
      </c>
    </row>
    <row r="7855" spans="1:5" x14ac:dyDescent="0.2">
      <c r="A7855">
        <v>7794</v>
      </c>
      <c r="B7855" s="1832">
        <f>'PCTC-OEPP 27-28'!F122</f>
        <v>1793</v>
      </c>
      <c r="D7855" s="2" t="str">
        <f t="shared" si="129"/>
        <v>Error?</v>
      </c>
      <c r="E7855" s="4" t="s">
        <v>1999</v>
      </c>
    </row>
    <row r="7856" spans="1:5" x14ac:dyDescent="0.2">
      <c r="A7856">
        <v>7795</v>
      </c>
      <c r="B7856" s="1832">
        <f>'PCTC-OEPP 27-28'!F124</f>
        <v>0</v>
      </c>
      <c r="D7856" s="2" t="str">
        <f t="shared" si="129"/>
        <v>Error?</v>
      </c>
      <c r="E7856" s="4" t="s">
        <v>1999</v>
      </c>
    </row>
    <row r="7857" spans="1:5" x14ac:dyDescent="0.2">
      <c r="A7857">
        <v>7796</v>
      </c>
      <c r="B7857" s="1832">
        <f>'PCTC-OEPP 27-28'!F125</f>
        <v>0</v>
      </c>
      <c r="D7857" s="2" t="str">
        <f t="shared" si="129"/>
        <v>Error?</v>
      </c>
      <c r="E7857" s="4" t="s">
        <v>1999</v>
      </c>
    </row>
    <row r="7858" spans="1:5" x14ac:dyDescent="0.2">
      <c r="A7858">
        <v>7797</v>
      </c>
      <c r="B7858" s="1832">
        <f>'PCTC-OEPP 27-28'!F126</f>
        <v>206632</v>
      </c>
      <c r="D7858" s="2" t="str">
        <f t="shared" si="129"/>
        <v>Error?</v>
      </c>
      <c r="E7858" s="4" t="s">
        <v>1999</v>
      </c>
    </row>
    <row r="7859" spans="1:5" x14ac:dyDescent="0.2">
      <c r="A7859">
        <v>7798</v>
      </c>
      <c r="B7859" s="1832">
        <f>'PCTC-OEPP 27-28'!F127</f>
        <v>385452</v>
      </c>
      <c r="D7859" s="2" t="str">
        <f t="shared" si="129"/>
        <v>Error?</v>
      </c>
      <c r="E7859" s="4" t="s">
        <v>1999</v>
      </c>
    </row>
    <row r="7860" spans="1:5" x14ac:dyDescent="0.2">
      <c r="A7860">
        <v>7799</v>
      </c>
      <c r="B7860" s="1832">
        <f>'PCTC-OEPP 27-28'!F128</f>
        <v>15421</v>
      </c>
      <c r="D7860" s="2" t="str">
        <f t="shared" si="129"/>
        <v>Error?</v>
      </c>
      <c r="E7860" s="4" t="s">
        <v>1999</v>
      </c>
    </row>
    <row r="7861" spans="1:5" x14ac:dyDescent="0.2">
      <c r="A7861">
        <v>7800</v>
      </c>
      <c r="B7861" s="1832">
        <f>'PCTC-OEPP 27-28'!F129</f>
        <v>165246</v>
      </c>
      <c r="D7861" s="2" t="str">
        <f t="shared" si="129"/>
        <v>Error?</v>
      </c>
      <c r="E7861" s="4" t="s">
        <v>1999</v>
      </c>
    </row>
    <row r="7862" spans="1:5" x14ac:dyDescent="0.2">
      <c r="A7862">
        <v>7801</v>
      </c>
      <c r="B7862" s="1832">
        <f>'PCTC-OEPP 27-28'!F130</f>
        <v>11167</v>
      </c>
      <c r="D7862" s="2" t="str">
        <f t="shared" si="129"/>
        <v>Error?</v>
      </c>
      <c r="E7862" s="4" t="s">
        <v>1999</v>
      </c>
    </row>
    <row r="7863" spans="1:5" x14ac:dyDescent="0.2">
      <c r="A7863">
        <v>7802</v>
      </c>
      <c r="B7863" s="1832">
        <f>'PCTC-OEPP 27-28'!F131</f>
        <v>0</v>
      </c>
      <c r="D7863" s="2" t="str">
        <f t="shared" si="129"/>
        <v>Error?</v>
      </c>
      <c r="E7863" s="4" t="s">
        <v>1999</v>
      </c>
    </row>
    <row r="7864" spans="1:5" x14ac:dyDescent="0.2">
      <c r="A7864">
        <v>7803</v>
      </c>
      <c r="B7864" s="1832">
        <f>'PCTC-OEPP 27-28'!F132</f>
        <v>0</v>
      </c>
      <c r="D7864" s="2" t="str">
        <f t="shared" si="129"/>
        <v>Error?</v>
      </c>
      <c r="E7864" s="4" t="s">
        <v>1999</v>
      </c>
    </row>
    <row r="7865" spans="1:5" x14ac:dyDescent="0.2">
      <c r="A7865">
        <v>7804</v>
      </c>
      <c r="B7865" s="1832">
        <f>'PCTC-OEPP 27-28'!F133</f>
        <v>0</v>
      </c>
      <c r="D7865" s="2" t="str">
        <f t="shared" si="129"/>
        <v>Error?</v>
      </c>
      <c r="E7865" s="4" t="s">
        <v>1999</v>
      </c>
    </row>
    <row r="7866" spans="1:5" x14ac:dyDescent="0.2">
      <c r="A7866">
        <v>7805</v>
      </c>
      <c r="B7866" s="1832">
        <f>'PCTC-OEPP 27-28'!F158</f>
        <v>0</v>
      </c>
      <c r="D7866" s="2" t="str">
        <f t="shared" si="129"/>
        <v>Error?</v>
      </c>
      <c r="E7866" s="4" t="s">
        <v>1999</v>
      </c>
    </row>
    <row r="7867" spans="1:5" x14ac:dyDescent="0.2">
      <c r="A7867">
        <v>7806</v>
      </c>
      <c r="B7867" s="1832">
        <f>'PCTC-OEPP 27-28'!F160</f>
        <v>0</v>
      </c>
      <c r="D7867" s="2" t="str">
        <f t="shared" si="129"/>
        <v>Error?</v>
      </c>
      <c r="E7867" s="4" t="s">
        <v>1999</v>
      </c>
    </row>
    <row r="7868" spans="1:5" x14ac:dyDescent="0.2">
      <c r="A7868">
        <v>7807</v>
      </c>
      <c r="B7868" s="1832">
        <f>'PCTC-OEPP 27-28'!F161</f>
        <v>0</v>
      </c>
      <c r="D7868" s="2" t="str">
        <f t="shared" si="129"/>
        <v>Error?</v>
      </c>
      <c r="E7868" s="4" t="s">
        <v>1999</v>
      </c>
    </row>
    <row r="7869" spans="1:5" x14ac:dyDescent="0.2">
      <c r="A7869">
        <v>7808</v>
      </c>
      <c r="B7869" s="1832">
        <f>'PCTC-OEPP 27-28'!F162</f>
        <v>1808</v>
      </c>
      <c r="D7869" s="2" t="str">
        <f t="shared" si="129"/>
        <v>Error?</v>
      </c>
      <c r="E7869" s="4" t="s">
        <v>1999</v>
      </c>
    </row>
    <row r="7870" spans="1:5" x14ac:dyDescent="0.2">
      <c r="A7870">
        <v>7809</v>
      </c>
      <c r="B7870" s="1832">
        <f>'PCTC-OEPP 27-28'!F163</f>
        <v>0</v>
      </c>
      <c r="D7870" s="2" t="str">
        <f t="shared" si="129"/>
        <v>Error?</v>
      </c>
      <c r="E7870" s="4" t="s">
        <v>1999</v>
      </c>
    </row>
    <row r="7871" spans="1:5" x14ac:dyDescent="0.2">
      <c r="A7871">
        <v>7810</v>
      </c>
      <c r="B7871" s="1832">
        <f>'PCTC-OEPP 27-28'!F164</f>
        <v>0</v>
      </c>
      <c r="D7871" s="2" t="str">
        <f t="shared" si="129"/>
        <v>Error?</v>
      </c>
      <c r="E7871" s="4" t="s">
        <v>1999</v>
      </c>
    </row>
    <row r="7872" spans="1:5" x14ac:dyDescent="0.2">
      <c r="A7872">
        <v>7811</v>
      </c>
      <c r="B7872" s="1832">
        <f>'PCTC-OEPP 27-28'!F165</f>
        <v>42224</v>
      </c>
      <c r="D7872" s="2" t="str">
        <f t="shared" si="129"/>
        <v>Error?</v>
      </c>
      <c r="E7872" s="4" t="s">
        <v>1999</v>
      </c>
    </row>
    <row r="7873" spans="1:5" x14ac:dyDescent="0.2">
      <c r="A7873">
        <v>7812</v>
      </c>
      <c r="B7873" s="1832">
        <f>'PCTC-OEPP 27-28'!F166</f>
        <v>0</v>
      </c>
      <c r="D7873" s="2" t="str">
        <f t="shared" si="129"/>
        <v>Error?</v>
      </c>
      <c r="E7873" s="4" t="s">
        <v>1999</v>
      </c>
    </row>
    <row r="7874" spans="1:5" x14ac:dyDescent="0.2">
      <c r="A7874">
        <v>7813</v>
      </c>
      <c r="B7874" s="1832">
        <f>'PCTC-OEPP 27-28'!F169</f>
        <v>9869</v>
      </c>
      <c r="D7874" s="2" t="str">
        <f t="shared" si="129"/>
        <v>Error?</v>
      </c>
      <c r="E7874" s="4" t="s">
        <v>1999</v>
      </c>
    </row>
    <row r="7875" spans="1:5" x14ac:dyDescent="0.2">
      <c r="A7875">
        <v>7814</v>
      </c>
      <c r="B7875" s="1832">
        <f>'PCTC-OEPP 27-28'!F170</f>
        <v>56560</v>
      </c>
      <c r="D7875" s="2" t="str">
        <f t="shared" si="129"/>
        <v>Error?</v>
      </c>
      <c r="E7875" s="4" t="s">
        <v>1999</v>
      </c>
    </row>
    <row r="7876" spans="1:5" x14ac:dyDescent="0.2">
      <c r="A7876">
        <v>7815</v>
      </c>
      <c r="B7876" s="1832">
        <f>'PCTC-OEPP 27-28'!F171</f>
        <v>0</v>
      </c>
      <c r="D7876" s="2" t="str">
        <f t="shared" si="129"/>
        <v>Error?</v>
      </c>
      <c r="E7876" s="4" t="s">
        <v>1999</v>
      </c>
    </row>
    <row r="7877" spans="1:5" x14ac:dyDescent="0.2">
      <c r="A7877">
        <v>7816</v>
      </c>
      <c r="B7877" s="1832">
        <f>'PCTC-OEPP 27-28'!F175</f>
        <v>2107445</v>
      </c>
      <c r="D7877" s="2" t="str">
        <f t="shared" si="129"/>
        <v>Error?</v>
      </c>
      <c r="E7877" s="4" t="s">
        <v>1999</v>
      </c>
    </row>
    <row r="7878" spans="1:5" x14ac:dyDescent="0.2">
      <c r="A7878">
        <v>7817</v>
      </c>
      <c r="B7878" s="1832">
        <f>'PCTC-OEPP 27-28'!F176</f>
        <v>6425876</v>
      </c>
      <c r="D7878" s="2" t="str">
        <f t="shared" si="129"/>
        <v>Error?</v>
      </c>
      <c r="E7878" s="4" t="s">
        <v>1999</v>
      </c>
    </row>
    <row r="7879" spans="1:5" x14ac:dyDescent="0.2">
      <c r="A7879">
        <v>7818</v>
      </c>
      <c r="B7879" s="1832">
        <f>'PCTC-OEPP 27-28'!F178</f>
        <v>6809752</v>
      </c>
      <c r="D7879" s="2" t="str">
        <f t="shared" si="129"/>
        <v>Error?</v>
      </c>
      <c r="E7879" s="4" t="s">
        <v>1999</v>
      </c>
    </row>
    <row r="7880" spans="1:5" x14ac:dyDescent="0.2">
      <c r="A7880">
        <v>7819</v>
      </c>
      <c r="B7880" s="1832">
        <f>'PCTC-OEPP 27-28'!F180</f>
        <v>8339.1525838843991</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5849</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L30" sqref="L30"/>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6" t="s">
        <v>1183</v>
      </c>
      <c r="B2" s="2546"/>
      <c r="C2" s="2546"/>
      <c r="D2" s="2546"/>
      <c r="E2" s="2546"/>
      <c r="F2" s="2546"/>
      <c r="G2" s="2546"/>
      <c r="H2" s="2546"/>
      <c r="I2" s="2546"/>
      <c r="J2" s="2546"/>
      <c r="K2" s="2546"/>
      <c r="L2" s="2546"/>
    </row>
    <row r="3" spans="1:29" ht="13.5" customHeight="1" x14ac:dyDescent="0.2">
      <c r="A3" s="2532" t="s">
        <v>1182</v>
      </c>
      <c r="B3" s="2532"/>
      <c r="C3" s="2532"/>
      <c r="D3" s="2532"/>
      <c r="E3" s="2532"/>
      <c r="F3" s="2532"/>
      <c r="G3" s="2532"/>
      <c r="H3" s="2532"/>
      <c r="I3" s="2532"/>
      <c r="J3" s="2532"/>
      <c r="K3" s="2532"/>
      <c r="L3" s="2532"/>
    </row>
    <row r="4" spans="1:29" ht="13.5" customHeight="1" x14ac:dyDescent="0.2">
      <c r="A4" s="2563" t="str">
        <f>"Year Ending June 30, "&amp;'AFR20'!E2</f>
        <v>Year Ending June 30, 2020</v>
      </c>
      <c r="B4" s="2564"/>
      <c r="C4" s="2564"/>
      <c r="D4" s="2564"/>
      <c r="E4" s="2564"/>
      <c r="F4" s="2564"/>
      <c r="G4" s="2564"/>
      <c r="H4" s="2564"/>
      <c r="I4" s="2564"/>
      <c r="J4" s="2564"/>
      <c r="K4" s="2564"/>
      <c r="L4" s="256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26" t="str">
        <f>COVER!A17</f>
        <v xml:space="preserve">   TRICO CUSD 176</v>
      </c>
      <c r="B7" s="2527"/>
      <c r="C7" s="2527"/>
      <c r="D7" s="2565"/>
      <c r="E7" s="2566">
        <f>COVER!A13</f>
        <v>30039176026</v>
      </c>
      <c r="F7" s="2567"/>
      <c r="G7" s="2533" t="str">
        <f>COVER!T23</f>
        <v>066-003998</v>
      </c>
      <c r="H7" s="2534"/>
      <c r="I7" s="2534"/>
      <c r="J7" s="2534"/>
      <c r="K7" s="2534"/>
      <c r="L7" s="2535"/>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36"/>
      <c r="B9" s="2537"/>
      <c r="C9" s="2537"/>
      <c r="D9" s="2537"/>
      <c r="E9" s="2537"/>
      <c r="F9" s="2538"/>
      <c r="G9" s="2539" t="str">
        <f>COVER!T13</f>
        <v>Kemper CPA Group, LLP</v>
      </c>
      <c r="H9" s="2540"/>
      <c r="I9" s="2540"/>
      <c r="J9" s="2540"/>
      <c r="K9" s="2540"/>
      <c r="L9" s="2541"/>
    </row>
    <row r="10" spans="1:29" ht="13.5" customHeight="1" x14ac:dyDescent="0.2">
      <c r="A10" s="2523" t="str">
        <f>COVER!A38</f>
        <v>Larry Lovel</v>
      </c>
      <c r="B10" s="2524"/>
      <c r="C10" s="2524"/>
      <c r="D10" s="2524"/>
      <c r="E10" s="2524"/>
      <c r="F10" s="2525"/>
      <c r="G10" s="2539" t="str">
        <f>COVER!T17</f>
        <v>3401 Professional Park Drive, PO BOX 129</v>
      </c>
      <c r="H10" s="2552"/>
      <c r="I10" s="2552"/>
      <c r="J10" s="2552"/>
      <c r="K10" s="2552"/>
      <c r="L10" s="2553"/>
    </row>
    <row r="11" spans="1:29" ht="13.5" customHeight="1" x14ac:dyDescent="0.2">
      <c r="A11" s="963" t="s">
        <v>1505</v>
      </c>
      <c r="B11" s="964"/>
      <c r="C11" s="965"/>
      <c r="D11" s="970"/>
      <c r="E11" s="965"/>
      <c r="F11" s="969"/>
      <c r="G11" s="2539" t="str">
        <f>COVER!T19</f>
        <v>Marion</v>
      </c>
      <c r="H11" s="2552"/>
      <c r="I11" s="2552"/>
      <c r="J11" s="2552"/>
      <c r="K11" s="2552"/>
      <c r="L11" s="2553"/>
    </row>
    <row r="12" spans="1:29" ht="13.5" customHeight="1" x14ac:dyDescent="0.2">
      <c r="A12" s="2557" t="s">
        <v>1504</v>
      </c>
      <c r="B12" s="2558"/>
      <c r="C12" s="2558"/>
      <c r="D12" s="2558"/>
      <c r="E12" s="2558"/>
      <c r="F12" s="2559"/>
      <c r="G12" s="2554"/>
      <c r="H12" s="2555"/>
      <c r="I12" s="2555"/>
      <c r="J12" s="2555"/>
      <c r="K12" s="2555"/>
      <c r="L12" s="2556"/>
    </row>
    <row r="13" spans="1:29" ht="13.5" customHeight="1" x14ac:dyDescent="0.2">
      <c r="A13" s="2539"/>
      <c r="B13" s="2552"/>
      <c r="C13" s="2552"/>
      <c r="D13" s="2552"/>
      <c r="E13" s="2552"/>
      <c r="F13" s="2553"/>
      <c r="G13" s="2547" t="s">
        <v>1506</v>
      </c>
      <c r="H13" s="2548"/>
      <c r="I13" s="2560" t="str">
        <f>COVER!T25</f>
        <v>kwalker@kcpag.com</v>
      </c>
      <c r="J13" s="2561"/>
      <c r="K13" s="2561"/>
      <c r="L13" s="2562"/>
    </row>
    <row r="14" spans="1:29" ht="13.5" customHeight="1" x14ac:dyDescent="0.2">
      <c r="A14" s="2539" t="str">
        <f>COVER!A19</f>
        <v>16411 Highway 4, P.O. BOX 220</v>
      </c>
      <c r="B14" s="2552"/>
      <c r="C14" s="2552"/>
      <c r="D14" s="2552"/>
      <c r="E14" s="2552"/>
      <c r="F14" s="2553"/>
      <c r="G14" s="974" t="s">
        <v>1177</v>
      </c>
      <c r="H14" s="972"/>
      <c r="I14" s="972"/>
      <c r="J14" s="972"/>
      <c r="K14" s="972"/>
      <c r="L14" s="973"/>
    </row>
    <row r="15" spans="1:29" ht="13.5" customHeight="1" x14ac:dyDescent="0.2">
      <c r="A15" s="2539" t="str">
        <f>COVER!A21</f>
        <v>Campbell Hill</v>
      </c>
      <c r="B15" s="2552"/>
      <c r="C15" s="2552"/>
      <c r="D15" s="2552"/>
      <c r="E15" s="2552"/>
      <c r="F15" s="2553"/>
      <c r="G15" s="2549" t="str">
        <f>COVER!T15</f>
        <v>Kimberly Walker, CPA</v>
      </c>
      <c r="H15" s="2550"/>
      <c r="I15" s="2550"/>
      <c r="J15" s="2550"/>
      <c r="K15" s="2550"/>
      <c r="L15" s="2551"/>
    </row>
    <row r="16" spans="1:29" ht="12.2" customHeight="1" x14ac:dyDescent="0.2">
      <c r="A16" s="2529">
        <f>COVER!A25</f>
        <v>62916</v>
      </c>
      <c r="B16" s="2530"/>
      <c r="C16" s="2530"/>
      <c r="D16" s="2530"/>
      <c r="E16" s="2530"/>
      <c r="F16" s="2531"/>
      <c r="G16" s="2542"/>
      <c r="H16" s="2543"/>
      <c r="I16" s="2543"/>
      <c r="J16" s="2543"/>
      <c r="K16" s="2543"/>
      <c r="L16" s="2544"/>
    </row>
    <row r="17" spans="1:13" ht="12.2" customHeight="1" x14ac:dyDescent="0.2">
      <c r="A17" s="2545"/>
      <c r="B17" s="2530"/>
      <c r="C17" s="2530"/>
      <c r="D17" s="2530"/>
      <c r="E17" s="2530"/>
      <c r="F17" s="2531"/>
      <c r="G17" s="974" t="s">
        <v>1176</v>
      </c>
      <c r="H17" s="972"/>
      <c r="I17" s="972"/>
      <c r="J17" s="972"/>
      <c r="K17" s="976" t="s">
        <v>1175</v>
      </c>
      <c r="L17" s="969"/>
      <c r="M17" s="962"/>
    </row>
    <row r="18" spans="1:13" ht="12.2" customHeight="1" x14ac:dyDescent="0.2">
      <c r="A18" s="2523"/>
      <c r="B18" s="2524"/>
      <c r="C18" s="2524"/>
      <c r="D18" s="2524"/>
      <c r="E18" s="2524"/>
      <c r="F18" s="2525"/>
      <c r="G18" s="2526" t="str">
        <f>COVER!T21</f>
        <v>618-997-3055</v>
      </c>
      <c r="H18" s="2527"/>
      <c r="I18" s="2527"/>
      <c r="J18" s="2527"/>
      <c r="K18" s="2526" t="str">
        <f>COVER!X21</f>
        <v>618-997-5121</v>
      </c>
      <c r="L18" s="252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t="s">
        <v>2023</v>
      </c>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t="s">
        <v>2023</v>
      </c>
      <c r="C26" s="981" t="s">
        <v>1680</v>
      </c>
    </row>
    <row r="27" spans="1:13" s="977" customFormat="1" ht="9" customHeight="1" x14ac:dyDescent="0.2">
      <c r="B27" s="982"/>
      <c r="C27" s="981"/>
    </row>
    <row r="28" spans="1:13" s="977" customFormat="1" ht="12.2" customHeight="1" x14ac:dyDescent="0.2">
      <c r="A28" s="984"/>
      <c r="B28" s="980" t="s">
        <v>2023</v>
      </c>
      <c r="C28" s="981" t="s">
        <v>1681</v>
      </c>
    </row>
    <row r="29" spans="1:13" s="977" customFormat="1" ht="9" customHeight="1" x14ac:dyDescent="0.2">
      <c r="A29" s="984"/>
      <c r="B29" s="982"/>
      <c r="C29" s="981"/>
    </row>
    <row r="30" spans="1:13" s="977" customFormat="1" ht="12.2" customHeight="1" x14ac:dyDescent="0.2">
      <c r="B30" s="980" t="s">
        <v>2023</v>
      </c>
      <c r="C30" s="981" t="s">
        <v>1548</v>
      </c>
      <c r="D30" s="975"/>
      <c r="E30" s="975"/>
    </row>
    <row r="31" spans="1:13" s="977" customFormat="1" ht="9" customHeight="1" x14ac:dyDescent="0.2">
      <c r="B31" s="982"/>
      <c r="C31" s="981"/>
      <c r="D31" s="975"/>
      <c r="E31" s="975"/>
    </row>
    <row r="32" spans="1:13" s="977" customFormat="1" ht="12.2" customHeight="1" x14ac:dyDescent="0.2">
      <c r="B32" s="980" t="s">
        <v>2023</v>
      </c>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t="s">
        <v>2023</v>
      </c>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t="s">
        <v>2023</v>
      </c>
      <c r="C38" s="981" t="s">
        <v>1552</v>
      </c>
    </row>
    <row r="39" spans="1:8" ht="9" customHeight="1" x14ac:dyDescent="0.2">
      <c r="B39" s="982"/>
      <c r="C39" s="985"/>
    </row>
    <row r="40" spans="1:8" s="977" customFormat="1" ht="13.5" customHeight="1" x14ac:dyDescent="0.2">
      <c r="B40" s="980" t="s">
        <v>2023</v>
      </c>
      <c r="C40" s="981" t="s">
        <v>1553</v>
      </c>
    </row>
    <row r="41" spans="1:8" ht="9" customHeight="1" x14ac:dyDescent="0.2">
      <c r="A41" s="986"/>
      <c r="B41" s="982"/>
      <c r="C41" s="985"/>
    </row>
    <row r="42" spans="1:8" s="977" customFormat="1" ht="13.5" customHeight="1" x14ac:dyDescent="0.2">
      <c r="B42" s="980" t="s">
        <v>2040</v>
      </c>
      <c r="C42" s="981" t="s">
        <v>1810</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2023</v>
      </c>
      <c r="C46" s="988" t="s">
        <v>1554</v>
      </c>
      <c r="D46" s="975"/>
      <c r="E46" s="975"/>
      <c r="F46" s="975"/>
      <c r="G46" s="975"/>
      <c r="H46" s="975"/>
    </row>
    <row r="47" spans="1:8" ht="9" customHeight="1" x14ac:dyDescent="0.2"/>
    <row r="48" spans="1:8" ht="12.2" customHeight="1" x14ac:dyDescent="0.2">
      <c r="B48" s="1541" t="s">
        <v>2023</v>
      </c>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8" t="str">
        <f>'Single Audit Cover'!A7</f>
        <v xml:space="preserve">   TRICO CUSD 176</v>
      </c>
      <c r="B1" s="2569"/>
      <c r="C1" s="2569"/>
      <c r="D1" s="2569"/>
    </row>
    <row r="2" spans="1:11" s="991" customFormat="1" ht="12.75" x14ac:dyDescent="0.2">
      <c r="A2" s="2570">
        <f>'Single Audit Cover'!E7</f>
        <v>30039176026</v>
      </c>
      <c r="B2" s="2571"/>
      <c r="C2" s="2571"/>
      <c r="D2" s="2571"/>
    </row>
    <row r="3" spans="1:11" s="991" customFormat="1" ht="12.75" x14ac:dyDescent="0.2">
      <c r="A3" s="2568" t="s">
        <v>1499</v>
      </c>
      <c r="B3" s="2569"/>
      <c r="C3" s="2569"/>
      <c r="D3" s="2569"/>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t="s">
        <v>2023</v>
      </c>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2023</v>
      </c>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2023</v>
      </c>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2023</v>
      </c>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2023</v>
      </c>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2023</v>
      </c>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2023</v>
      </c>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t="s">
        <v>2023</v>
      </c>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t="s">
        <v>2023</v>
      </c>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t="s">
        <v>2023</v>
      </c>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t="s">
        <v>2023</v>
      </c>
      <c r="C42" s="1008">
        <v>11</v>
      </c>
      <c r="D42" s="1019" t="s">
        <v>1560</v>
      </c>
      <c r="E42" s="290"/>
    </row>
    <row r="43" spans="1:5" ht="3" customHeight="1" x14ac:dyDescent="0.2">
      <c r="A43" s="998"/>
      <c r="B43" s="1015"/>
      <c r="C43" s="1016"/>
      <c r="D43" s="997"/>
    </row>
    <row r="44" spans="1:5" x14ac:dyDescent="0.2">
      <c r="A44" s="998"/>
      <c r="B44" s="1001" t="s">
        <v>2023</v>
      </c>
      <c r="C44" s="1002">
        <f>C42+1</f>
        <v>12</v>
      </c>
      <c r="D44" s="1013" t="s">
        <v>1206</v>
      </c>
    </row>
    <row r="45" spans="1:5" ht="10.5" customHeight="1" x14ac:dyDescent="0.2">
      <c r="A45" s="998"/>
      <c r="B45" s="1014"/>
      <c r="C45" s="1002"/>
      <c r="D45" s="1013" t="s">
        <v>1970</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t="s">
        <v>2023</v>
      </c>
      <c r="C48" s="1002">
        <f>C44+1</f>
        <v>13</v>
      </c>
      <c r="D48" s="1013" t="s">
        <v>1561</v>
      </c>
    </row>
    <row r="49" spans="1:4" ht="3" customHeight="1" x14ac:dyDescent="0.2">
      <c r="A49" s="998"/>
      <c r="B49" s="1005"/>
      <c r="C49" s="1002"/>
      <c r="D49" s="1013"/>
    </row>
    <row r="50" spans="1:4" x14ac:dyDescent="0.2">
      <c r="A50" s="998"/>
      <c r="B50" s="1001" t="s">
        <v>2023</v>
      </c>
      <c r="C50" s="1002">
        <f>C48+1</f>
        <v>14</v>
      </c>
      <c r="D50" s="1013" t="s">
        <v>1204</v>
      </c>
    </row>
    <row r="51" spans="1:4" ht="3" customHeight="1" x14ac:dyDescent="0.2">
      <c r="A51" s="998"/>
      <c r="B51" s="1005"/>
      <c r="C51" s="1002"/>
      <c r="D51" s="1013"/>
    </row>
    <row r="52" spans="1:4" x14ac:dyDescent="0.2">
      <c r="A52" s="998"/>
      <c r="B52" s="1001" t="s">
        <v>2023</v>
      </c>
      <c r="C52" s="1002">
        <f>C50+1</f>
        <v>15</v>
      </c>
      <c r="D52" s="1013" t="s">
        <v>1203</v>
      </c>
    </row>
    <row r="53" spans="1:4" ht="3" customHeight="1" x14ac:dyDescent="0.2">
      <c r="A53" s="998"/>
      <c r="B53" s="1005"/>
      <c r="C53" s="1002"/>
      <c r="D53" s="1013"/>
    </row>
    <row r="54" spans="1:4" x14ac:dyDescent="0.2">
      <c r="A54" s="998"/>
      <c r="B54" s="1001" t="s">
        <v>2023</v>
      </c>
      <c r="C54" s="1002">
        <f>C52+1</f>
        <v>16</v>
      </c>
      <c r="D54" s="1013" t="s">
        <v>1202</v>
      </c>
    </row>
    <row r="55" spans="1:4" ht="3" customHeight="1" x14ac:dyDescent="0.2">
      <c r="A55" s="998"/>
      <c r="B55" s="1005"/>
      <c r="C55" s="1002"/>
      <c r="D55" s="1013"/>
    </row>
    <row r="56" spans="1:4" x14ac:dyDescent="0.2">
      <c r="A56" s="998"/>
      <c r="B56" s="1001" t="s">
        <v>2023</v>
      </c>
      <c r="C56" s="1002">
        <f>C54+1</f>
        <v>17</v>
      </c>
      <c r="D56" s="997" t="s">
        <v>1689</v>
      </c>
    </row>
    <row r="57" spans="1:4" ht="10.5" customHeight="1" x14ac:dyDescent="0.2">
      <c r="A57" s="998"/>
      <c r="D57" s="1013" t="s">
        <v>1690</v>
      </c>
    </row>
    <row r="58" spans="1:4" x14ac:dyDescent="0.2">
      <c r="A58" s="998"/>
      <c r="C58" s="1020" t="s">
        <v>2023</v>
      </c>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t="s">
        <v>2023</v>
      </c>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t="s">
        <v>2023</v>
      </c>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t="s">
        <v>2023</v>
      </c>
      <c r="D69" s="1013" t="s">
        <v>1694</v>
      </c>
    </row>
    <row r="70" spans="1:4" x14ac:dyDescent="0.2">
      <c r="A70" s="998"/>
      <c r="D70" s="1022" t="s">
        <v>1198</v>
      </c>
    </row>
    <row r="71" spans="1:4" ht="3" customHeight="1" x14ac:dyDescent="0.2">
      <c r="A71" s="998"/>
      <c r="D71" s="997"/>
    </row>
    <row r="72" spans="1:4" x14ac:dyDescent="0.2">
      <c r="A72" s="998"/>
      <c r="B72" s="1001" t="s">
        <v>2023</v>
      </c>
      <c r="C72" s="1002">
        <f>C56+1</f>
        <v>18</v>
      </c>
      <c r="D72" s="1023" t="s">
        <v>1695</v>
      </c>
    </row>
    <row r="73" spans="1:4" ht="3" customHeight="1" x14ac:dyDescent="0.2">
      <c r="A73" s="998"/>
      <c r="B73" s="1005"/>
      <c r="C73" s="1002"/>
      <c r="D73" s="1023"/>
    </row>
    <row r="74" spans="1:4" x14ac:dyDescent="0.2">
      <c r="A74" s="998"/>
      <c r="B74" s="1001" t="s">
        <v>2023</v>
      </c>
      <c r="C74" s="1002">
        <f>C72+1</f>
        <v>19</v>
      </c>
      <c r="D74" s="1013" t="s">
        <v>1197</v>
      </c>
    </row>
    <row r="75" spans="1:4" ht="3" customHeight="1" x14ac:dyDescent="0.2">
      <c r="A75" s="998"/>
      <c r="B75" s="1005"/>
      <c r="C75" s="1002"/>
      <c r="D75" s="1013"/>
    </row>
    <row r="76" spans="1:4" x14ac:dyDescent="0.2">
      <c r="A76" s="998"/>
      <c r="B76" s="1001" t="s">
        <v>2023</v>
      </c>
      <c r="C76" s="1002">
        <f>C74+1</f>
        <v>20</v>
      </c>
      <c r="D76" s="1024" t="s">
        <v>1696</v>
      </c>
    </row>
    <row r="77" spans="1:4" ht="3" customHeight="1" x14ac:dyDescent="0.2">
      <c r="A77" s="998"/>
      <c r="B77" s="1005"/>
      <c r="C77" s="1002"/>
      <c r="D77" s="1024"/>
    </row>
    <row r="78" spans="1:4" x14ac:dyDescent="0.2">
      <c r="A78" s="998"/>
      <c r="B78" s="1001" t="s">
        <v>2023</v>
      </c>
      <c r="C78" s="1002">
        <f>C76+1</f>
        <v>21</v>
      </c>
      <c r="D78" s="997" t="s">
        <v>1697</v>
      </c>
    </row>
    <row r="79" spans="1:4" ht="3" customHeight="1" x14ac:dyDescent="0.2">
      <c r="A79" s="998"/>
      <c r="B79" s="1005"/>
      <c r="C79" s="1002"/>
      <c r="D79" s="997"/>
    </row>
    <row r="80" spans="1:4" x14ac:dyDescent="0.2">
      <c r="A80" s="998"/>
      <c r="B80" s="1001" t="s">
        <v>2023</v>
      </c>
      <c r="C80" s="1002">
        <f>C78+1</f>
        <v>22</v>
      </c>
      <c r="D80" s="1025" t="s">
        <v>1698</v>
      </c>
    </row>
    <row r="81" spans="1:4" ht="3" customHeight="1" x14ac:dyDescent="0.2">
      <c r="A81" s="998"/>
      <c r="B81" s="1005"/>
      <c r="C81" s="1002"/>
      <c r="D81" s="1025"/>
    </row>
    <row r="82" spans="1:4" x14ac:dyDescent="0.2">
      <c r="A82" s="998"/>
      <c r="B82" s="1001" t="s">
        <v>2023</v>
      </c>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t="s">
        <v>2023</v>
      </c>
      <c r="C85" s="1002">
        <f>C82+1</f>
        <v>24</v>
      </c>
      <c r="D85" s="1013" t="s">
        <v>1195</v>
      </c>
    </row>
    <row r="86" spans="1:4" ht="3" customHeight="1" x14ac:dyDescent="0.2">
      <c r="A86" s="998"/>
      <c r="B86" s="1005"/>
      <c r="C86" s="1002"/>
      <c r="D86" s="1013"/>
    </row>
    <row r="87" spans="1:4" x14ac:dyDescent="0.2">
      <c r="A87" s="998"/>
      <c r="B87" s="1001" t="s">
        <v>2023</v>
      </c>
      <c r="C87" s="1002">
        <f>C85+1</f>
        <v>25</v>
      </c>
      <c r="D87" s="1013" t="s">
        <v>1194</v>
      </c>
    </row>
    <row r="88" spans="1:4" ht="3" customHeight="1" x14ac:dyDescent="0.2">
      <c r="A88" s="998"/>
      <c r="B88" s="1005"/>
      <c r="C88" s="1002"/>
      <c r="D88" s="1013"/>
    </row>
    <row r="89" spans="1:4" x14ac:dyDescent="0.2">
      <c r="A89" s="998"/>
      <c r="B89" s="1001" t="s">
        <v>2023</v>
      </c>
      <c r="C89" s="1002">
        <f>C87+1</f>
        <v>26</v>
      </c>
      <c r="D89" s="1013" t="s">
        <v>1193</v>
      </c>
    </row>
    <row r="90" spans="1:4" ht="3" customHeight="1" x14ac:dyDescent="0.2">
      <c r="A90" s="998"/>
      <c r="B90" s="1005"/>
      <c r="C90" s="1002"/>
      <c r="D90" s="1013"/>
    </row>
    <row r="91" spans="1:4" x14ac:dyDescent="0.2">
      <c r="A91" s="998"/>
      <c r="B91" s="1001" t="s">
        <v>2040</v>
      </c>
      <c r="C91" s="1002">
        <f>C89+1</f>
        <v>27</v>
      </c>
      <c r="D91" s="1013" t="s">
        <v>1700</v>
      </c>
    </row>
    <row r="92" spans="1:4" x14ac:dyDescent="0.2">
      <c r="A92" s="998"/>
      <c r="B92" s="1026"/>
      <c r="C92" s="1020" t="s">
        <v>2040</v>
      </c>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t="s">
        <v>2023</v>
      </c>
      <c r="C96" s="1002">
        <f>C91+1</f>
        <v>28</v>
      </c>
      <c r="D96" s="1013" t="s">
        <v>1701</v>
      </c>
    </row>
    <row r="97" spans="1:4" ht="3" customHeight="1" x14ac:dyDescent="0.2">
      <c r="A97" s="998"/>
      <c r="B97" s="1005"/>
      <c r="C97" s="1002"/>
      <c r="D97" s="1013"/>
    </row>
    <row r="98" spans="1:4" x14ac:dyDescent="0.2">
      <c r="A98" s="998"/>
      <c r="B98" s="1001" t="s">
        <v>2023</v>
      </c>
      <c r="C98" s="1002">
        <f>C96+1</f>
        <v>29</v>
      </c>
      <c r="D98" s="1027" t="s">
        <v>1702</v>
      </c>
    </row>
    <row r="99" spans="1:4" ht="3" customHeight="1" x14ac:dyDescent="0.2">
      <c r="A99" s="998"/>
      <c r="B99" s="1005"/>
      <c r="C99" s="1002"/>
      <c r="D99" s="1027"/>
    </row>
    <row r="100" spans="1:4" x14ac:dyDescent="0.2">
      <c r="A100" s="998"/>
      <c r="B100" s="1001" t="s">
        <v>2023</v>
      </c>
      <c r="C100" s="1002">
        <f>C98+1</f>
        <v>30</v>
      </c>
      <c r="D100" s="1013" t="s">
        <v>1703</v>
      </c>
    </row>
    <row r="101" spans="1:4" ht="3" customHeight="1" x14ac:dyDescent="0.2">
      <c r="A101" s="998"/>
      <c r="B101" s="1005"/>
      <c r="C101" s="1002"/>
      <c r="D101" s="1028"/>
    </row>
    <row r="102" spans="1:4" x14ac:dyDescent="0.2">
      <c r="A102" s="998"/>
      <c r="B102" s="1001" t="s">
        <v>2023</v>
      </c>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t="s">
        <v>2040</v>
      </c>
      <c r="C106" s="1002">
        <f>C102+1</f>
        <v>32</v>
      </c>
      <c r="D106" s="997" t="s">
        <v>1566</v>
      </c>
    </row>
    <row r="107" spans="1:4" ht="3" customHeight="1" x14ac:dyDescent="0.2">
      <c r="A107" s="998"/>
      <c r="B107" s="1005"/>
      <c r="C107" s="1002"/>
      <c r="D107" s="997"/>
    </row>
    <row r="108" spans="1:4" x14ac:dyDescent="0.2">
      <c r="A108" s="998"/>
      <c r="B108" s="1001" t="s">
        <v>2040</v>
      </c>
      <c r="C108" s="1002">
        <v>33</v>
      </c>
      <c r="D108" s="997" t="s">
        <v>1704</v>
      </c>
    </row>
    <row r="109" spans="1:4" ht="3" customHeight="1" x14ac:dyDescent="0.2">
      <c r="A109" s="998"/>
      <c r="B109" s="1005"/>
      <c r="C109" s="1002"/>
      <c r="D109" s="997"/>
    </row>
    <row r="110" spans="1:4" x14ac:dyDescent="0.2">
      <c r="A110" s="998"/>
      <c r="B110" s="1001" t="s">
        <v>2040</v>
      </c>
      <c r="C110" s="1002">
        <f>C108+1</f>
        <v>34</v>
      </c>
      <c r="D110" s="997" t="s">
        <v>1190</v>
      </c>
    </row>
    <row r="111" spans="1:4" ht="3" customHeight="1" x14ac:dyDescent="0.2">
      <c r="A111" s="998"/>
      <c r="B111" s="1005"/>
      <c r="C111" s="1002"/>
      <c r="D111" s="997"/>
    </row>
    <row r="112" spans="1:4" x14ac:dyDescent="0.2">
      <c r="A112" s="998"/>
      <c r="B112" s="1001" t="s">
        <v>2040</v>
      </c>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t="s">
        <v>2040</v>
      </c>
      <c r="C115" s="1002">
        <f>C112+1</f>
        <v>36</v>
      </c>
      <c r="D115" s="1013" t="s">
        <v>1187</v>
      </c>
    </row>
    <row r="116" spans="1:4" ht="3" customHeight="1" x14ac:dyDescent="0.2">
      <c r="A116" s="998"/>
      <c r="B116" s="1005"/>
      <c r="C116" s="1002"/>
      <c r="D116" s="1013"/>
    </row>
    <row r="117" spans="1:4" x14ac:dyDescent="0.2">
      <c r="A117" s="998"/>
      <c r="B117" s="1001" t="s">
        <v>2040</v>
      </c>
      <c r="C117" s="1002">
        <f>C115+1</f>
        <v>37</v>
      </c>
      <c r="D117" s="1013" t="s">
        <v>1705</v>
      </c>
    </row>
    <row r="118" spans="1:4" ht="3" customHeight="1" x14ac:dyDescent="0.2">
      <c r="A118" s="998"/>
      <c r="B118" s="1005"/>
      <c r="C118" s="1002"/>
      <c r="D118" s="1013"/>
    </row>
    <row r="119" spans="1:4" x14ac:dyDescent="0.2">
      <c r="A119" s="998"/>
      <c r="B119" s="1001" t="s">
        <v>2040</v>
      </c>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t="s">
        <v>2040</v>
      </c>
      <c r="C123" s="1002">
        <f>C119+1</f>
        <v>39</v>
      </c>
      <c r="D123" s="1023" t="s">
        <v>1811</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4" firstPageNumber="36"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38" sqref="F3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3" t="str">
        <f>'Single Audit Cover'!A7</f>
        <v xml:space="preserve">   TRICO CUSD 176</v>
      </c>
      <c r="B1" s="2573"/>
      <c r="C1" s="2573"/>
      <c r="D1" s="2573"/>
      <c r="E1" s="2573"/>
    </row>
    <row r="2" spans="1:5" x14ac:dyDescent="0.2">
      <c r="A2" s="2574">
        <f>'Single Audit Cover'!E7</f>
        <v>30039176026</v>
      </c>
      <c r="B2" s="2574"/>
      <c r="C2" s="2574"/>
      <c r="D2" s="2574"/>
      <c r="E2" s="2574"/>
    </row>
    <row r="3" spans="1:5" ht="4.5" customHeight="1" x14ac:dyDescent="0.2"/>
    <row r="4" spans="1:5" x14ac:dyDescent="0.2">
      <c r="A4" s="2573" t="s">
        <v>1236</v>
      </c>
      <c r="B4" s="2573"/>
      <c r="C4" s="2573"/>
      <c r="D4" s="2573"/>
      <c r="E4" s="2573"/>
    </row>
    <row r="5" spans="1:5" x14ac:dyDescent="0.2">
      <c r="A5" s="2576" t="str">
        <f>'Single Audit Cover'!A4</f>
        <v>Year Ending June 30, 2020</v>
      </c>
      <c r="B5" s="2576"/>
      <c r="C5" s="2576"/>
      <c r="D5" s="2576"/>
      <c r="E5" s="2576"/>
    </row>
    <row r="6" spans="1:5" x14ac:dyDescent="0.2">
      <c r="A6" s="2573" t="s">
        <v>1235</v>
      </c>
      <c r="B6" s="2573"/>
      <c r="C6" s="2573"/>
      <c r="D6" s="2573"/>
      <c r="E6" s="2573"/>
    </row>
    <row r="8" spans="1:5" x14ac:dyDescent="0.2">
      <c r="A8" s="1036" t="s">
        <v>1234</v>
      </c>
    </row>
    <row r="10" spans="1:5" x14ac:dyDescent="0.2">
      <c r="A10" s="1037" t="s">
        <v>1233</v>
      </c>
      <c r="B10" s="1038" t="s">
        <v>1232</v>
      </c>
      <c r="C10" s="1038"/>
      <c r="D10" s="1039">
        <f>SUM('Acct Summary 7-8'!C7:K7)</f>
        <v>898053</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2005</v>
      </c>
      <c r="B14" s="1038"/>
      <c r="C14" s="1038"/>
      <c r="D14" s="1040">
        <f>'ICR Computation 30'!E11</f>
        <v>24387</v>
      </c>
    </row>
    <row r="15" spans="1:5" x14ac:dyDescent="0.2">
      <c r="A15" s="1037"/>
      <c r="B15" s="1038"/>
      <c r="C15" s="1038"/>
    </row>
    <row r="16" spans="1:5" x14ac:dyDescent="0.2">
      <c r="A16" s="1037" t="s">
        <v>1816</v>
      </c>
      <c r="B16" s="1038"/>
      <c r="C16" s="1038"/>
    </row>
    <row r="17" spans="1:4" x14ac:dyDescent="0.2">
      <c r="A17" s="1037" t="s">
        <v>1965</v>
      </c>
      <c r="B17" s="1038" t="s">
        <v>1227</v>
      </c>
      <c r="C17" s="1038"/>
      <c r="D17" s="1040">
        <f>-SUM('Revenues 9-14'!C264:D264,'Revenues 9-14'!F264:G264)</f>
        <v>-56560</v>
      </c>
    </row>
    <row r="19" spans="1:4" ht="13.5" thickBot="1" x14ac:dyDescent="0.25">
      <c r="A19" s="1041" t="s">
        <v>1226</v>
      </c>
      <c r="D19" s="1042">
        <f>SUM(D10:D17)</f>
        <v>865880</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75"/>
      <c r="B24" s="2575"/>
      <c r="D24" s="1044"/>
    </row>
    <row r="25" spans="1:4" x14ac:dyDescent="0.2">
      <c r="A25" s="2572"/>
      <c r="B25" s="2572"/>
      <c r="D25" s="1044"/>
    </row>
    <row r="26" spans="1:4" x14ac:dyDescent="0.2">
      <c r="A26" s="2572"/>
      <c r="B26" s="2572"/>
      <c r="D26" s="1044"/>
    </row>
    <row r="27" spans="1:4" x14ac:dyDescent="0.2">
      <c r="A27" s="2572"/>
      <c r="B27" s="2572"/>
      <c r="D27" s="1044"/>
    </row>
    <row r="28" spans="1:4" x14ac:dyDescent="0.2">
      <c r="A28" s="2572"/>
      <c r="B28" s="2572"/>
      <c r="D28" s="1044"/>
    </row>
    <row r="29" spans="1:4" x14ac:dyDescent="0.2">
      <c r="A29" s="2572"/>
      <c r="B29" s="2572"/>
      <c r="D29" s="1044"/>
    </row>
    <row r="30" spans="1:4" x14ac:dyDescent="0.2">
      <c r="A30" s="2572"/>
      <c r="B30" s="2572"/>
      <c r="D30" s="1044"/>
    </row>
    <row r="32" spans="1:4" x14ac:dyDescent="0.2">
      <c r="A32" s="1036" t="s">
        <v>1224</v>
      </c>
      <c r="D32" s="1039">
        <f>SUM(D19:D30)</f>
        <v>865880</v>
      </c>
    </row>
    <row r="33" spans="1:4" x14ac:dyDescent="0.2">
      <c r="D33" s="1045"/>
    </row>
    <row r="34" spans="1:4" x14ac:dyDescent="0.2">
      <c r="A34" s="295" t="s">
        <v>1223</v>
      </c>
    </row>
    <row r="35" spans="1:4" x14ac:dyDescent="0.2">
      <c r="A35" s="295" t="s">
        <v>1222</v>
      </c>
      <c r="B35" s="1034" t="s">
        <v>1221</v>
      </c>
      <c r="D35" s="1046">
        <v>866291</v>
      </c>
    </row>
    <row r="37" spans="1:4" x14ac:dyDescent="0.2">
      <c r="A37" s="1036" t="s">
        <v>1220</v>
      </c>
    </row>
    <row r="39" spans="1:4" ht="13.35" customHeight="1" x14ac:dyDescent="0.2">
      <c r="A39" s="1043" t="s">
        <v>1219</v>
      </c>
    </row>
    <row r="40" spans="1:4" x14ac:dyDescent="0.2">
      <c r="A40" s="2572" t="s">
        <v>2200</v>
      </c>
      <c r="B40" s="2572"/>
      <c r="D40" s="1044"/>
    </row>
    <row r="41" spans="1:4" x14ac:dyDescent="0.2">
      <c r="A41" s="2572" t="s">
        <v>2201</v>
      </c>
      <c r="B41" s="2572"/>
      <c r="D41" s="1047">
        <v>-411</v>
      </c>
    </row>
    <row r="42" spans="1:4" x14ac:dyDescent="0.2">
      <c r="A42" s="2572"/>
      <c r="B42" s="2572"/>
      <c r="D42" s="1047"/>
    </row>
    <row r="43" spans="1:4" x14ac:dyDescent="0.2">
      <c r="A43" s="2572"/>
      <c r="B43" s="2572"/>
      <c r="D43" s="1047"/>
    </row>
    <row r="44" spans="1:4" x14ac:dyDescent="0.2">
      <c r="A44" s="2572"/>
      <c r="B44" s="2572"/>
      <c r="D44" s="1047"/>
    </row>
    <row r="45" spans="1:4" x14ac:dyDescent="0.2">
      <c r="A45" s="2572"/>
      <c r="B45" s="2572"/>
      <c r="D45" s="1047"/>
    </row>
    <row r="47" spans="1:4" x14ac:dyDescent="0.2">
      <c r="B47" s="1048" t="s">
        <v>1218</v>
      </c>
      <c r="C47" s="1048"/>
      <c r="D47" s="1049">
        <f>SUM(D35:D45)</f>
        <v>865880</v>
      </c>
    </row>
    <row r="49" spans="2:4" x14ac:dyDescent="0.2">
      <c r="B49" s="1048" t="s">
        <v>1217</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4"/>
  <sheetViews>
    <sheetView showGridLines="0" zoomScaleNormal="100" workbookViewId="0">
      <selection activeCell="I25" sqref="I25"/>
    </sheetView>
  </sheetViews>
  <sheetFormatPr defaultColWidth="33.5703125" defaultRowHeight="12.75" x14ac:dyDescent="0.2"/>
  <cols>
    <col min="1" max="1" width="0.140625" style="295" customWidth="1"/>
    <col min="2" max="2" width="38.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2" t="str">
        <f>'Single Audit Cover'!A7</f>
        <v xml:space="preserve">   TRICO CUSD 176</v>
      </c>
      <c r="C1" s="2577"/>
      <c r="D1" s="2577"/>
      <c r="E1" s="2577"/>
      <c r="F1" s="2577"/>
      <c r="G1" s="2577"/>
      <c r="H1" s="2577"/>
      <c r="I1" s="2577"/>
      <c r="J1" s="2577"/>
      <c r="K1" s="2577"/>
      <c r="L1" s="2577"/>
      <c r="M1" s="2577"/>
    </row>
    <row r="2" spans="2:14" ht="15" x14ac:dyDescent="0.2">
      <c r="B2" s="2578">
        <f>'Single Audit Cover'!E7</f>
        <v>30039176026</v>
      </c>
      <c r="C2" s="2578"/>
      <c r="D2" s="2578"/>
      <c r="E2" s="2578"/>
      <c r="F2" s="2578"/>
      <c r="G2" s="2578"/>
      <c r="H2" s="2578"/>
      <c r="I2" s="2578"/>
      <c r="J2" s="2578"/>
      <c r="K2" s="2578"/>
      <c r="L2" s="2578"/>
      <c r="M2" s="2578"/>
      <c r="N2" s="1078"/>
    </row>
    <row r="3" spans="2:14" ht="15" x14ac:dyDescent="0.2">
      <c r="B3" s="2579" t="s">
        <v>1210</v>
      </c>
      <c r="C3" s="2579"/>
      <c r="D3" s="2579"/>
      <c r="E3" s="2579"/>
      <c r="F3" s="2579"/>
      <c r="G3" s="2579"/>
      <c r="H3" s="2579"/>
      <c r="I3" s="2579"/>
      <c r="J3" s="2579"/>
      <c r="K3" s="2579"/>
      <c r="L3" s="2579"/>
      <c r="M3" s="2579"/>
      <c r="N3" s="1078"/>
    </row>
    <row r="4" spans="2:14" ht="15" x14ac:dyDescent="0.2">
      <c r="B4" s="2580" t="str">
        <f>'Single Audit Cover'!A4</f>
        <v>Year Ending June 30, 2020</v>
      </c>
      <c r="C4" s="2580"/>
      <c r="D4" s="2580"/>
      <c r="E4" s="2580"/>
      <c r="F4" s="2580"/>
      <c r="G4" s="2580"/>
      <c r="H4" s="2580"/>
      <c r="I4" s="2580"/>
      <c r="J4" s="2580"/>
      <c r="K4" s="2580"/>
      <c r="L4" s="2580"/>
      <c r="M4" s="2580"/>
      <c r="N4" s="1078"/>
    </row>
    <row r="5" spans="2:14" x14ac:dyDescent="0.2">
      <c r="H5" s="1914"/>
      <c r="J5" s="1914"/>
    </row>
    <row r="6" spans="2:14" x14ac:dyDescent="0.2">
      <c r="B6" s="1079"/>
      <c r="C6" s="1080"/>
      <c r="D6" s="1081" t="s">
        <v>1256</v>
      </c>
      <c r="E6" s="1082" t="s">
        <v>524</v>
      </c>
      <c r="F6" s="1083"/>
      <c r="G6" s="1084" t="s">
        <v>1712</v>
      </c>
      <c r="H6" s="1082"/>
      <c r="I6" s="1082"/>
      <c r="J6" s="1915"/>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1713</v>
      </c>
      <c r="D9" s="1090" t="s">
        <v>1714</v>
      </c>
      <c r="E9" s="1913" t="str">
        <f>"7/1/"&amp;MID('AFR20'!$E$2,3,2)-2&amp;"-6/30/"&amp;MID('AFR20'!$E$2,3,2)-1</f>
        <v>7/1/18-6/30/19</v>
      </c>
      <c r="F9" s="1913" t="str">
        <f>"7/1/"&amp;MID('AFR20'!$E$2,3,2)-1&amp;"-6/30/"&amp;MID('AFR20'!$E$2,3,2)</f>
        <v>7/1/19-6/30/20</v>
      </c>
      <c r="G9" s="1913" t="str">
        <f>"7/1/"&amp;MID('AFR20'!$E$2,3,2)-2&amp;"-6/30/"&amp;MID('AFR20'!$E$2,3,2)-1</f>
        <v>7/1/18-6/30/19</v>
      </c>
      <c r="H9" s="1093" t="s">
        <v>1568</v>
      </c>
      <c r="I9" s="1913"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2165</v>
      </c>
      <c r="C11" s="1821"/>
      <c r="D11" s="1822"/>
      <c r="E11" s="1823"/>
      <c r="F11" s="1823"/>
      <c r="G11" s="1823"/>
      <c r="H11" s="1823"/>
      <c r="I11" s="1823"/>
      <c r="J11" s="1823"/>
      <c r="K11" s="1823"/>
      <c r="L11" s="1823"/>
      <c r="M11" s="1823"/>
    </row>
    <row r="12" spans="2:14" ht="20.100000000000001" customHeight="1" x14ac:dyDescent="0.2">
      <c r="B12" s="1113" t="s">
        <v>2174</v>
      </c>
      <c r="C12" s="1821">
        <v>10.664999999999999</v>
      </c>
      <c r="D12" s="1822" t="s">
        <v>2040</v>
      </c>
      <c r="E12" s="1823"/>
      <c r="F12" s="1823">
        <v>253</v>
      </c>
      <c r="G12" s="1823"/>
      <c r="H12" s="1823"/>
      <c r="I12" s="1823">
        <v>253</v>
      </c>
      <c r="J12" s="1823"/>
      <c r="K12" s="1823"/>
      <c r="L12" s="1823">
        <f>G12+I12+K12</f>
        <v>253</v>
      </c>
      <c r="M12" s="1823" t="s">
        <v>2040</v>
      </c>
    </row>
    <row r="13" spans="2:14" ht="20.100000000000001" customHeight="1" x14ac:dyDescent="0.2">
      <c r="B13" s="1113" t="s">
        <v>2161</v>
      </c>
      <c r="C13" s="1824"/>
      <c r="D13" s="1825"/>
      <c r="E13" s="1826"/>
      <c r="F13" s="1826"/>
      <c r="G13" s="1826"/>
      <c r="H13" s="1826"/>
      <c r="I13" s="1826"/>
      <c r="J13" s="1826"/>
      <c r="K13" s="1826"/>
      <c r="L13" s="1823"/>
      <c r="M13" s="1826"/>
    </row>
    <row r="14" spans="2:14" ht="20.100000000000001" customHeight="1" x14ac:dyDescent="0.2">
      <c r="B14" s="1113" t="s">
        <v>2159</v>
      </c>
      <c r="C14" s="1824"/>
      <c r="D14" s="1825"/>
      <c r="E14" s="1826"/>
      <c r="F14" s="1826"/>
      <c r="G14" s="1826"/>
      <c r="H14" s="1826"/>
      <c r="I14" s="1826"/>
      <c r="J14" s="1826"/>
      <c r="K14" s="1826"/>
      <c r="L14" s="1823"/>
      <c r="M14" s="1826"/>
    </row>
    <row r="15" spans="2:14" ht="20.100000000000001" customHeight="1" x14ac:dyDescent="0.2">
      <c r="B15" s="1113" t="s">
        <v>2153</v>
      </c>
      <c r="C15" s="1824">
        <v>10.553000000000001</v>
      </c>
      <c r="D15" s="1825" t="s">
        <v>2107</v>
      </c>
      <c r="E15" s="1826">
        <v>61472</v>
      </c>
      <c r="F15" s="1826">
        <v>12688</v>
      </c>
      <c r="G15" s="1826">
        <v>61472</v>
      </c>
      <c r="H15" s="1826"/>
      <c r="I15" s="1826">
        <v>12688</v>
      </c>
      <c r="J15" s="1826"/>
      <c r="K15" s="1826"/>
      <c r="L15" s="1823">
        <f t="shared" ref="L15:L29" si="0">+G15+I15+K15</f>
        <v>74160</v>
      </c>
      <c r="M15" s="1826" t="s">
        <v>2109</v>
      </c>
    </row>
    <row r="16" spans="2:14" ht="20.100000000000001" customHeight="1" x14ac:dyDescent="0.2">
      <c r="B16" s="1113" t="s">
        <v>2153</v>
      </c>
      <c r="C16" s="1824">
        <v>10.553000000000001</v>
      </c>
      <c r="D16" s="1825" t="s">
        <v>2108</v>
      </c>
      <c r="E16" s="1826"/>
      <c r="F16" s="1826">
        <v>36691</v>
      </c>
      <c r="G16" s="1826"/>
      <c r="H16" s="1826"/>
      <c r="I16" s="1826">
        <v>36691</v>
      </c>
      <c r="J16" s="1826"/>
      <c r="K16" s="1826"/>
      <c r="L16" s="1823">
        <f t="shared" si="0"/>
        <v>36691</v>
      </c>
      <c r="M16" s="1826" t="s">
        <v>2109</v>
      </c>
    </row>
    <row r="17" spans="2:14" ht="20.100000000000001" customHeight="1" x14ac:dyDescent="0.2">
      <c r="B17" s="1113" t="s">
        <v>2154</v>
      </c>
      <c r="C17" s="1824">
        <v>10.555</v>
      </c>
      <c r="D17" s="1825" t="s">
        <v>2107</v>
      </c>
      <c r="E17" s="1826">
        <v>141685</v>
      </c>
      <c r="F17" s="1826">
        <v>31331</v>
      </c>
      <c r="G17" s="1826">
        <v>141685</v>
      </c>
      <c r="H17" s="1826"/>
      <c r="I17" s="1826">
        <v>31331</v>
      </c>
      <c r="J17" s="1826"/>
      <c r="K17" s="1826"/>
      <c r="L17" s="1823">
        <f t="shared" si="0"/>
        <v>173016</v>
      </c>
      <c r="M17" s="1826" t="s">
        <v>2109</v>
      </c>
    </row>
    <row r="18" spans="2:14" ht="20.100000000000001" customHeight="1" x14ac:dyDescent="0.2">
      <c r="B18" s="1113" t="s">
        <v>2154</v>
      </c>
      <c r="C18" s="1824">
        <v>10.555</v>
      </c>
      <c r="D18" s="1825" t="s">
        <v>2108</v>
      </c>
      <c r="E18" s="1826"/>
      <c r="F18" s="1826">
        <v>88213</v>
      </c>
      <c r="G18" s="1826"/>
      <c r="H18" s="1826"/>
      <c r="I18" s="1826">
        <v>88213</v>
      </c>
      <c r="J18" s="1826"/>
      <c r="K18" s="1826"/>
      <c r="L18" s="1823">
        <f t="shared" si="0"/>
        <v>88213</v>
      </c>
      <c r="M18" s="1826" t="s">
        <v>2109</v>
      </c>
    </row>
    <row r="19" spans="2:14" ht="20.100000000000001" customHeight="1" x14ac:dyDescent="0.2">
      <c r="B19" s="1113" t="s">
        <v>2155</v>
      </c>
      <c r="C19" s="1824">
        <v>10.555</v>
      </c>
      <c r="D19" s="1825" t="s">
        <v>2109</v>
      </c>
      <c r="E19" s="1826"/>
      <c r="F19" s="1826">
        <v>19579</v>
      </c>
      <c r="G19" s="1826"/>
      <c r="H19" s="1826"/>
      <c r="I19" s="1826">
        <v>19579</v>
      </c>
      <c r="J19" s="1826"/>
      <c r="K19" s="1826"/>
      <c r="L19" s="1823">
        <f t="shared" si="0"/>
        <v>19579</v>
      </c>
      <c r="M19" s="1826" t="s">
        <v>2109</v>
      </c>
    </row>
    <row r="20" spans="2:14" ht="22.5" x14ac:dyDescent="0.2">
      <c r="B20" s="1113" t="s">
        <v>2156</v>
      </c>
      <c r="C20" s="1824">
        <v>10.555</v>
      </c>
      <c r="D20" s="1825" t="s">
        <v>2109</v>
      </c>
      <c r="E20" s="1826"/>
      <c r="F20" s="1826">
        <v>4808</v>
      </c>
      <c r="G20" s="1826"/>
      <c r="H20" s="1826"/>
      <c r="I20" s="1826">
        <v>4808</v>
      </c>
      <c r="J20" s="1826"/>
      <c r="K20" s="1826"/>
      <c r="L20" s="1823">
        <f t="shared" si="0"/>
        <v>4808</v>
      </c>
      <c r="M20" s="1826" t="s">
        <v>2109</v>
      </c>
    </row>
    <row r="21" spans="2:14" ht="19.5" customHeight="1" x14ac:dyDescent="0.2">
      <c r="B21" s="1113" t="s">
        <v>2157</v>
      </c>
      <c r="C21" s="1824">
        <v>10.558999999999999</v>
      </c>
      <c r="D21" s="1825" t="s">
        <v>2158</v>
      </c>
      <c r="E21" s="1826"/>
      <c r="F21" s="1826">
        <v>37709</v>
      </c>
      <c r="G21" s="1826"/>
      <c r="H21" s="1826"/>
      <c r="I21" s="1826">
        <v>37709</v>
      </c>
      <c r="J21" s="1826"/>
      <c r="K21" s="1826"/>
      <c r="L21" s="1823">
        <f t="shared" si="0"/>
        <v>37709</v>
      </c>
      <c r="M21" s="1826" t="s">
        <v>2109</v>
      </c>
    </row>
    <row r="22" spans="2:14" ht="20.100000000000001" customHeight="1" x14ac:dyDescent="0.2">
      <c r="B22" s="1113" t="s">
        <v>2175</v>
      </c>
      <c r="C22" s="1824"/>
      <c r="D22" s="1825"/>
      <c r="E22" s="1826">
        <f t="shared" ref="E22:K22" si="1">SUM(E15:E20)</f>
        <v>203157</v>
      </c>
      <c r="F22" s="1826">
        <f>SUM(F15:F21)</f>
        <v>231019</v>
      </c>
      <c r="G22" s="1826">
        <f t="shared" si="1"/>
        <v>203157</v>
      </c>
      <c r="H22" s="1826">
        <f t="shared" si="1"/>
        <v>0</v>
      </c>
      <c r="I22" s="1826">
        <f>SUM(I15:I21)</f>
        <v>231019</v>
      </c>
      <c r="J22" s="1826">
        <f t="shared" si="1"/>
        <v>0</v>
      </c>
      <c r="K22" s="1826">
        <f t="shared" si="1"/>
        <v>0</v>
      </c>
      <c r="L22" s="1823">
        <f>+G22+I22+K22</f>
        <v>434176</v>
      </c>
      <c r="M22" s="1826"/>
    </row>
    <row r="23" spans="2:14" ht="20.100000000000001" customHeight="1" x14ac:dyDescent="0.2">
      <c r="B23" s="1113" t="s">
        <v>2176</v>
      </c>
      <c r="C23" s="1824"/>
      <c r="D23" s="1825"/>
      <c r="E23" s="1826">
        <f t="shared" ref="E23:L23" si="2">E12+E22</f>
        <v>203157</v>
      </c>
      <c r="F23" s="1826">
        <f t="shared" si="2"/>
        <v>231272</v>
      </c>
      <c r="G23" s="1826">
        <f t="shared" si="2"/>
        <v>203157</v>
      </c>
      <c r="H23" s="1826">
        <f t="shared" si="2"/>
        <v>0</v>
      </c>
      <c r="I23" s="1826">
        <f t="shared" si="2"/>
        <v>231272</v>
      </c>
      <c r="J23" s="1826">
        <f t="shared" si="2"/>
        <v>0</v>
      </c>
      <c r="K23" s="1826">
        <f t="shared" si="2"/>
        <v>0</v>
      </c>
      <c r="L23" s="1823">
        <f t="shared" si="2"/>
        <v>434429</v>
      </c>
      <c r="M23" s="1826"/>
    </row>
    <row r="24" spans="2:14" ht="20.100000000000001" customHeight="1" x14ac:dyDescent="0.2">
      <c r="B24" s="1113"/>
      <c r="C24" s="1824"/>
      <c r="D24" s="1825"/>
      <c r="E24" s="1826"/>
      <c r="F24" s="1826"/>
      <c r="G24" s="1826"/>
      <c r="H24" s="1826"/>
      <c r="I24" s="1826"/>
      <c r="J24" s="1826"/>
      <c r="K24" s="1826"/>
      <c r="L24" s="1823"/>
      <c r="M24" s="1826"/>
    </row>
    <row r="25" spans="2:14" ht="20.100000000000001" customHeight="1" x14ac:dyDescent="0.2">
      <c r="B25" s="1113" t="s">
        <v>2160</v>
      </c>
      <c r="C25" s="1824"/>
      <c r="D25" s="1825"/>
      <c r="E25" s="1826"/>
      <c r="F25" s="1826"/>
      <c r="G25" s="1826"/>
      <c r="H25" s="1826"/>
      <c r="I25" s="1826"/>
      <c r="J25" s="1826"/>
      <c r="K25" s="1826"/>
      <c r="L25" s="1823"/>
      <c r="M25" s="1826"/>
    </row>
    <row r="26" spans="2:14" ht="19.5" customHeight="1" x14ac:dyDescent="0.2">
      <c r="B26" s="1113" t="s">
        <v>2162</v>
      </c>
      <c r="C26" s="1824"/>
      <c r="D26" s="1825"/>
      <c r="E26" s="1826"/>
      <c r="F26" s="1826"/>
      <c r="G26" s="1826"/>
      <c r="H26" s="1826"/>
      <c r="I26" s="1826"/>
      <c r="J26" s="1826"/>
      <c r="K26" s="1826"/>
      <c r="L26" s="1823"/>
      <c r="M26" s="1826"/>
    </row>
    <row r="27" spans="2:14" ht="20.100000000000001" customHeight="1" x14ac:dyDescent="0.2">
      <c r="B27" s="1113" t="s">
        <v>2163</v>
      </c>
      <c r="C27" s="1824">
        <v>93.778000000000006</v>
      </c>
      <c r="D27" s="1825" t="s">
        <v>2040</v>
      </c>
      <c r="E27" s="1826">
        <v>8199</v>
      </c>
      <c r="F27" s="1826">
        <v>2207</v>
      </c>
      <c r="G27" s="1826">
        <v>10406</v>
      </c>
      <c r="H27" s="1826"/>
      <c r="I27" s="1826"/>
      <c r="J27" s="1826"/>
      <c r="K27" s="1826"/>
      <c r="L27" s="1823">
        <f t="shared" si="0"/>
        <v>10406</v>
      </c>
      <c r="M27" s="1826" t="s">
        <v>2109</v>
      </c>
    </row>
    <row r="28" spans="2:14" ht="20.100000000000001" customHeight="1" x14ac:dyDescent="0.2">
      <c r="B28" s="1113" t="s">
        <v>2163</v>
      </c>
      <c r="C28" s="1824">
        <v>93.778000000000006</v>
      </c>
      <c r="D28" s="1825" t="s">
        <v>2040</v>
      </c>
      <c r="E28" s="1826"/>
      <c r="F28" s="1826">
        <v>8073</v>
      </c>
      <c r="G28" s="1826"/>
      <c r="H28" s="1826"/>
      <c r="I28" s="1826">
        <v>11625</v>
      </c>
      <c r="J28" s="1826"/>
      <c r="K28" s="1826"/>
      <c r="L28" s="1823">
        <f t="shared" si="0"/>
        <v>11625</v>
      </c>
      <c r="M28" s="1826" t="s">
        <v>2109</v>
      </c>
    </row>
    <row r="29" spans="2:14" ht="20.100000000000001" customHeight="1" x14ac:dyDescent="0.2">
      <c r="B29" s="1113" t="s">
        <v>2164</v>
      </c>
      <c r="C29" s="1824"/>
      <c r="D29" s="1825"/>
      <c r="E29" s="1826">
        <f>E27+E28</f>
        <v>8199</v>
      </c>
      <c r="F29" s="1826">
        <f>F27+F28</f>
        <v>10280</v>
      </c>
      <c r="G29" s="1826">
        <f>G27+G28</f>
        <v>10406</v>
      </c>
      <c r="H29" s="1826">
        <f>H27+H28</f>
        <v>0</v>
      </c>
      <c r="I29" s="1826">
        <f>I27+I28</f>
        <v>11625</v>
      </c>
      <c r="J29" s="1826">
        <f>J28+J27</f>
        <v>0</v>
      </c>
      <c r="K29" s="1826">
        <f>K27+K28</f>
        <v>0</v>
      </c>
      <c r="L29" s="1823">
        <f t="shared" si="0"/>
        <v>22031</v>
      </c>
      <c r="M29" s="1826"/>
    </row>
    <row r="30" spans="2:14" ht="12.75" customHeight="1" x14ac:dyDescent="0.2">
      <c r="B30" s="1115"/>
      <c r="C30" s="1116"/>
      <c r="D30" s="1117"/>
      <c r="E30" s="1118"/>
      <c r="F30" s="1118"/>
      <c r="G30" s="1118"/>
      <c r="H30" s="1118"/>
      <c r="I30" s="1118"/>
      <c r="J30" s="1118"/>
      <c r="K30" s="1118"/>
      <c r="L30" s="1118"/>
      <c r="M30" s="1118"/>
      <c r="N30" s="1114"/>
    </row>
    <row r="31" spans="2:14" x14ac:dyDescent="0.2">
      <c r="B31" s="1033"/>
      <c r="C31" s="1119"/>
      <c r="D31" s="1120"/>
      <c r="E31" s="1033"/>
      <c r="F31" s="1033"/>
      <c r="G31" s="1026"/>
      <c r="H31" s="1026"/>
      <c r="I31" s="1026"/>
      <c r="J31" s="1026"/>
      <c r="K31" s="1026"/>
      <c r="L31" s="1026"/>
      <c r="M31" s="1033"/>
      <c r="N31" s="1114"/>
    </row>
    <row r="32" spans="2:14" ht="13.5" customHeight="1" x14ac:dyDescent="0.2">
      <c r="B32" s="1058" t="s">
        <v>1715</v>
      </c>
      <c r="C32" s="1119"/>
      <c r="D32" s="1120"/>
      <c r="E32" s="1033"/>
      <c r="F32" s="1033"/>
      <c r="G32" s="1026"/>
      <c r="H32" s="1026"/>
      <c r="I32" s="1026"/>
      <c r="J32" s="1026"/>
      <c r="K32" s="1026"/>
      <c r="L32" s="1026"/>
      <c r="M32" s="1033"/>
      <c r="N32" s="1114"/>
    </row>
    <row r="33" spans="2:14" ht="8.25" customHeight="1" x14ac:dyDescent="0.2">
      <c r="B33" s="1058"/>
      <c r="C33" s="1119"/>
      <c r="D33" s="1120"/>
      <c r="E33" s="1033"/>
      <c r="F33" s="1033"/>
      <c r="G33" s="1026"/>
      <c r="H33" s="1026"/>
      <c r="I33" s="1026"/>
      <c r="J33" s="1026"/>
      <c r="K33" s="1026"/>
      <c r="L33" s="1026"/>
      <c r="M33" s="1033"/>
      <c r="N33" s="1114"/>
    </row>
    <row r="34" spans="2:14" x14ac:dyDescent="0.2">
      <c r="B34" s="1121" t="s">
        <v>1813</v>
      </c>
      <c r="C34" s="1122"/>
      <c r="D34" s="1123"/>
      <c r="E34" s="1124"/>
      <c r="F34" s="1124"/>
      <c r="G34" s="1124"/>
      <c r="H34" s="1124"/>
      <c r="I34" s="295"/>
      <c r="J34" s="295"/>
    </row>
    <row r="35" spans="2:14" x14ac:dyDescent="0.2">
      <c r="B35" s="1053"/>
      <c r="C35" s="1125"/>
      <c r="D35" s="1126"/>
      <c r="E35" s="1054"/>
      <c r="F35" s="1054"/>
      <c r="G35" s="295"/>
      <c r="H35" s="295"/>
      <c r="I35" s="295"/>
      <c r="J35" s="295"/>
    </row>
    <row r="36" spans="2:14" ht="13.5" customHeight="1" x14ac:dyDescent="0.2">
      <c r="B36" s="1052" t="s">
        <v>1237</v>
      </c>
      <c r="G36" s="295"/>
      <c r="H36" s="295"/>
      <c r="I36" s="295"/>
      <c r="J36" s="295"/>
    </row>
    <row r="37" spans="2:14" ht="13.5" customHeight="1" x14ac:dyDescent="0.2">
      <c r="B37" s="1129"/>
      <c r="C37" s="1130"/>
      <c r="D37" s="1131"/>
      <c r="E37" s="1073"/>
      <c r="F37" s="1073"/>
      <c r="G37" s="1073"/>
      <c r="H37" s="1073"/>
      <c r="I37" s="1073"/>
      <c r="J37" s="1073"/>
      <c r="K37" s="1132"/>
      <c r="L37" s="1132"/>
      <c r="M37" s="1073"/>
    </row>
    <row r="38" spans="2:14" ht="9.6" customHeight="1" x14ac:dyDescent="0.2">
      <c r="B38" s="1133"/>
      <c r="G38" s="295"/>
      <c r="H38" s="295"/>
      <c r="I38" s="295"/>
      <c r="J38" s="295"/>
    </row>
    <row r="39" spans="2:14" ht="11.25" customHeight="1" x14ac:dyDescent="0.2">
      <c r="B39" s="1134" t="s">
        <v>1716</v>
      </c>
      <c r="C39" s="1135"/>
      <c r="D39" s="1135"/>
      <c r="E39" s="1135"/>
      <c r="F39" s="1135"/>
      <c r="G39" s="1135"/>
      <c r="H39" s="1135"/>
      <c r="I39" s="1136"/>
      <c r="J39" s="1136"/>
      <c r="K39" s="1136"/>
      <c r="L39" s="1136"/>
      <c r="M39" s="1136"/>
    </row>
    <row r="40" spans="2:14" ht="11.25" customHeight="1" x14ac:dyDescent="0.2">
      <c r="B40" s="1137" t="s">
        <v>1570</v>
      </c>
      <c r="C40" s="1136"/>
      <c r="D40" s="1136"/>
      <c r="E40" s="1136"/>
      <c r="F40" s="1136"/>
      <c r="G40" s="1136"/>
      <c r="H40" s="1136"/>
      <c r="I40" s="1136"/>
      <c r="J40" s="1136"/>
      <c r="K40" s="1136"/>
      <c r="L40" s="1136"/>
      <c r="M40" s="1136"/>
    </row>
    <row r="41" spans="2:14" ht="3.95" customHeight="1" x14ac:dyDescent="0.2">
      <c r="B41" s="1137"/>
      <c r="C41" s="1136"/>
      <c r="D41" s="1136"/>
      <c r="E41" s="1136"/>
      <c r="F41" s="1136"/>
      <c r="G41" s="1136"/>
      <c r="H41" s="1136"/>
      <c r="I41" s="1136"/>
      <c r="J41" s="1136"/>
      <c r="K41" s="1136"/>
      <c r="L41" s="1136"/>
      <c r="M41" s="1136"/>
    </row>
    <row r="42" spans="2:14" ht="11.25" customHeight="1" x14ac:dyDescent="0.2">
      <c r="B42" s="1134" t="s">
        <v>1717</v>
      </c>
      <c r="C42" s="1136"/>
      <c r="D42" s="1136"/>
      <c r="E42" s="1136"/>
      <c r="F42" s="1136"/>
      <c r="G42" s="1136"/>
      <c r="H42" s="1136"/>
      <c r="I42" s="1136"/>
      <c r="J42" s="1136"/>
      <c r="K42" s="1136"/>
      <c r="L42" s="1136"/>
      <c r="M42" s="1136"/>
    </row>
    <row r="43" spans="2:14" ht="11.25" customHeight="1" x14ac:dyDescent="0.2">
      <c r="B43" s="1076" t="s">
        <v>1571</v>
      </c>
      <c r="C43" s="1138"/>
      <c r="D43" s="1139"/>
      <c r="E43" s="1076"/>
      <c r="F43" s="1076"/>
      <c r="G43" s="1076"/>
      <c r="H43" s="1076"/>
      <c r="I43" s="1076"/>
      <c r="J43" s="1076"/>
      <c r="K43" s="1140"/>
      <c r="L43" s="1140"/>
      <c r="M43" s="1076"/>
    </row>
    <row r="44" spans="2:14" ht="3.95" customHeight="1" x14ac:dyDescent="0.2">
      <c r="B44" s="1076"/>
      <c r="C44" s="1138"/>
      <c r="D44" s="1139"/>
      <c r="E44" s="1076"/>
      <c r="F44" s="1076"/>
      <c r="G44" s="1076"/>
      <c r="H44" s="1076"/>
      <c r="I44" s="1076"/>
      <c r="J44" s="1076"/>
      <c r="K44" s="1140"/>
      <c r="L44" s="1140"/>
      <c r="M44" s="1076"/>
    </row>
    <row r="45" spans="2:14" ht="11.25" customHeight="1" x14ac:dyDescent="0.2">
      <c r="B45" s="1141" t="s">
        <v>1718</v>
      </c>
      <c r="C45" s="1138"/>
      <c r="D45" s="1139"/>
      <c r="E45" s="1076"/>
      <c r="F45" s="1076"/>
      <c r="G45" s="1076"/>
      <c r="H45" s="1076"/>
      <c r="I45" s="1076"/>
      <c r="J45" s="1076"/>
      <c r="K45" s="1140"/>
      <c r="L45" s="1140"/>
      <c r="M45" s="1076"/>
    </row>
    <row r="46" spans="2:14" ht="3.95" customHeight="1" x14ac:dyDescent="0.2">
      <c r="B46" s="1141"/>
      <c r="C46" s="1138"/>
      <c r="D46" s="1139"/>
      <c r="E46" s="1076"/>
      <c r="F46" s="1076"/>
      <c r="G46" s="1076"/>
      <c r="H46" s="1076"/>
      <c r="I46" s="1076"/>
      <c r="J46" s="1076"/>
      <c r="K46" s="1140"/>
      <c r="L46" s="1140"/>
      <c r="M46" s="1076"/>
    </row>
    <row r="47" spans="2:14" ht="11.25" customHeight="1" x14ac:dyDescent="0.2">
      <c r="B47" s="1142" t="s">
        <v>1719</v>
      </c>
      <c r="C47" s="1138"/>
      <c r="D47" s="1139"/>
      <c r="E47" s="1076"/>
      <c r="F47" s="1076"/>
      <c r="G47" s="1076"/>
      <c r="H47" s="1076"/>
      <c r="I47" s="1076"/>
      <c r="J47" s="1076"/>
      <c r="K47" s="1140"/>
      <c r="L47" s="1140"/>
      <c r="M47" s="1076"/>
    </row>
    <row r="48" spans="2:14" ht="11.25" customHeight="1" x14ac:dyDescent="0.2">
      <c r="B48" s="1076" t="s">
        <v>1572</v>
      </c>
      <c r="G48" s="295"/>
      <c r="H48" s="295"/>
      <c r="I48" s="295"/>
      <c r="J48" s="295"/>
    </row>
    <row r="49" spans="2:13" ht="11.1" customHeight="1" x14ac:dyDescent="0.2">
      <c r="B49" s="1076"/>
      <c r="G49" s="295"/>
      <c r="H49" s="295"/>
      <c r="I49" s="295"/>
      <c r="J49" s="295"/>
    </row>
    <row r="50" spans="2:13" ht="11.1" customHeight="1" x14ac:dyDescent="0.2">
      <c r="B50" s="1076"/>
      <c r="G50" s="295"/>
      <c r="H50" s="295"/>
      <c r="I50" s="295"/>
      <c r="J50" s="295"/>
    </row>
    <row r="51" spans="2:13" ht="13.5" customHeight="1" x14ac:dyDescent="0.2">
      <c r="M51" s="1143"/>
    </row>
    <row r="52" spans="2:13" ht="13.5" customHeight="1" x14ac:dyDescent="0.2">
      <c r="M52" s="1143"/>
    </row>
    <row r="53" spans="2:13" ht="13.5" customHeight="1" x14ac:dyDescent="0.2">
      <c r="M53" s="1143"/>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7"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13E19-C42E-4732-AD85-DD769F23F8C4}">
  <sheetPr>
    <pageSetUpPr fitToPage="1"/>
  </sheetPr>
  <dimension ref="B1:N153"/>
  <sheetViews>
    <sheetView showGridLines="0" zoomScaleNormal="100" workbookViewId="0">
      <selection activeCell="A27" sqref="A27:XFD27"/>
    </sheetView>
  </sheetViews>
  <sheetFormatPr defaultColWidth="33.5703125" defaultRowHeight="12.75" x14ac:dyDescent="0.2"/>
  <cols>
    <col min="1" max="1" width="0.140625" style="295" customWidth="1"/>
    <col min="2" max="2" width="38.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2" t="str">
        <f>'Single Audit Cover'!A7</f>
        <v xml:space="preserve">   TRICO CUSD 176</v>
      </c>
      <c r="C1" s="2577"/>
      <c r="D1" s="2577"/>
      <c r="E1" s="2577"/>
      <c r="F1" s="2577"/>
      <c r="G1" s="2577"/>
      <c r="H1" s="2577"/>
      <c r="I1" s="2577"/>
      <c r="J1" s="2577"/>
      <c r="K1" s="2577"/>
      <c r="L1" s="2577"/>
      <c r="M1" s="2577"/>
    </row>
    <row r="2" spans="2:14" ht="15" x14ac:dyDescent="0.2">
      <c r="B2" s="2578">
        <f>'Single Audit Cover'!E7</f>
        <v>30039176026</v>
      </c>
      <c r="C2" s="2578"/>
      <c r="D2" s="2578"/>
      <c r="E2" s="2578"/>
      <c r="F2" s="2578"/>
      <c r="G2" s="2578"/>
      <c r="H2" s="2578"/>
      <c r="I2" s="2578"/>
      <c r="J2" s="2578"/>
      <c r="K2" s="2578"/>
      <c r="L2" s="2578"/>
      <c r="M2" s="2578"/>
      <c r="N2" s="1078"/>
    </row>
    <row r="3" spans="2:14" ht="15" x14ac:dyDescent="0.2">
      <c r="B3" s="2579" t="s">
        <v>1210</v>
      </c>
      <c r="C3" s="2579"/>
      <c r="D3" s="2579"/>
      <c r="E3" s="2579"/>
      <c r="F3" s="2579"/>
      <c r="G3" s="2579"/>
      <c r="H3" s="2579"/>
      <c r="I3" s="2579"/>
      <c r="J3" s="2579"/>
      <c r="K3" s="2579"/>
      <c r="L3" s="2579"/>
      <c r="M3" s="2579"/>
      <c r="N3" s="1078"/>
    </row>
    <row r="4" spans="2:14" ht="15" x14ac:dyDescent="0.2">
      <c r="B4" s="2580" t="str">
        <f>'Single Audit Cover'!A4</f>
        <v>Year Ending June 30, 2020</v>
      </c>
      <c r="C4" s="2580"/>
      <c r="D4" s="2580"/>
      <c r="E4" s="2580"/>
      <c r="F4" s="2580"/>
      <c r="G4" s="2580"/>
      <c r="H4" s="2580"/>
      <c r="I4" s="2580"/>
      <c r="J4" s="2580"/>
      <c r="K4" s="2580"/>
      <c r="L4" s="2580"/>
      <c r="M4" s="2580"/>
      <c r="N4" s="1078"/>
    </row>
    <row r="5" spans="2:14" x14ac:dyDescent="0.2">
      <c r="H5" s="1914"/>
      <c r="J5" s="1914"/>
    </row>
    <row r="6" spans="2:14" x14ac:dyDescent="0.2">
      <c r="B6" s="1079"/>
      <c r="C6" s="1080"/>
      <c r="D6" s="1081" t="s">
        <v>1256</v>
      </c>
      <c r="E6" s="1082" t="s">
        <v>524</v>
      </c>
      <c r="F6" s="1083"/>
      <c r="G6" s="1084" t="s">
        <v>1712</v>
      </c>
      <c r="H6" s="1082"/>
      <c r="I6" s="1082"/>
      <c r="J6" s="1915"/>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1713</v>
      </c>
      <c r="D9" s="1090" t="s">
        <v>1714</v>
      </c>
      <c r="E9" s="1913" t="str">
        <f>"7/1/"&amp;MID('AFR20'!$E$2,3,2)-2&amp;"-6/30/"&amp;MID('AFR20'!$E$2,3,2)-1</f>
        <v>7/1/18-6/30/19</v>
      </c>
      <c r="F9" s="1913" t="str">
        <f>"7/1/"&amp;MID('AFR20'!$E$2,3,2)-1&amp;"-6/30/"&amp;MID('AFR20'!$E$2,3,2)</f>
        <v>7/1/19-6/30/20</v>
      </c>
      <c r="G9" s="1913" t="str">
        <f>"7/1/"&amp;MID('AFR20'!$E$2,3,2)-2&amp;"-6/30/"&amp;MID('AFR20'!$E$2,3,2)-1</f>
        <v>7/1/18-6/30/19</v>
      </c>
      <c r="H9" s="1093" t="s">
        <v>1568</v>
      </c>
      <c r="I9" s="1913"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2166</v>
      </c>
      <c r="C11" s="1821"/>
      <c r="D11" s="1822"/>
      <c r="E11" s="1823"/>
      <c r="F11" s="1823"/>
      <c r="G11" s="1823"/>
      <c r="H11" s="1823"/>
      <c r="I11" s="1823"/>
      <c r="J11" s="1823"/>
      <c r="K11" s="1823"/>
      <c r="L11" s="1823"/>
      <c r="M11" s="1823"/>
    </row>
    <row r="12" spans="2:14" ht="20.100000000000001" customHeight="1" x14ac:dyDescent="0.2">
      <c r="B12" s="1113" t="s">
        <v>2161</v>
      </c>
      <c r="C12" s="1824"/>
      <c r="D12" s="1825"/>
      <c r="E12" s="1826"/>
      <c r="F12" s="1826"/>
      <c r="G12" s="1826"/>
      <c r="H12" s="1826"/>
      <c r="I12" s="1826"/>
      <c r="J12" s="1826"/>
      <c r="K12" s="1826"/>
      <c r="L12" s="1823"/>
      <c r="M12" s="1826"/>
    </row>
    <row r="13" spans="2:14" ht="20.100000000000001" customHeight="1" x14ac:dyDescent="0.2">
      <c r="B13" s="1113" t="s">
        <v>2167</v>
      </c>
      <c r="C13" s="1824" t="s">
        <v>2169</v>
      </c>
      <c r="D13" s="1825" t="s">
        <v>2170</v>
      </c>
      <c r="E13" s="1826">
        <v>201354</v>
      </c>
      <c r="F13" s="1826">
        <v>103007</v>
      </c>
      <c r="G13" s="1826">
        <v>227733</v>
      </c>
      <c r="H13" s="1826"/>
      <c r="I13" s="1826">
        <v>76628</v>
      </c>
      <c r="J13" s="1826"/>
      <c r="K13" s="1826"/>
      <c r="L13" s="1823">
        <f>G13+I13+K13</f>
        <v>304361</v>
      </c>
      <c r="M13" s="1826">
        <v>321914</v>
      </c>
    </row>
    <row r="14" spans="2:14" ht="20.100000000000001" customHeight="1" x14ac:dyDescent="0.2">
      <c r="B14" s="1113" t="s">
        <v>2167</v>
      </c>
      <c r="C14" s="1824" t="s">
        <v>2169</v>
      </c>
      <c r="D14" s="1825" t="s">
        <v>2171</v>
      </c>
      <c r="E14" s="1826"/>
      <c r="F14" s="1826">
        <v>249203</v>
      </c>
      <c r="G14" s="1826"/>
      <c r="H14" s="1826"/>
      <c r="I14" s="1826">
        <v>267018</v>
      </c>
      <c r="J14" s="1826"/>
      <c r="K14" s="1826">
        <v>31000</v>
      </c>
      <c r="L14" s="1823">
        <f t="shared" ref="L14:L16" si="0">+G14+I14+K14</f>
        <v>298018</v>
      </c>
      <c r="M14" s="1826">
        <v>320764</v>
      </c>
    </row>
    <row r="15" spans="2:14" ht="20.100000000000001" customHeight="1" x14ac:dyDescent="0.2">
      <c r="B15" s="1113" t="s">
        <v>2168</v>
      </c>
      <c r="C15" s="1824" t="s">
        <v>2169</v>
      </c>
      <c r="D15" s="1825" t="s">
        <v>2172</v>
      </c>
      <c r="E15" s="1826">
        <v>27723</v>
      </c>
      <c r="F15" s="1826">
        <v>14193</v>
      </c>
      <c r="G15" s="1826">
        <v>33233</v>
      </c>
      <c r="H15" s="1826"/>
      <c r="I15" s="1826">
        <v>8683</v>
      </c>
      <c r="J15" s="1826"/>
      <c r="K15" s="1826"/>
      <c r="L15" s="1823">
        <f t="shared" si="0"/>
        <v>41916</v>
      </c>
      <c r="M15" s="1826">
        <v>41916</v>
      </c>
    </row>
    <row r="16" spans="2:14" ht="20.100000000000001" customHeight="1" x14ac:dyDescent="0.2">
      <c r="B16" s="1113" t="s">
        <v>2168</v>
      </c>
      <c r="C16" s="1824" t="s">
        <v>2169</v>
      </c>
      <c r="D16" s="1825" t="s">
        <v>2173</v>
      </c>
      <c r="E16" s="1826"/>
      <c r="F16" s="1826">
        <v>19049</v>
      </c>
      <c r="G16" s="1826"/>
      <c r="H16" s="1826"/>
      <c r="I16" s="1826">
        <v>19049</v>
      </c>
      <c r="J16" s="1826"/>
      <c r="K16" s="1826">
        <v>5500</v>
      </c>
      <c r="L16" s="1823">
        <f t="shared" si="0"/>
        <v>24549</v>
      </c>
      <c r="M16" s="1826">
        <v>30000</v>
      </c>
    </row>
    <row r="17" spans="2:14" ht="20.100000000000001" customHeight="1" x14ac:dyDescent="0.2">
      <c r="B17" s="1113"/>
      <c r="C17" s="1824"/>
      <c r="D17" s="1825"/>
      <c r="E17" s="1826">
        <f t="shared" ref="E17:L17" si="1">E13+E14+E15+E16</f>
        <v>229077</v>
      </c>
      <c r="F17" s="1826">
        <f t="shared" si="1"/>
        <v>385452</v>
      </c>
      <c r="G17" s="1826">
        <f t="shared" si="1"/>
        <v>260966</v>
      </c>
      <c r="H17" s="1826">
        <f t="shared" si="1"/>
        <v>0</v>
      </c>
      <c r="I17" s="1826">
        <f t="shared" si="1"/>
        <v>371378</v>
      </c>
      <c r="J17" s="1826">
        <f t="shared" si="1"/>
        <v>0</v>
      </c>
      <c r="K17" s="1826">
        <f t="shared" si="1"/>
        <v>36500</v>
      </c>
      <c r="L17" s="1823">
        <f t="shared" si="1"/>
        <v>668844</v>
      </c>
      <c r="M17" s="1826"/>
    </row>
    <row r="18" spans="2:14" ht="5.0999999999999996" customHeight="1" x14ac:dyDescent="0.2">
      <c r="B18" s="1113"/>
      <c r="C18" s="1824"/>
      <c r="D18" s="1825"/>
      <c r="E18" s="1826"/>
      <c r="F18" s="1826"/>
      <c r="G18" s="1826"/>
      <c r="H18" s="1826"/>
      <c r="I18" s="1826"/>
      <c r="J18" s="1826"/>
      <c r="K18" s="1826"/>
      <c r="L18" s="1823"/>
      <c r="M18" s="1826"/>
    </row>
    <row r="19" spans="2:14" ht="19.5" customHeight="1" x14ac:dyDescent="0.2">
      <c r="B19" s="1113" t="s">
        <v>2177</v>
      </c>
      <c r="C19" s="1824" t="s">
        <v>2178</v>
      </c>
      <c r="D19" s="1825" t="s">
        <v>2179</v>
      </c>
      <c r="E19" s="1826">
        <v>37480</v>
      </c>
      <c r="F19" s="1826">
        <v>6139</v>
      </c>
      <c r="G19" s="1826">
        <v>39345</v>
      </c>
      <c r="H19" s="1826"/>
      <c r="I19" s="1826">
        <v>4274</v>
      </c>
      <c r="J19" s="1826"/>
      <c r="K19" s="1826"/>
      <c r="L19" s="1823">
        <f>G19+I19+K19</f>
        <v>43619</v>
      </c>
      <c r="M19" s="1826">
        <v>53606</v>
      </c>
    </row>
    <row r="20" spans="2:14" ht="19.5" customHeight="1" x14ac:dyDescent="0.2">
      <c r="B20" s="1113" t="s">
        <v>2177</v>
      </c>
      <c r="C20" s="1824" t="s">
        <v>2178</v>
      </c>
      <c r="D20" s="1825" t="s">
        <v>2180</v>
      </c>
      <c r="E20" s="1826"/>
      <c r="F20" s="1826">
        <v>36085</v>
      </c>
      <c r="G20" s="1826"/>
      <c r="H20" s="1826"/>
      <c r="I20" s="1826">
        <v>37975</v>
      </c>
      <c r="J20" s="1826"/>
      <c r="K20" s="1826">
        <v>5000</v>
      </c>
      <c r="L20" s="1823">
        <f>G20+I20+K20</f>
        <v>42975</v>
      </c>
      <c r="M20" s="1826">
        <v>56184</v>
      </c>
    </row>
    <row r="21" spans="2:14" ht="20.100000000000001" customHeight="1" x14ac:dyDescent="0.2">
      <c r="B21" s="1113"/>
      <c r="C21" s="1824"/>
      <c r="D21" s="1825"/>
      <c r="E21" s="1826">
        <f t="shared" ref="E21:L21" si="2">E19+E20</f>
        <v>37480</v>
      </c>
      <c r="F21" s="1826">
        <f t="shared" si="2"/>
        <v>42224</v>
      </c>
      <c r="G21" s="1826">
        <f t="shared" si="2"/>
        <v>39345</v>
      </c>
      <c r="H21" s="1826">
        <f t="shared" si="2"/>
        <v>0</v>
      </c>
      <c r="I21" s="1826">
        <f t="shared" si="2"/>
        <v>42249</v>
      </c>
      <c r="J21" s="1826">
        <f t="shared" si="2"/>
        <v>0</v>
      </c>
      <c r="K21" s="1826">
        <f t="shared" si="2"/>
        <v>5000</v>
      </c>
      <c r="L21" s="1823">
        <f t="shared" si="2"/>
        <v>86594</v>
      </c>
      <c r="M21" s="1826"/>
    </row>
    <row r="22" spans="2:14" ht="5.0999999999999996" customHeight="1" x14ac:dyDescent="0.2">
      <c r="B22" s="1113"/>
      <c r="C22" s="1824"/>
      <c r="D22" s="1825"/>
      <c r="E22" s="1826"/>
      <c r="F22" s="1826"/>
      <c r="G22" s="1826"/>
      <c r="H22" s="1826"/>
      <c r="I22" s="1826"/>
      <c r="J22" s="1826"/>
      <c r="K22" s="1826"/>
      <c r="L22" s="1823"/>
      <c r="M22" s="1826"/>
    </row>
    <row r="23" spans="2:14" ht="20.100000000000001" customHeight="1" x14ac:dyDescent="0.2">
      <c r="B23" s="1113" t="s">
        <v>2184</v>
      </c>
      <c r="C23" s="1824" t="s">
        <v>2181</v>
      </c>
      <c r="D23" s="1825" t="s">
        <v>2182</v>
      </c>
      <c r="E23" s="1826">
        <v>17644</v>
      </c>
      <c r="F23" s="1826">
        <v>7438</v>
      </c>
      <c r="G23" s="1826">
        <v>21915</v>
      </c>
      <c r="H23" s="1826"/>
      <c r="I23" s="1826">
        <v>3167</v>
      </c>
      <c r="J23" s="1826"/>
      <c r="K23" s="1826"/>
      <c r="L23" s="1823">
        <f>G23+I23+K23</f>
        <v>25082</v>
      </c>
      <c r="M23" s="1826">
        <v>26915</v>
      </c>
    </row>
    <row r="24" spans="2:14" ht="19.5" customHeight="1" x14ac:dyDescent="0.2">
      <c r="B24" s="1113" t="s">
        <v>2184</v>
      </c>
      <c r="C24" s="1824" t="s">
        <v>2181</v>
      </c>
      <c r="D24" s="1825" t="s">
        <v>2183</v>
      </c>
      <c r="E24" s="1826"/>
      <c r="F24" s="1826">
        <v>7983</v>
      </c>
      <c r="G24" s="1826"/>
      <c r="H24" s="1826"/>
      <c r="I24" s="1826">
        <v>7983</v>
      </c>
      <c r="J24" s="1826"/>
      <c r="K24" s="1826"/>
      <c r="L24" s="1823">
        <f>G24+I24+K24</f>
        <v>7983</v>
      </c>
      <c r="M24" s="1826">
        <v>24774</v>
      </c>
    </row>
    <row r="25" spans="2:14" ht="20.100000000000001" customHeight="1" x14ac:dyDescent="0.2">
      <c r="B25" s="1113"/>
      <c r="C25" s="1824"/>
      <c r="D25" s="1825"/>
      <c r="E25" s="1826">
        <f t="shared" ref="E25:L25" si="3">E23+E24</f>
        <v>17644</v>
      </c>
      <c r="F25" s="1826">
        <f t="shared" si="3"/>
        <v>15421</v>
      </c>
      <c r="G25" s="1826">
        <f t="shared" si="3"/>
        <v>21915</v>
      </c>
      <c r="H25" s="1826">
        <f t="shared" si="3"/>
        <v>0</v>
      </c>
      <c r="I25" s="1826">
        <f t="shared" si="3"/>
        <v>11150</v>
      </c>
      <c r="J25" s="1826">
        <f t="shared" si="3"/>
        <v>0</v>
      </c>
      <c r="K25" s="1826">
        <f t="shared" si="3"/>
        <v>0</v>
      </c>
      <c r="L25" s="1823">
        <f t="shared" si="3"/>
        <v>33065</v>
      </c>
      <c r="M25" s="1826"/>
    </row>
    <row r="26" spans="2:14" ht="5.0999999999999996" customHeight="1" x14ac:dyDescent="0.2">
      <c r="B26" s="1113"/>
      <c r="C26" s="1824"/>
      <c r="D26" s="1825"/>
      <c r="E26" s="1826"/>
      <c r="F26" s="1826"/>
      <c r="G26" s="1826"/>
      <c r="H26" s="1826"/>
      <c r="I26" s="1826"/>
      <c r="J26" s="1826"/>
      <c r="K26" s="1826"/>
      <c r="L26" s="1823"/>
      <c r="M26" s="1826"/>
    </row>
    <row r="27" spans="2:14" ht="20.100000000000001" customHeight="1" x14ac:dyDescent="0.2">
      <c r="B27" s="1113" t="s">
        <v>2185</v>
      </c>
      <c r="C27" s="1824" t="s">
        <v>2187</v>
      </c>
      <c r="D27" s="1825" t="s">
        <v>2186</v>
      </c>
      <c r="E27" s="1826"/>
      <c r="F27" s="1826">
        <v>3421</v>
      </c>
      <c r="G27" s="1826"/>
      <c r="H27" s="1826"/>
      <c r="I27" s="1826">
        <v>4795</v>
      </c>
      <c r="J27" s="1826"/>
      <c r="K27" s="1826"/>
      <c r="L27" s="1823">
        <f>G27+I27+K27</f>
        <v>4795</v>
      </c>
      <c r="M27" s="1826">
        <v>6784</v>
      </c>
    </row>
    <row r="28" spans="2:14" ht="5.0999999999999996" customHeight="1" x14ac:dyDescent="0.2">
      <c r="B28" s="1113"/>
      <c r="C28" s="1824"/>
      <c r="D28" s="1825"/>
      <c r="E28" s="1826"/>
      <c r="F28" s="1826"/>
      <c r="G28" s="1826"/>
      <c r="H28" s="1826"/>
      <c r="I28" s="1826"/>
      <c r="J28" s="1826"/>
      <c r="K28" s="1826"/>
      <c r="L28" s="1823"/>
      <c r="M28" s="1826"/>
    </row>
    <row r="29" spans="2:14" ht="12.75" customHeight="1" x14ac:dyDescent="0.2">
      <c r="B29" s="1115"/>
      <c r="C29" s="1116"/>
      <c r="D29" s="1117"/>
      <c r="E29" s="1118"/>
      <c r="F29" s="1118"/>
      <c r="G29" s="1118"/>
      <c r="H29" s="1118"/>
      <c r="I29" s="1118"/>
      <c r="J29" s="1118"/>
      <c r="K29" s="1118"/>
      <c r="L29" s="1118"/>
      <c r="M29" s="1118"/>
      <c r="N29" s="1114"/>
    </row>
    <row r="30" spans="2:14" x14ac:dyDescent="0.2">
      <c r="B30" s="1033"/>
      <c r="C30" s="1119"/>
      <c r="D30" s="1120"/>
      <c r="E30" s="1033"/>
      <c r="F30" s="1033"/>
      <c r="G30" s="1026"/>
      <c r="H30" s="1026"/>
      <c r="I30" s="1026"/>
      <c r="J30" s="1026"/>
      <c r="K30" s="1026"/>
      <c r="L30" s="1026"/>
      <c r="M30" s="1033"/>
      <c r="N30" s="1114"/>
    </row>
    <row r="31" spans="2:14" ht="13.5" customHeight="1" x14ac:dyDescent="0.2">
      <c r="B31" s="1058" t="s">
        <v>1715</v>
      </c>
      <c r="C31" s="1119"/>
      <c r="D31" s="1120"/>
      <c r="E31" s="1033"/>
      <c r="F31" s="1033"/>
      <c r="G31" s="1026"/>
      <c r="H31" s="1026"/>
      <c r="I31" s="1026"/>
      <c r="J31" s="1026"/>
      <c r="K31" s="1026"/>
      <c r="L31" s="1026"/>
      <c r="M31" s="1033"/>
      <c r="N31" s="1114"/>
    </row>
    <row r="32" spans="2:14" ht="8.25" customHeight="1" x14ac:dyDescent="0.2">
      <c r="B32" s="1058"/>
      <c r="C32" s="1119"/>
      <c r="D32" s="1120"/>
      <c r="E32" s="1033"/>
      <c r="F32" s="1033"/>
      <c r="G32" s="1026"/>
      <c r="H32" s="1026"/>
      <c r="I32" s="1026"/>
      <c r="J32" s="1026"/>
      <c r="K32" s="1026"/>
      <c r="L32" s="1026"/>
      <c r="M32" s="1033"/>
      <c r="N32" s="1114"/>
    </row>
    <row r="33" spans="2:13" x14ac:dyDescent="0.2">
      <c r="B33" s="1121" t="s">
        <v>1813</v>
      </c>
      <c r="C33" s="1122"/>
      <c r="D33" s="1123"/>
      <c r="E33" s="1124"/>
      <c r="F33" s="1124"/>
      <c r="G33" s="1124"/>
      <c r="H33" s="1124"/>
      <c r="I33" s="295"/>
      <c r="J33" s="295"/>
    </row>
    <row r="34" spans="2:13" x14ac:dyDescent="0.2">
      <c r="B34" s="1053"/>
      <c r="C34" s="1125"/>
      <c r="D34" s="1126"/>
      <c r="E34" s="1054"/>
      <c r="F34" s="1054"/>
      <c r="G34" s="295"/>
      <c r="H34" s="295"/>
      <c r="I34" s="295"/>
      <c r="J34" s="295"/>
    </row>
    <row r="35" spans="2:13" ht="13.5" customHeight="1" x14ac:dyDescent="0.2">
      <c r="B35" s="1052" t="s">
        <v>1237</v>
      </c>
      <c r="G35" s="295"/>
      <c r="H35" s="295"/>
      <c r="I35" s="295"/>
      <c r="J35" s="295"/>
    </row>
    <row r="36" spans="2:13" ht="13.5" customHeight="1" x14ac:dyDescent="0.2">
      <c r="B36" s="1129"/>
      <c r="C36" s="1130"/>
      <c r="D36" s="1131"/>
      <c r="E36" s="1073"/>
      <c r="F36" s="1073"/>
      <c r="G36" s="1073"/>
      <c r="H36" s="1073"/>
      <c r="I36" s="1073"/>
      <c r="J36" s="1073"/>
      <c r="K36" s="1132"/>
      <c r="L36" s="1132"/>
      <c r="M36" s="1073"/>
    </row>
    <row r="37" spans="2:13" ht="9.6" customHeight="1" x14ac:dyDescent="0.2">
      <c r="B37" s="1133"/>
      <c r="G37" s="295"/>
      <c r="H37" s="295"/>
      <c r="I37" s="295"/>
      <c r="J37" s="295"/>
    </row>
    <row r="38" spans="2:13" ht="11.25" customHeight="1" x14ac:dyDescent="0.2">
      <c r="B38" s="1134" t="s">
        <v>1716</v>
      </c>
      <c r="C38" s="1135"/>
      <c r="D38" s="1135"/>
      <c r="E38" s="1135"/>
      <c r="F38" s="1135"/>
      <c r="G38" s="1135"/>
      <c r="H38" s="1135"/>
      <c r="I38" s="1136"/>
      <c r="J38" s="1136"/>
      <c r="K38" s="1136"/>
      <c r="L38" s="1136"/>
      <c r="M38" s="1136"/>
    </row>
    <row r="39" spans="2:13" ht="11.25" customHeight="1" x14ac:dyDescent="0.2">
      <c r="B39" s="1137" t="s">
        <v>1570</v>
      </c>
      <c r="C39" s="1136"/>
      <c r="D39" s="1136"/>
      <c r="E39" s="1136"/>
      <c r="F39" s="1136"/>
      <c r="G39" s="1136"/>
      <c r="H39" s="1136"/>
      <c r="I39" s="1136"/>
      <c r="J39" s="1136"/>
      <c r="K39" s="1136"/>
      <c r="L39" s="1136"/>
      <c r="M39" s="1136"/>
    </row>
    <row r="40" spans="2:13" ht="3.95" customHeight="1" x14ac:dyDescent="0.2">
      <c r="B40" s="1137"/>
      <c r="C40" s="1136"/>
      <c r="D40" s="1136"/>
      <c r="E40" s="1136"/>
      <c r="F40" s="1136"/>
      <c r="G40" s="1136"/>
      <c r="H40" s="1136"/>
      <c r="I40" s="1136"/>
      <c r="J40" s="1136"/>
      <c r="K40" s="1136"/>
      <c r="L40" s="1136"/>
      <c r="M40" s="1136"/>
    </row>
    <row r="41" spans="2:13" ht="11.25" customHeight="1" x14ac:dyDescent="0.2">
      <c r="B41" s="1134" t="s">
        <v>1717</v>
      </c>
      <c r="C41" s="1136"/>
      <c r="D41" s="1136"/>
      <c r="E41" s="1136"/>
      <c r="F41" s="1136"/>
      <c r="G41" s="1136"/>
      <c r="H41" s="1136"/>
      <c r="I41" s="1136"/>
      <c r="J41" s="1136"/>
      <c r="K41" s="1136"/>
      <c r="L41" s="1136"/>
      <c r="M41" s="1136"/>
    </row>
    <row r="42" spans="2:13" ht="11.25" customHeight="1" x14ac:dyDescent="0.2">
      <c r="B42" s="1076" t="s">
        <v>1571</v>
      </c>
      <c r="C42" s="1138"/>
      <c r="D42" s="1139"/>
      <c r="E42" s="1076"/>
      <c r="F42" s="1076"/>
      <c r="G42" s="1076"/>
      <c r="H42" s="1076"/>
      <c r="I42" s="1076"/>
      <c r="J42" s="1076"/>
      <c r="K42" s="1140"/>
      <c r="L42" s="1140"/>
      <c r="M42" s="1076"/>
    </row>
    <row r="43" spans="2:13" ht="3.95" customHeight="1" x14ac:dyDescent="0.2">
      <c r="B43" s="1076"/>
      <c r="C43" s="1138"/>
      <c r="D43" s="1139"/>
      <c r="E43" s="1076"/>
      <c r="F43" s="1076"/>
      <c r="G43" s="1076"/>
      <c r="H43" s="1076"/>
      <c r="I43" s="1076"/>
      <c r="J43" s="1076"/>
      <c r="K43" s="1140"/>
      <c r="L43" s="1140"/>
      <c r="M43" s="1076"/>
    </row>
    <row r="44" spans="2:13" ht="11.25" customHeight="1" x14ac:dyDescent="0.2">
      <c r="B44" s="1141" t="s">
        <v>1718</v>
      </c>
      <c r="C44" s="1138"/>
      <c r="D44" s="1139"/>
      <c r="E44" s="1076"/>
      <c r="F44" s="1076"/>
      <c r="G44" s="1076"/>
      <c r="H44" s="1076"/>
      <c r="I44" s="1076"/>
      <c r="J44" s="1076"/>
      <c r="K44" s="1140"/>
      <c r="L44" s="1140"/>
      <c r="M44" s="1076"/>
    </row>
    <row r="45" spans="2:13" ht="3.95" customHeight="1" x14ac:dyDescent="0.2">
      <c r="B45" s="1141"/>
      <c r="C45" s="1138"/>
      <c r="D45" s="1139"/>
      <c r="E45" s="1076"/>
      <c r="F45" s="1076"/>
      <c r="G45" s="1076"/>
      <c r="H45" s="1076"/>
      <c r="I45" s="1076"/>
      <c r="J45" s="1076"/>
      <c r="K45" s="1140"/>
      <c r="L45" s="1140"/>
      <c r="M45" s="1076"/>
    </row>
    <row r="46" spans="2:13" ht="11.25" customHeight="1" x14ac:dyDescent="0.2">
      <c r="B46" s="1142" t="s">
        <v>1719</v>
      </c>
      <c r="C46" s="1138"/>
      <c r="D46" s="1139"/>
      <c r="E46" s="1076"/>
      <c r="F46" s="1076"/>
      <c r="G46" s="1076"/>
      <c r="H46" s="1076"/>
      <c r="I46" s="1076"/>
      <c r="J46" s="1076"/>
      <c r="K46" s="1140"/>
      <c r="L46" s="1140"/>
      <c r="M46" s="1076"/>
    </row>
    <row r="47" spans="2:13" ht="11.25" customHeight="1" x14ac:dyDescent="0.2">
      <c r="B47" s="1076" t="s">
        <v>1572</v>
      </c>
      <c r="G47" s="295"/>
      <c r="H47" s="295"/>
      <c r="I47" s="295"/>
      <c r="J47" s="295"/>
    </row>
    <row r="48" spans="2:13" ht="11.1" customHeight="1" x14ac:dyDescent="0.2">
      <c r="B48" s="1076"/>
      <c r="G48" s="295"/>
      <c r="H48" s="295"/>
      <c r="I48" s="295"/>
      <c r="J48" s="295"/>
    </row>
    <row r="49" spans="2:13" ht="11.1" customHeight="1" x14ac:dyDescent="0.2">
      <c r="B49" s="1076"/>
      <c r="G49" s="295"/>
      <c r="H49" s="295"/>
      <c r="I49" s="295"/>
      <c r="J49" s="295"/>
    </row>
    <row r="50" spans="2:13" ht="13.5" customHeight="1" x14ac:dyDescent="0.2">
      <c r="M50" s="1143"/>
    </row>
    <row r="51" spans="2:13" ht="13.5" customHeight="1" x14ac:dyDescent="0.2">
      <c r="M51" s="1143"/>
    </row>
    <row r="52" spans="2:13" ht="13.5" customHeight="1" x14ac:dyDescent="0.2">
      <c r="M52" s="1143"/>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colorId="8" zoomScaleNormal="100" workbookViewId="0">
      <selection activeCell="A21" sqref="A2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8" t="s">
        <v>1160</v>
      </c>
      <c r="B2" s="2158"/>
      <c r="C2" s="2158"/>
      <c r="D2" s="2158"/>
      <c r="E2" s="2158"/>
      <c r="F2" s="2158"/>
      <c r="G2" s="2158"/>
      <c r="H2" s="2158"/>
      <c r="I2" s="2158"/>
      <c r="J2" s="2158"/>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2" t="s">
        <v>1619</v>
      </c>
      <c r="B35" s="2173"/>
      <c r="C35" s="2173"/>
      <c r="D35" s="2173"/>
      <c r="E35" s="2174"/>
      <c r="F35" s="2174"/>
      <c r="G35" s="2174"/>
      <c r="H35" s="2174"/>
      <c r="I35" s="217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2" t="s">
        <v>310</v>
      </c>
      <c r="B47" s="2175"/>
      <c r="C47" s="2175"/>
      <c r="D47" s="2175"/>
      <c r="E47" s="2176"/>
      <c r="F47" s="2176"/>
      <c r="G47" s="2176"/>
      <c r="H47" s="2176"/>
      <c r="I47" s="217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2023</v>
      </c>
      <c r="C54" s="174">
        <v>23</v>
      </c>
      <c r="D54" s="238" t="s">
        <v>1348</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9" t="s">
        <v>2038</v>
      </c>
      <c r="C57" s="2180"/>
      <c r="D57" s="2180"/>
      <c r="E57" s="2180"/>
      <c r="F57" s="2180"/>
      <c r="G57" s="2180"/>
      <c r="H57" s="2180"/>
      <c r="I57" s="2180"/>
      <c r="J57" s="2181"/>
    </row>
    <row r="58" spans="1:10" s="176" customFormat="1" x14ac:dyDescent="0.2">
      <c r="A58" s="248"/>
      <c r="B58" s="2182"/>
      <c r="C58" s="2183"/>
      <c r="D58" s="2183"/>
      <c r="E58" s="2183"/>
      <c r="F58" s="2183"/>
      <c r="G58" s="2183"/>
      <c r="H58" s="2183"/>
      <c r="I58" s="2183"/>
      <c r="J58" s="2184"/>
    </row>
    <row r="59" spans="1:10" s="176" customFormat="1" x14ac:dyDescent="0.2">
      <c r="A59" s="248"/>
      <c r="B59" s="2182"/>
      <c r="C59" s="2183"/>
      <c r="D59" s="2183"/>
      <c r="E59" s="2183"/>
      <c r="F59" s="2183"/>
      <c r="G59" s="2183"/>
      <c r="H59" s="2183"/>
      <c r="I59" s="2183"/>
      <c r="J59" s="2184"/>
    </row>
    <row r="60" spans="1:10" s="176" customFormat="1" x14ac:dyDescent="0.2">
      <c r="A60" s="248"/>
      <c r="B60" s="2182"/>
      <c r="C60" s="2183"/>
      <c r="D60" s="2183"/>
      <c r="E60" s="2183"/>
      <c r="F60" s="2183"/>
      <c r="G60" s="2183"/>
      <c r="H60" s="2183"/>
      <c r="I60" s="2183"/>
      <c r="J60" s="2184"/>
    </row>
    <row r="61" spans="1:10" s="176" customFormat="1" x14ac:dyDescent="0.2">
      <c r="A61" s="248"/>
      <c r="B61" s="2182"/>
      <c r="C61" s="2183"/>
      <c r="D61" s="2183"/>
      <c r="E61" s="2183"/>
      <c r="F61" s="2183"/>
      <c r="G61" s="2183"/>
      <c r="H61" s="2183"/>
      <c r="I61" s="2183"/>
      <c r="J61" s="2184"/>
    </row>
    <row r="62" spans="1:10" s="176" customFormat="1" x14ac:dyDescent="0.2">
      <c r="A62" s="248"/>
      <c r="B62" s="2182"/>
      <c r="C62" s="2183"/>
      <c r="D62" s="2183"/>
      <c r="E62" s="2183"/>
      <c r="F62" s="2183"/>
      <c r="G62" s="2183"/>
      <c r="H62" s="2183"/>
      <c r="I62" s="2183"/>
      <c r="J62" s="2184"/>
    </row>
    <row r="63" spans="1:10" s="176" customFormat="1" x14ac:dyDescent="0.2">
      <c r="A63" s="248"/>
      <c r="B63" s="2182"/>
      <c r="C63" s="2183"/>
      <c r="D63" s="2183"/>
      <c r="E63" s="2183"/>
      <c r="F63" s="2183"/>
      <c r="G63" s="2183"/>
      <c r="H63" s="2183"/>
      <c r="I63" s="2183"/>
      <c r="J63" s="2184"/>
    </row>
    <row r="64" spans="1:10" s="176" customFormat="1" x14ac:dyDescent="0.2">
      <c r="A64" s="248"/>
      <c r="B64" s="2182"/>
      <c r="C64" s="2183"/>
      <c r="D64" s="2183"/>
      <c r="E64" s="2183"/>
      <c r="F64" s="2183"/>
      <c r="G64" s="2183"/>
      <c r="H64" s="2183"/>
      <c r="I64" s="2183"/>
      <c r="J64" s="2184"/>
    </row>
    <row r="65" spans="1:11" s="176" customFormat="1" x14ac:dyDescent="0.2">
      <c r="A65" s="248"/>
      <c r="B65" s="2182"/>
      <c r="C65" s="2183"/>
      <c r="D65" s="2183"/>
      <c r="E65" s="2183"/>
      <c r="F65" s="2183"/>
      <c r="G65" s="2183"/>
      <c r="H65" s="2183"/>
      <c r="I65" s="2183"/>
      <c r="J65" s="2184"/>
    </row>
    <row r="66" spans="1:11" s="176" customFormat="1" x14ac:dyDescent="0.2">
      <c r="A66" s="248"/>
      <c r="B66" s="2182"/>
      <c r="C66" s="2183"/>
      <c r="D66" s="2183"/>
      <c r="E66" s="2183"/>
      <c r="F66" s="2183"/>
      <c r="G66" s="2183"/>
      <c r="H66" s="2183"/>
      <c r="I66" s="2183"/>
      <c r="J66" s="2184"/>
    </row>
    <row r="67" spans="1:11" s="176" customFormat="1" ht="9" customHeight="1" x14ac:dyDescent="0.2">
      <c r="A67" s="249"/>
      <c r="B67" s="2185"/>
      <c r="C67" s="2186"/>
      <c r="D67" s="2186"/>
      <c r="E67" s="2186"/>
      <c r="F67" s="2186"/>
      <c r="G67" s="2186"/>
      <c r="H67" s="2186"/>
      <c r="I67" s="2186"/>
      <c r="J67" s="218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2" t="s">
        <v>1314</v>
      </c>
      <c r="B70" s="2175"/>
      <c r="C70" s="2175"/>
      <c r="D70" s="2175"/>
      <c r="E70" s="2176"/>
      <c r="F70" s="2176"/>
      <c r="G70" s="2176"/>
      <c r="H70" s="2176"/>
      <c r="I70" s="2176"/>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1873</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7" t="s">
        <v>1311</v>
      </c>
      <c r="B83" s="2177"/>
      <c r="C83" s="2177"/>
      <c r="D83" s="2178"/>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8" t="s">
        <v>1990</v>
      </c>
      <c r="B85" s="2188"/>
      <c r="C85" s="2188"/>
      <c r="D85" s="2189"/>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90" t="s">
        <v>1990</v>
      </c>
      <c r="B88" s="2191"/>
      <c r="C88" s="2191"/>
      <c r="D88" s="2192"/>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9"/>
      <c r="C102" s="2160"/>
      <c r="D102" s="2160"/>
      <c r="E102" s="2160"/>
      <c r="F102" s="2160"/>
      <c r="G102" s="2160"/>
      <c r="H102" s="2160"/>
      <c r="I102" s="2161"/>
    </row>
    <row r="103" spans="1:9" s="176" customFormat="1" ht="11.25" customHeight="1" x14ac:dyDescent="0.2">
      <c r="A103" s="294"/>
      <c r="B103" s="2162"/>
      <c r="C103" s="2163"/>
      <c r="D103" s="2163"/>
      <c r="E103" s="2163"/>
      <c r="F103" s="2163"/>
      <c r="G103" s="2163"/>
      <c r="H103" s="2163"/>
      <c r="I103" s="2164"/>
    </row>
    <row r="104" spans="1:9" s="176" customFormat="1" ht="11.25" customHeight="1" x14ac:dyDescent="0.2">
      <c r="A104" s="294"/>
      <c r="B104" s="2162"/>
      <c r="C104" s="2163"/>
      <c r="D104" s="2163"/>
      <c r="E104" s="2163"/>
      <c r="F104" s="2163"/>
      <c r="G104" s="2163"/>
      <c r="H104" s="2163"/>
      <c r="I104" s="2164"/>
    </row>
    <row r="105" spans="1:9" s="176" customFormat="1" x14ac:dyDescent="0.2">
      <c r="A105" s="294"/>
      <c r="B105" s="2162"/>
      <c r="C105" s="2163"/>
      <c r="D105" s="2163"/>
      <c r="E105" s="2163"/>
      <c r="F105" s="2163"/>
      <c r="G105" s="2163"/>
      <c r="H105" s="2163"/>
      <c r="I105" s="2164"/>
    </row>
    <row r="106" spans="1:9" s="176" customFormat="1" ht="11.25" customHeight="1" x14ac:dyDescent="0.2">
      <c r="A106" s="294"/>
      <c r="B106" s="2162"/>
      <c r="C106" s="2163"/>
      <c r="D106" s="2163"/>
      <c r="E106" s="2163"/>
      <c r="F106" s="2163"/>
      <c r="G106" s="2163"/>
      <c r="H106" s="2163"/>
      <c r="I106" s="2164"/>
    </row>
    <row r="107" spans="1:9" s="176" customFormat="1" ht="11.25" customHeight="1" x14ac:dyDescent="0.2">
      <c r="A107" s="294"/>
      <c r="B107" s="2162"/>
      <c r="C107" s="2163"/>
      <c r="D107" s="2163"/>
      <c r="E107" s="2163"/>
      <c r="F107" s="2163"/>
      <c r="G107" s="2163"/>
      <c r="H107" s="2163"/>
      <c r="I107" s="2164"/>
    </row>
    <row r="108" spans="1:9" s="176" customFormat="1" ht="11.25" customHeight="1" x14ac:dyDescent="0.2">
      <c r="A108" s="294"/>
      <c r="B108" s="2162"/>
      <c r="C108" s="2163"/>
      <c r="D108" s="2163"/>
      <c r="E108" s="2163"/>
      <c r="F108" s="2163"/>
      <c r="G108" s="2163"/>
      <c r="H108" s="2163"/>
      <c r="I108" s="2164"/>
    </row>
    <row r="109" spans="1:9" s="176" customFormat="1" ht="11.25" customHeight="1" x14ac:dyDescent="0.2">
      <c r="A109" s="294"/>
      <c r="B109" s="2162"/>
      <c r="C109" s="2163"/>
      <c r="D109" s="2163"/>
      <c r="E109" s="2163"/>
      <c r="F109" s="2163"/>
      <c r="G109" s="2163"/>
      <c r="H109" s="2163"/>
      <c r="I109" s="2164"/>
    </row>
    <row r="110" spans="1:9" s="176" customFormat="1" ht="11.25" customHeight="1" x14ac:dyDescent="0.2">
      <c r="A110" s="294"/>
      <c r="B110" s="2162"/>
      <c r="C110" s="2163"/>
      <c r="D110" s="2163"/>
      <c r="E110" s="2163"/>
      <c r="F110" s="2163"/>
      <c r="G110" s="2163"/>
      <c r="H110" s="2163"/>
      <c r="I110" s="2164"/>
    </row>
    <row r="111" spans="1:9" s="176" customFormat="1" ht="11.25" customHeight="1" x14ac:dyDescent="0.2">
      <c r="A111" s="294"/>
      <c r="B111" s="2162"/>
      <c r="C111" s="2163"/>
      <c r="D111" s="2163"/>
      <c r="E111" s="2163"/>
      <c r="F111" s="2163"/>
      <c r="G111" s="2163"/>
      <c r="H111" s="2163"/>
      <c r="I111" s="2164"/>
    </row>
    <row r="112" spans="1:9" s="176" customFormat="1" ht="11.25" customHeight="1" x14ac:dyDescent="0.2">
      <c r="A112" s="294"/>
      <c r="B112" s="2165"/>
      <c r="C112" s="2166"/>
      <c r="D112" s="2166"/>
      <c r="E112" s="2166"/>
      <c r="F112" s="2166"/>
      <c r="G112" s="2166"/>
      <c r="H112" s="2166"/>
      <c r="I112" s="216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8" t="s">
        <v>2112</v>
      </c>
      <c r="D114" s="2168"/>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9" t="s">
        <v>1321</v>
      </c>
      <c r="D117" s="2170"/>
      <c r="E117" s="2171"/>
      <c r="F117" s="2171"/>
      <c r="G117" s="2171"/>
      <c r="H117" s="2171"/>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1874</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49"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897C-02DE-440C-BE4B-B9FD21C3D378}">
  <sheetPr>
    <pageSetUpPr fitToPage="1"/>
  </sheetPr>
  <dimension ref="B1:N153"/>
  <sheetViews>
    <sheetView showGridLines="0" zoomScaleNormal="100" workbookViewId="0">
      <selection activeCell="L24" sqref="L24"/>
    </sheetView>
  </sheetViews>
  <sheetFormatPr defaultColWidth="33.5703125" defaultRowHeight="12.75" x14ac:dyDescent="0.2"/>
  <cols>
    <col min="1" max="1" width="0.140625" style="295" customWidth="1"/>
    <col min="2" max="2" width="38.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2" t="str">
        <f>'Single Audit Cover'!A7</f>
        <v xml:space="preserve">   TRICO CUSD 176</v>
      </c>
      <c r="C1" s="2577"/>
      <c r="D1" s="2577"/>
      <c r="E1" s="2577"/>
      <c r="F1" s="2577"/>
      <c r="G1" s="2577"/>
      <c r="H1" s="2577"/>
      <c r="I1" s="2577"/>
      <c r="J1" s="2577"/>
      <c r="K1" s="2577"/>
      <c r="L1" s="2577"/>
      <c r="M1" s="2577"/>
    </row>
    <row r="2" spans="2:14" ht="15" x14ac:dyDescent="0.2">
      <c r="B2" s="2578">
        <f>'Single Audit Cover'!E7</f>
        <v>30039176026</v>
      </c>
      <c r="C2" s="2578"/>
      <c r="D2" s="2578"/>
      <c r="E2" s="2578"/>
      <c r="F2" s="2578"/>
      <c r="G2" s="2578"/>
      <c r="H2" s="2578"/>
      <c r="I2" s="2578"/>
      <c r="J2" s="2578"/>
      <c r="K2" s="2578"/>
      <c r="L2" s="2578"/>
      <c r="M2" s="2578"/>
      <c r="N2" s="1078"/>
    </row>
    <row r="3" spans="2:14" ht="15" x14ac:dyDescent="0.2">
      <c r="B3" s="2579" t="s">
        <v>1210</v>
      </c>
      <c r="C3" s="2579"/>
      <c r="D3" s="2579"/>
      <c r="E3" s="2579"/>
      <c r="F3" s="2579"/>
      <c r="G3" s="2579"/>
      <c r="H3" s="2579"/>
      <c r="I3" s="2579"/>
      <c r="J3" s="2579"/>
      <c r="K3" s="2579"/>
      <c r="L3" s="2579"/>
      <c r="M3" s="2579"/>
      <c r="N3" s="1078"/>
    </row>
    <row r="4" spans="2:14" ht="15" x14ac:dyDescent="0.2">
      <c r="B4" s="2580" t="str">
        <f>'Single Audit Cover'!A4</f>
        <v>Year Ending June 30, 2020</v>
      </c>
      <c r="C4" s="2580"/>
      <c r="D4" s="2580"/>
      <c r="E4" s="2580"/>
      <c r="F4" s="2580"/>
      <c r="G4" s="2580"/>
      <c r="H4" s="2580"/>
      <c r="I4" s="2580"/>
      <c r="J4" s="2580"/>
      <c r="K4" s="2580"/>
      <c r="L4" s="2580"/>
      <c r="M4" s="2580"/>
      <c r="N4" s="1078"/>
    </row>
    <row r="5" spans="2:14" x14ac:dyDescent="0.2">
      <c r="H5" s="1914"/>
      <c r="J5" s="1914"/>
    </row>
    <row r="6" spans="2:14" x14ac:dyDescent="0.2">
      <c r="B6" s="1079"/>
      <c r="C6" s="1080"/>
      <c r="D6" s="1081" t="s">
        <v>1256</v>
      </c>
      <c r="E6" s="1082" t="s">
        <v>524</v>
      </c>
      <c r="F6" s="1083"/>
      <c r="G6" s="1084" t="s">
        <v>1712</v>
      </c>
      <c r="H6" s="1082"/>
      <c r="I6" s="1082"/>
      <c r="J6" s="1915"/>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1713</v>
      </c>
      <c r="D9" s="1090" t="s">
        <v>1714</v>
      </c>
      <c r="E9" s="1913" t="str">
        <f>"7/1/"&amp;MID('AFR20'!$E$2,3,2)-2&amp;"-6/30/"&amp;MID('AFR20'!$E$2,3,2)-1</f>
        <v>7/1/18-6/30/19</v>
      </c>
      <c r="F9" s="1913" t="str">
        <f>"7/1/"&amp;MID('AFR20'!$E$2,3,2)-1&amp;"-6/30/"&amp;MID('AFR20'!$E$2,3,2)</f>
        <v>7/1/19-6/30/20</v>
      </c>
      <c r="G9" s="1913" t="str">
        <f>"7/1/"&amp;MID('AFR20'!$E$2,3,2)-2&amp;"-6/30/"&amp;MID('AFR20'!$E$2,3,2)-1</f>
        <v>7/1/18-6/30/19</v>
      </c>
      <c r="H9" s="1093" t="s">
        <v>1568</v>
      </c>
      <c r="I9" s="1913"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2190</v>
      </c>
      <c r="C11" s="1821"/>
      <c r="D11" s="1822"/>
      <c r="E11" s="1823"/>
      <c r="F11" s="1823"/>
      <c r="G11" s="1823"/>
      <c r="H11" s="1823"/>
      <c r="I11" s="1823"/>
      <c r="J11" s="1823"/>
      <c r="K11" s="1823"/>
      <c r="L11" s="1823"/>
      <c r="M11" s="1823"/>
    </row>
    <row r="12" spans="2:14" ht="20.100000000000001" customHeight="1" x14ac:dyDescent="0.2">
      <c r="B12" s="1113" t="s">
        <v>2191</v>
      </c>
      <c r="C12" s="1824"/>
      <c r="D12" s="1825"/>
      <c r="E12" s="1826"/>
      <c r="F12" s="1826"/>
      <c r="G12" s="1826"/>
      <c r="H12" s="1826"/>
      <c r="I12" s="1826"/>
      <c r="J12" s="1826"/>
      <c r="K12" s="1826"/>
      <c r="L12" s="1823"/>
      <c r="M12" s="1826"/>
    </row>
    <row r="13" spans="2:14" ht="20.100000000000001" customHeight="1" x14ac:dyDescent="0.2">
      <c r="B13" s="1113" t="s">
        <v>2188</v>
      </c>
      <c r="C13" s="1824" t="s">
        <v>2192</v>
      </c>
      <c r="D13" s="1825" t="s">
        <v>2189</v>
      </c>
      <c r="E13" s="1826"/>
      <c r="F13" s="1826">
        <v>165246</v>
      </c>
      <c r="G13" s="1826"/>
      <c r="H13" s="1826"/>
      <c r="I13" s="1826">
        <v>199953</v>
      </c>
      <c r="J13" s="1826"/>
      <c r="K13" s="1826"/>
      <c r="L13" s="1823">
        <f>G13+I13+K13</f>
        <v>199953</v>
      </c>
      <c r="M13" s="1826">
        <v>276217</v>
      </c>
    </row>
    <row r="14" spans="2:14" ht="20.100000000000001" customHeight="1" x14ac:dyDescent="0.2">
      <c r="B14" s="1113" t="s">
        <v>2193</v>
      </c>
      <c r="C14" s="1824" t="s">
        <v>2192</v>
      </c>
      <c r="D14" s="1825" t="s">
        <v>2194</v>
      </c>
      <c r="E14" s="1826"/>
      <c r="F14" s="1826">
        <v>11167</v>
      </c>
      <c r="G14" s="1826"/>
      <c r="H14" s="1826"/>
      <c r="I14" s="1826">
        <v>11167</v>
      </c>
      <c r="J14" s="1826"/>
      <c r="K14" s="1826"/>
      <c r="L14" s="1823">
        <f t="shared" ref="L14:L15" si="0">+G14+I14+K14</f>
        <v>11167</v>
      </c>
      <c r="M14" s="1826" t="s">
        <v>2040</v>
      </c>
    </row>
    <row r="15" spans="2:14" ht="20.100000000000001" customHeight="1" x14ac:dyDescent="0.2">
      <c r="B15" s="1113"/>
      <c r="C15" s="1824"/>
      <c r="D15" s="1825"/>
      <c r="E15" s="1826">
        <f t="shared" ref="E15:K15" si="1">E13+E14</f>
        <v>0</v>
      </c>
      <c r="F15" s="1826">
        <f t="shared" si="1"/>
        <v>176413</v>
      </c>
      <c r="G15" s="1826">
        <f t="shared" si="1"/>
        <v>0</v>
      </c>
      <c r="H15" s="1826">
        <f t="shared" si="1"/>
        <v>0</v>
      </c>
      <c r="I15" s="1826">
        <f t="shared" si="1"/>
        <v>211120</v>
      </c>
      <c r="J15" s="1826">
        <f t="shared" si="1"/>
        <v>0</v>
      </c>
      <c r="K15" s="1826">
        <f t="shared" si="1"/>
        <v>0</v>
      </c>
      <c r="L15" s="1823">
        <f t="shared" si="0"/>
        <v>211120</v>
      </c>
      <c r="M15" s="1826"/>
    </row>
    <row r="16" spans="2:14" ht="5.0999999999999996" customHeight="1" x14ac:dyDescent="0.2">
      <c r="B16" s="1113"/>
      <c r="C16" s="1824"/>
      <c r="D16" s="1825"/>
      <c r="E16" s="1826"/>
      <c r="F16" s="1826"/>
      <c r="G16" s="1826"/>
      <c r="H16" s="1826"/>
      <c r="I16" s="1826"/>
      <c r="J16" s="1826"/>
      <c r="K16" s="1826"/>
      <c r="L16" s="1823"/>
      <c r="M16" s="1826"/>
    </row>
    <row r="17" spans="2:14" ht="19.5" customHeight="1" x14ac:dyDescent="0.2">
      <c r="B17" s="1113" t="s">
        <v>2195</v>
      </c>
      <c r="C17" s="1824"/>
      <c r="D17" s="1825"/>
      <c r="E17" s="1826"/>
      <c r="F17" s="1826"/>
      <c r="G17" s="1826"/>
      <c r="H17" s="1826"/>
      <c r="I17" s="1826"/>
      <c r="J17" s="1826"/>
      <c r="K17" s="1826"/>
      <c r="L17" s="1823"/>
      <c r="M17" s="1826"/>
    </row>
    <row r="18" spans="2:14" ht="19.5" customHeight="1" x14ac:dyDescent="0.2">
      <c r="B18" s="1113" t="s">
        <v>2197</v>
      </c>
      <c r="C18" s="1824" t="s">
        <v>2196</v>
      </c>
      <c r="D18" s="1825" t="s">
        <v>2040</v>
      </c>
      <c r="E18" s="1826"/>
      <c r="F18" s="1826">
        <v>1808</v>
      </c>
      <c r="G18" s="1826"/>
      <c r="H18" s="1826"/>
      <c r="I18" s="1826">
        <v>3308</v>
      </c>
      <c r="J18" s="1826"/>
      <c r="K18" s="1826"/>
      <c r="L18" s="1823">
        <f>G18+I18+K18</f>
        <v>3308</v>
      </c>
      <c r="M18" s="1826">
        <v>4600</v>
      </c>
    </row>
    <row r="19" spans="2:14" ht="19.5" customHeight="1" x14ac:dyDescent="0.2">
      <c r="B19" s="1113" t="s">
        <v>2198</v>
      </c>
      <c r="C19" s="1824"/>
      <c r="D19" s="1825"/>
      <c r="E19" s="1826">
        <f>' SEFA (2)'!E17+' SEFA (2)'!E21+' SEFA (2)'!E25+' SEFA (2)'!E27+' SEFA (3)'!E15+' SEFA (3)'!E18</f>
        <v>284201</v>
      </c>
      <c r="F19" s="1826">
        <f>' SEFA (2)'!F17+' SEFA (2)'!F21+' SEFA (2)'!F25+' SEFA (2)'!F27+' SEFA (3)'!F15+' SEFA (3)'!F18</f>
        <v>624739</v>
      </c>
      <c r="G19" s="1826">
        <f>' SEFA (2)'!G17+' SEFA (2)'!G21+' SEFA (2)'!G25+' SEFA (2)'!G27+' SEFA (3)'!G15+' SEFA (3)'!G18</f>
        <v>322226</v>
      </c>
      <c r="H19" s="1826">
        <v>0</v>
      </c>
      <c r="I19" s="1826">
        <f>' SEFA (2)'!I17+' SEFA (2)'!I21+' SEFA (2)'!I25+' SEFA (2)'!I27+' SEFA (3)'!I15+' SEFA (3)'!I18</f>
        <v>644000</v>
      </c>
      <c r="J19" s="1826">
        <v>0</v>
      </c>
      <c r="K19" s="1826">
        <f>' SEFA (2)'!K17+' SEFA (2)'!K21+' SEFA (2)'!K25+' SEFA (3)'!K15+' SEFA (3)'!K18</f>
        <v>41500</v>
      </c>
      <c r="L19" s="1823">
        <f>G19+I19+K19</f>
        <v>1007726</v>
      </c>
      <c r="M19" s="1826"/>
    </row>
    <row r="20" spans="2:14" ht="19.5" customHeight="1" x14ac:dyDescent="0.2">
      <c r="B20" s="1113"/>
      <c r="C20" s="1824"/>
      <c r="D20" s="1825"/>
      <c r="E20" s="1826"/>
      <c r="F20" s="1826"/>
      <c r="G20" s="1826"/>
      <c r="H20" s="1826"/>
      <c r="I20" s="1826"/>
      <c r="J20" s="1826"/>
      <c r="K20" s="1826"/>
      <c r="L20" s="1823"/>
      <c r="M20" s="1826"/>
    </row>
    <row r="21" spans="2:14" ht="19.5" customHeight="1" x14ac:dyDescent="0.2">
      <c r="B21" s="1113"/>
      <c r="C21" s="1824"/>
      <c r="D21" s="1825"/>
      <c r="E21" s="1826"/>
      <c r="F21" s="1826"/>
      <c r="G21" s="1826"/>
      <c r="H21" s="1826"/>
      <c r="I21" s="1826"/>
      <c r="J21" s="1826"/>
      <c r="K21" s="1826"/>
      <c r="L21" s="1823"/>
      <c r="M21" s="1826"/>
    </row>
    <row r="22" spans="2:14" ht="19.5" customHeight="1" x14ac:dyDescent="0.2">
      <c r="B22" s="1113"/>
      <c r="C22" s="1824"/>
      <c r="D22" s="1825"/>
      <c r="E22" s="1826"/>
      <c r="F22" s="1826"/>
      <c r="G22" s="1826"/>
      <c r="H22" s="1826"/>
      <c r="I22" s="1826"/>
      <c r="J22" s="1826"/>
      <c r="K22" s="1826"/>
      <c r="L22" s="1823"/>
      <c r="M22" s="1826"/>
    </row>
    <row r="23" spans="2:14" ht="19.5" customHeight="1" x14ac:dyDescent="0.2">
      <c r="B23" s="1113" t="s">
        <v>2199</v>
      </c>
      <c r="C23" s="1824"/>
      <c r="D23" s="1825"/>
      <c r="E23" s="1826">
        <f>' SEFA'!E23+' SEFA (3)'!E19</f>
        <v>487358</v>
      </c>
      <c r="F23" s="1826">
        <f>' SEFA'!F23+' SEFA'!F29+' SEFA (3)'!F19</f>
        <v>866291</v>
      </c>
      <c r="G23" s="1826">
        <f>' SEFA'!G23+' SEFA'!G29+' SEFA (3)'!G19</f>
        <v>535789</v>
      </c>
      <c r="H23" s="1826">
        <v>0</v>
      </c>
      <c r="I23" s="1826">
        <f>' SEFA'!I23+' SEFA'!I29+' SEFA (3)'!I19</f>
        <v>886897</v>
      </c>
      <c r="J23" s="1826">
        <v>0</v>
      </c>
      <c r="K23" s="1826">
        <f>' SEFA'!K23+' SEFA'!K29+' SEFA (3)'!K19</f>
        <v>41500</v>
      </c>
      <c r="L23" s="1823">
        <f>G23+I23+K23</f>
        <v>1464186</v>
      </c>
      <c r="M23" s="1826"/>
    </row>
    <row r="24" spans="2:14" ht="19.5" customHeight="1" x14ac:dyDescent="0.2">
      <c r="B24" s="1113"/>
      <c r="C24" s="1824"/>
      <c r="D24" s="1825"/>
      <c r="E24" s="1826"/>
      <c r="F24" s="1826"/>
      <c r="G24" s="1826"/>
      <c r="H24" s="1826"/>
      <c r="I24" s="1826"/>
      <c r="J24" s="1826"/>
      <c r="K24" s="1826"/>
      <c r="L24" s="1823"/>
      <c r="M24" s="1826"/>
    </row>
    <row r="25" spans="2:14" ht="19.5" customHeight="1" x14ac:dyDescent="0.2">
      <c r="B25" s="1113"/>
      <c r="C25" s="1824"/>
      <c r="D25" s="1825"/>
      <c r="E25" s="1826"/>
      <c r="F25" s="1826"/>
      <c r="G25" s="1826"/>
      <c r="H25" s="1826"/>
      <c r="I25" s="1826"/>
      <c r="J25" s="1826"/>
      <c r="K25" s="1826"/>
      <c r="L25" s="1823"/>
      <c r="M25" s="1826"/>
    </row>
    <row r="26" spans="2:14" ht="19.5" customHeight="1" x14ac:dyDescent="0.2">
      <c r="B26" s="1113"/>
      <c r="C26" s="1824"/>
      <c r="D26" s="1825"/>
      <c r="E26" s="1826"/>
      <c r="F26" s="1826"/>
      <c r="G26" s="1826"/>
      <c r="H26" s="1826"/>
      <c r="I26" s="1826"/>
      <c r="J26" s="1826"/>
      <c r="K26" s="1826"/>
      <c r="L26" s="1823"/>
      <c r="M26" s="1826"/>
    </row>
    <row r="27" spans="2:14" ht="19.5" customHeight="1" x14ac:dyDescent="0.2">
      <c r="B27" s="1113"/>
      <c r="C27" s="1824"/>
      <c r="D27" s="1825"/>
      <c r="E27" s="1826"/>
      <c r="F27" s="1826"/>
      <c r="G27" s="1826"/>
      <c r="H27" s="1826"/>
      <c r="I27" s="1826"/>
      <c r="J27" s="1826"/>
      <c r="K27" s="1826"/>
      <c r="L27" s="1823"/>
      <c r="M27" s="1826"/>
    </row>
    <row r="28" spans="2:14" ht="19.5" customHeight="1" x14ac:dyDescent="0.2">
      <c r="B28" s="1113"/>
      <c r="C28" s="1824"/>
      <c r="D28" s="1825"/>
      <c r="E28" s="1826"/>
      <c r="F28" s="1826"/>
      <c r="G28" s="1826"/>
      <c r="H28" s="1826"/>
      <c r="I28" s="1826"/>
      <c r="J28" s="1826"/>
      <c r="K28" s="1826"/>
      <c r="L28" s="1823"/>
      <c r="M28" s="1826"/>
    </row>
    <row r="29" spans="2:14" ht="12.75" customHeight="1" x14ac:dyDescent="0.2">
      <c r="B29" s="1115"/>
      <c r="C29" s="1116"/>
      <c r="D29" s="1117"/>
      <c r="E29" s="1118"/>
      <c r="F29" s="1118"/>
      <c r="G29" s="1118"/>
      <c r="H29" s="1118"/>
      <c r="I29" s="1118"/>
      <c r="J29" s="1118"/>
      <c r="K29" s="1118"/>
      <c r="L29" s="1118"/>
      <c r="M29" s="1118"/>
      <c r="N29" s="1114"/>
    </row>
    <row r="30" spans="2:14" x14ac:dyDescent="0.2">
      <c r="B30" s="1033"/>
      <c r="C30" s="1119"/>
      <c r="D30" s="1120"/>
      <c r="E30" s="1033"/>
      <c r="F30" s="1033"/>
      <c r="G30" s="1026"/>
      <c r="H30" s="1026"/>
      <c r="I30" s="1026"/>
      <c r="J30" s="1026"/>
      <c r="K30" s="1026"/>
      <c r="L30" s="1026"/>
      <c r="M30" s="1033"/>
      <c r="N30" s="1114"/>
    </row>
    <row r="31" spans="2:14" ht="13.5" customHeight="1" x14ac:dyDescent="0.2">
      <c r="B31" s="1058" t="s">
        <v>1715</v>
      </c>
      <c r="C31" s="1119"/>
      <c r="D31" s="1120"/>
      <c r="E31" s="1033"/>
      <c r="F31" s="1033"/>
      <c r="G31" s="1026"/>
      <c r="H31" s="1026"/>
      <c r="I31" s="1026"/>
      <c r="J31" s="1026"/>
      <c r="K31" s="1026"/>
      <c r="L31" s="1026"/>
      <c r="M31" s="1033"/>
      <c r="N31" s="1114"/>
    </row>
    <row r="32" spans="2:14" ht="8.25" customHeight="1" x14ac:dyDescent="0.2">
      <c r="B32" s="1058"/>
      <c r="C32" s="1119"/>
      <c r="D32" s="1120"/>
      <c r="E32" s="1033"/>
      <c r="F32" s="1033"/>
      <c r="G32" s="1026"/>
      <c r="H32" s="1026"/>
      <c r="I32" s="1026"/>
      <c r="J32" s="1026"/>
      <c r="K32" s="1026"/>
      <c r="L32" s="1026"/>
      <c r="M32" s="1033"/>
      <c r="N32" s="1114"/>
    </row>
    <row r="33" spans="2:13" x14ac:dyDescent="0.2">
      <c r="B33" s="1121" t="s">
        <v>1813</v>
      </c>
      <c r="C33" s="1122"/>
      <c r="D33" s="1123"/>
      <c r="E33" s="1124"/>
      <c r="F33" s="1124"/>
      <c r="G33" s="1124"/>
      <c r="H33" s="1124"/>
      <c r="I33" s="295"/>
      <c r="J33" s="295"/>
    </row>
    <row r="34" spans="2:13" x14ac:dyDescent="0.2">
      <c r="B34" s="1053"/>
      <c r="C34" s="1125"/>
      <c r="D34" s="1126"/>
      <c r="E34" s="1054"/>
      <c r="F34" s="1054"/>
      <c r="G34" s="295"/>
      <c r="H34" s="295"/>
      <c r="I34" s="295"/>
      <c r="J34" s="295"/>
    </row>
    <row r="35" spans="2:13" ht="13.5" customHeight="1" x14ac:dyDescent="0.2">
      <c r="B35" s="1052" t="s">
        <v>1237</v>
      </c>
      <c r="G35" s="295"/>
      <c r="H35" s="295"/>
      <c r="I35" s="295"/>
      <c r="J35" s="295"/>
    </row>
    <row r="36" spans="2:13" ht="13.5" customHeight="1" x14ac:dyDescent="0.2">
      <c r="B36" s="1129"/>
      <c r="C36" s="1130"/>
      <c r="D36" s="1131"/>
      <c r="E36" s="1073"/>
      <c r="F36" s="1073"/>
      <c r="G36" s="1073"/>
      <c r="H36" s="1073"/>
      <c r="I36" s="1073"/>
      <c r="J36" s="1073"/>
      <c r="K36" s="1132"/>
      <c r="L36" s="1132"/>
      <c r="M36" s="1073"/>
    </row>
    <row r="37" spans="2:13" ht="9.6" customHeight="1" x14ac:dyDescent="0.2">
      <c r="B37" s="1133"/>
      <c r="G37" s="295"/>
      <c r="H37" s="295"/>
      <c r="I37" s="295"/>
      <c r="J37" s="295"/>
    </row>
    <row r="38" spans="2:13" ht="11.25" customHeight="1" x14ac:dyDescent="0.2">
      <c r="B38" s="1134" t="s">
        <v>1716</v>
      </c>
      <c r="C38" s="1135"/>
      <c r="D38" s="1135"/>
      <c r="E38" s="1135"/>
      <c r="F38" s="1135"/>
      <c r="G38" s="1135"/>
      <c r="H38" s="1135"/>
      <c r="I38" s="1136"/>
      <c r="J38" s="1136"/>
      <c r="K38" s="1136"/>
      <c r="L38" s="1136"/>
      <c r="M38" s="1136"/>
    </row>
    <row r="39" spans="2:13" ht="11.25" customHeight="1" x14ac:dyDescent="0.2">
      <c r="B39" s="1137" t="s">
        <v>1570</v>
      </c>
      <c r="C39" s="1136"/>
      <c r="D39" s="1136"/>
      <c r="E39" s="1136"/>
      <c r="F39" s="1136"/>
      <c r="G39" s="1136"/>
      <c r="H39" s="1136"/>
      <c r="I39" s="1136"/>
      <c r="J39" s="1136"/>
      <c r="K39" s="1136"/>
      <c r="L39" s="1136"/>
      <c r="M39" s="1136"/>
    </row>
    <row r="40" spans="2:13" ht="3.95" customHeight="1" x14ac:dyDescent="0.2">
      <c r="B40" s="1137"/>
      <c r="C40" s="1136"/>
      <c r="D40" s="1136"/>
      <c r="E40" s="1136"/>
      <c r="F40" s="1136"/>
      <c r="G40" s="1136"/>
      <c r="H40" s="1136"/>
      <c r="I40" s="1136"/>
      <c r="J40" s="1136"/>
      <c r="K40" s="1136"/>
      <c r="L40" s="1136"/>
      <c r="M40" s="1136"/>
    </row>
    <row r="41" spans="2:13" ht="11.25" customHeight="1" x14ac:dyDescent="0.2">
      <c r="B41" s="1134" t="s">
        <v>1717</v>
      </c>
      <c r="C41" s="1136"/>
      <c r="D41" s="1136"/>
      <c r="E41" s="1136"/>
      <c r="F41" s="1136"/>
      <c r="G41" s="1136"/>
      <c r="H41" s="1136"/>
      <c r="I41" s="1136"/>
      <c r="J41" s="1136"/>
      <c r="K41" s="1136"/>
      <c r="L41" s="1136"/>
      <c r="M41" s="1136"/>
    </row>
    <row r="42" spans="2:13" ht="11.25" customHeight="1" x14ac:dyDescent="0.2">
      <c r="B42" s="1076" t="s">
        <v>1571</v>
      </c>
      <c r="C42" s="1138"/>
      <c r="D42" s="1139"/>
      <c r="E42" s="1076"/>
      <c r="F42" s="1076"/>
      <c r="G42" s="1076"/>
      <c r="H42" s="1076"/>
      <c r="I42" s="1076"/>
      <c r="J42" s="1076"/>
      <c r="K42" s="1140"/>
      <c r="L42" s="1140"/>
      <c r="M42" s="1076"/>
    </row>
    <row r="43" spans="2:13" ht="3.95" customHeight="1" x14ac:dyDescent="0.2">
      <c r="B43" s="1076"/>
      <c r="C43" s="1138"/>
      <c r="D43" s="1139"/>
      <c r="E43" s="1076"/>
      <c r="F43" s="1076"/>
      <c r="G43" s="1076"/>
      <c r="H43" s="1076"/>
      <c r="I43" s="1076"/>
      <c r="J43" s="1076"/>
      <c r="K43" s="1140"/>
      <c r="L43" s="1140"/>
      <c r="M43" s="1076"/>
    </row>
    <row r="44" spans="2:13" ht="11.25" customHeight="1" x14ac:dyDescent="0.2">
      <c r="B44" s="1141" t="s">
        <v>1718</v>
      </c>
      <c r="C44" s="1138"/>
      <c r="D44" s="1139"/>
      <c r="E44" s="1076"/>
      <c r="F44" s="1076"/>
      <c r="G44" s="1076"/>
      <c r="H44" s="1076"/>
      <c r="I44" s="1076"/>
      <c r="J44" s="1076"/>
      <c r="K44" s="1140"/>
      <c r="L44" s="1140"/>
      <c r="M44" s="1076"/>
    </row>
    <row r="45" spans="2:13" ht="3.95" customHeight="1" x14ac:dyDescent="0.2">
      <c r="B45" s="1141"/>
      <c r="C45" s="1138"/>
      <c r="D45" s="1139"/>
      <c r="E45" s="1076"/>
      <c r="F45" s="1076"/>
      <c r="G45" s="1076"/>
      <c r="H45" s="1076"/>
      <c r="I45" s="1076"/>
      <c r="J45" s="1076"/>
      <c r="K45" s="1140"/>
      <c r="L45" s="1140"/>
      <c r="M45" s="1076"/>
    </row>
    <row r="46" spans="2:13" ht="11.25" customHeight="1" x14ac:dyDescent="0.2">
      <c r="B46" s="1142" t="s">
        <v>1719</v>
      </c>
      <c r="C46" s="1138"/>
      <c r="D46" s="1139"/>
      <c r="E46" s="1076"/>
      <c r="F46" s="1076"/>
      <c r="G46" s="1076"/>
      <c r="H46" s="1076"/>
      <c r="I46" s="1076"/>
      <c r="J46" s="1076"/>
      <c r="K46" s="1140"/>
      <c r="L46" s="1140"/>
      <c r="M46" s="1076"/>
    </row>
    <row r="47" spans="2:13" ht="11.25" customHeight="1" x14ac:dyDescent="0.2">
      <c r="B47" s="1076" t="s">
        <v>1572</v>
      </c>
      <c r="G47" s="295"/>
      <c r="H47" s="295"/>
      <c r="I47" s="295"/>
      <c r="J47" s="295"/>
    </row>
    <row r="48" spans="2:13" ht="11.1" customHeight="1" x14ac:dyDescent="0.2">
      <c r="B48" s="1076"/>
      <c r="G48" s="295"/>
      <c r="H48" s="295"/>
      <c r="I48" s="295"/>
      <c r="J48" s="295"/>
    </row>
    <row r="49" spans="2:13" ht="11.1" customHeight="1" x14ac:dyDescent="0.2">
      <c r="B49" s="1076"/>
      <c r="G49" s="295"/>
      <c r="H49" s="295"/>
      <c r="I49" s="295"/>
      <c r="J49" s="295"/>
    </row>
    <row r="50" spans="2:13" ht="13.5" customHeight="1" x14ac:dyDescent="0.2">
      <c r="M50" s="1143"/>
    </row>
    <row r="51" spans="2:13" ht="13.5" customHeight="1" x14ac:dyDescent="0.2">
      <c r="M51" s="1143"/>
    </row>
    <row r="52" spans="2:13" ht="13.5" customHeight="1" x14ac:dyDescent="0.2">
      <c r="M52" s="1143"/>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3" t="str">
        <f>'Single Audit Cover'!A7</f>
        <v xml:space="preserve">   TRICO CUSD 176</v>
      </c>
      <c r="B1" s="2583"/>
      <c r="C1" s="2583"/>
      <c r="D1" s="2583"/>
      <c r="E1" s="2583"/>
      <c r="F1" s="2583"/>
    </row>
    <row r="2" spans="1:7" ht="13.5" customHeight="1" x14ac:dyDescent="0.2">
      <c r="A2" s="2578">
        <f>'Single Audit Cover'!E7</f>
        <v>30039176026</v>
      </c>
      <c r="B2" s="2578"/>
      <c r="C2" s="2578"/>
      <c r="D2" s="2578"/>
      <c r="E2" s="2578"/>
      <c r="F2" s="2578"/>
      <c r="G2" s="1051"/>
    </row>
    <row r="3" spans="1:7" ht="15.75" customHeight="1" x14ac:dyDescent="0.2">
      <c r="A3" s="2584" t="s">
        <v>1262</v>
      </c>
      <c r="B3" s="2584"/>
      <c r="C3" s="2584"/>
      <c r="D3" s="2584"/>
      <c r="E3" s="2584"/>
      <c r="F3" s="2584"/>
    </row>
    <row r="4" spans="1:7" ht="13.5" customHeight="1" x14ac:dyDescent="0.2">
      <c r="A4" s="2585" t="str">
        <f>'Single Audit Cover'!A4</f>
        <v>Year Ending June 30, 2020</v>
      </c>
      <c r="B4" s="2585"/>
      <c r="C4" s="2585"/>
      <c r="D4" s="2585"/>
      <c r="E4" s="2585"/>
      <c r="F4" s="2585"/>
    </row>
    <row r="5" spans="1:7" ht="8.25" customHeight="1" x14ac:dyDescent="0.2">
      <c r="C5" s="295"/>
      <c r="D5" s="295"/>
    </row>
    <row r="6" spans="1:7" ht="13.5" customHeight="1" x14ac:dyDescent="0.2">
      <c r="A6" s="1052" t="s">
        <v>1708</v>
      </c>
      <c r="C6" s="295"/>
      <c r="D6" s="295"/>
    </row>
    <row r="7" spans="1:7" ht="78" customHeight="1" x14ac:dyDescent="0.2">
      <c r="A7" s="2582" t="s">
        <v>2203</v>
      </c>
      <c r="B7" s="2582"/>
      <c r="C7" s="2582"/>
      <c r="D7" s="2582"/>
      <c r="E7" s="2582"/>
      <c r="F7" s="2582"/>
    </row>
    <row r="8" spans="1:7" ht="12" customHeight="1" x14ac:dyDescent="0.2">
      <c r="A8" s="1052"/>
      <c r="B8" s="1058"/>
      <c r="C8" s="1058"/>
      <c r="D8" s="1058"/>
    </row>
    <row r="9" spans="1:7" ht="15" customHeight="1" x14ac:dyDescent="0.2">
      <c r="A9" s="1053" t="s">
        <v>1709</v>
      </c>
      <c r="B9" s="1056"/>
      <c r="C9" s="1056"/>
      <c r="D9" s="1056"/>
      <c r="E9" s="1054"/>
      <c r="F9" s="1054"/>
      <c r="G9" s="1054"/>
    </row>
    <row r="10" spans="1:7" ht="15" customHeight="1" x14ac:dyDescent="0.2">
      <c r="A10" s="1055" t="s">
        <v>1533</v>
      </c>
      <c r="B10" s="1056"/>
      <c r="C10" s="1057"/>
      <c r="D10" s="1056" t="s">
        <v>1534</v>
      </c>
      <c r="E10" s="1057" t="s">
        <v>2023</v>
      </c>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23.25" customHeight="1" x14ac:dyDescent="0.2">
      <c r="A13" s="2581" t="s">
        <v>2202</v>
      </c>
      <c r="B13" s="2581"/>
      <c r="C13" s="2581"/>
      <c r="D13" s="2581"/>
      <c r="E13" s="2581"/>
      <c r="F13" s="2581"/>
    </row>
    <row r="14" spans="1:7" ht="9.75" customHeight="1" x14ac:dyDescent="0.2">
      <c r="C14" s="1036"/>
      <c r="D14" s="1036"/>
    </row>
    <row r="15" spans="1:7" ht="13.5" customHeight="1" x14ac:dyDescent="0.2">
      <c r="C15" s="1476" t="s">
        <v>1261</v>
      </c>
      <c r="D15" s="2587" t="s">
        <v>1260</v>
      </c>
      <c r="E15" s="2587"/>
      <c r="F15" s="2587"/>
    </row>
    <row r="16" spans="1:7" ht="13.5" customHeight="1" x14ac:dyDescent="0.2">
      <c r="A16" s="1058"/>
      <c r="B16" s="1052" t="s">
        <v>1259</v>
      </c>
      <c r="C16" s="1476" t="s">
        <v>1258</v>
      </c>
      <c r="D16" s="2588" t="s">
        <v>1574</v>
      </c>
      <c r="E16" s="2588"/>
      <c r="F16" s="2588"/>
    </row>
    <row r="17" spans="1:6" ht="20.45" customHeight="1" x14ac:dyDescent="0.2">
      <c r="A17" s="1059"/>
      <c r="B17" s="1060" t="s">
        <v>2040</v>
      </c>
      <c r="C17" s="1061"/>
      <c r="D17" s="2586"/>
      <c r="E17" s="2586"/>
      <c r="F17" s="2586"/>
    </row>
    <row r="18" spans="1:6" ht="20.65" customHeight="1" x14ac:dyDescent="0.2">
      <c r="A18" s="1059"/>
      <c r="B18" s="1060"/>
      <c r="C18" s="1061"/>
      <c r="D18" s="2586"/>
      <c r="E18" s="2586"/>
      <c r="F18" s="2586"/>
    </row>
    <row r="19" spans="1:6" ht="20.65" customHeight="1" x14ac:dyDescent="0.2">
      <c r="A19" s="1059"/>
      <c r="B19" s="1060"/>
      <c r="C19" s="1061"/>
      <c r="D19" s="2586"/>
      <c r="E19" s="2586"/>
      <c r="F19" s="2586"/>
    </row>
    <row r="20" spans="1:6" ht="20.65" customHeight="1" x14ac:dyDescent="0.2">
      <c r="A20" s="1059"/>
      <c r="B20" s="1060"/>
      <c r="C20" s="1061"/>
      <c r="D20" s="2586"/>
      <c r="E20" s="2586"/>
      <c r="F20" s="2586"/>
    </row>
    <row r="21" spans="1:6" ht="20.65" customHeight="1" x14ac:dyDescent="0.2">
      <c r="A21" s="1059"/>
      <c r="B21" s="1060"/>
      <c r="C21" s="1061"/>
      <c r="D21" s="2586"/>
      <c r="E21" s="2586"/>
      <c r="F21" s="2586"/>
    </row>
    <row r="22" spans="1:6" ht="20.65" customHeight="1" x14ac:dyDescent="0.2">
      <c r="A22" s="1059"/>
      <c r="B22" s="1060"/>
      <c r="C22" s="1061"/>
      <c r="D22" s="2586"/>
      <c r="E22" s="2586"/>
      <c r="F22" s="2586"/>
    </row>
    <row r="23" spans="1:6" ht="20.65" customHeight="1" x14ac:dyDescent="0.2">
      <c r="A23" s="1059"/>
      <c r="B23" s="1060"/>
      <c r="C23" s="1061"/>
      <c r="D23" s="2586"/>
      <c r="E23" s="2586"/>
      <c r="F23" s="2586"/>
    </row>
    <row r="24" spans="1:6" ht="20.65" customHeight="1" x14ac:dyDescent="0.2">
      <c r="A24" s="1059"/>
      <c r="B24" s="1060"/>
      <c r="C24" s="1061"/>
      <c r="D24" s="2586"/>
      <c r="E24" s="2586"/>
      <c r="F24" s="2586"/>
    </row>
    <row r="25" spans="1:6" ht="20.65" customHeight="1" x14ac:dyDescent="0.2">
      <c r="A25" s="1059"/>
      <c r="B25" s="1060"/>
      <c r="C25" s="1061"/>
      <c r="D25" s="2586"/>
      <c r="E25" s="2586"/>
      <c r="F25" s="2586"/>
    </row>
    <row r="26" spans="1:6" ht="20.65" customHeight="1" x14ac:dyDescent="0.2">
      <c r="A26" s="1059"/>
      <c r="B26" s="1060"/>
      <c r="C26" s="1061"/>
      <c r="D26" s="2586"/>
      <c r="E26" s="2586"/>
      <c r="F26" s="2586"/>
    </row>
    <row r="27" spans="1:6" ht="20.65" customHeight="1" x14ac:dyDescent="0.2">
      <c r="A27" s="1059"/>
      <c r="B27" s="1060"/>
      <c r="C27" s="1061"/>
      <c r="D27" s="2586"/>
      <c r="E27" s="2586"/>
      <c r="F27" s="2586"/>
    </row>
    <row r="28" spans="1:6" ht="20.65" customHeight="1" x14ac:dyDescent="0.2">
      <c r="A28" s="1059"/>
      <c r="B28" s="1060"/>
      <c r="C28" s="1061"/>
      <c r="D28" s="2586"/>
      <c r="E28" s="2586"/>
      <c r="F28" s="2586"/>
    </row>
    <row r="29" spans="1:6" ht="20.65" customHeight="1" x14ac:dyDescent="0.2">
      <c r="A29" s="1059"/>
      <c r="B29" s="1060"/>
      <c r="C29" s="1061"/>
      <c r="D29" s="2586"/>
      <c r="E29" s="2586"/>
      <c r="F29" s="2586"/>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90" t="s">
        <v>1710</v>
      </c>
      <c r="B32" s="2590"/>
      <c r="C32" s="2590"/>
      <c r="D32" s="2590"/>
      <c r="E32" s="2590"/>
      <c r="F32" s="2590"/>
    </row>
    <row r="33" spans="1:6" ht="13.5" customHeight="1" x14ac:dyDescent="0.2">
      <c r="A33" s="306" t="s">
        <v>1420</v>
      </c>
      <c r="B33" s="306"/>
      <c r="C33" s="1064">
        <v>19579</v>
      </c>
      <c r="D33" s="1526"/>
      <c r="E33" s="1062"/>
    </row>
    <row r="34" spans="1:6" ht="13.5" customHeight="1" x14ac:dyDescent="0.2">
      <c r="A34" s="306" t="s">
        <v>1812</v>
      </c>
      <c r="B34" s="306"/>
      <c r="C34" s="1065">
        <v>4808</v>
      </c>
      <c r="D34" s="1526" t="s">
        <v>1575</v>
      </c>
      <c r="E34" s="2591">
        <f>+C33+C34</f>
        <v>24387</v>
      </c>
      <c r="F34" s="2592"/>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v>0</v>
      </c>
      <c r="D38" s="1526"/>
      <c r="E38" s="1062"/>
    </row>
    <row r="39" spans="1:6" ht="14.25" customHeight="1" x14ac:dyDescent="0.2">
      <c r="A39" s="306"/>
      <c r="B39" s="306" t="s">
        <v>1422</v>
      </c>
      <c r="C39" s="1068">
        <v>0</v>
      </c>
      <c r="D39" s="1526"/>
      <c r="E39" s="1062"/>
    </row>
    <row r="40" spans="1:6" ht="14.25" customHeight="1" x14ac:dyDescent="0.2">
      <c r="A40" s="306"/>
      <c r="B40" s="306" t="s">
        <v>1423</v>
      </c>
      <c r="C40" s="1068">
        <v>0</v>
      </c>
      <c r="D40" s="1526"/>
      <c r="E40" s="1062"/>
    </row>
    <row r="41" spans="1:6" ht="14.25" customHeight="1" x14ac:dyDescent="0.2">
      <c r="A41" s="306"/>
      <c r="B41" s="306" t="s">
        <v>1424</v>
      </c>
      <c r="C41" s="1068">
        <v>0</v>
      </c>
      <c r="D41" s="1526"/>
      <c r="E41" s="1062"/>
    </row>
    <row r="42" spans="1:6" ht="14.25" customHeight="1" x14ac:dyDescent="0.2">
      <c r="A42" s="306" t="s">
        <v>1425</v>
      </c>
      <c r="B42" s="306"/>
      <c r="C42" s="1524">
        <v>0</v>
      </c>
      <c r="D42" s="1526"/>
      <c r="E42" s="1062"/>
    </row>
    <row r="43" spans="1:6" ht="14.25" customHeight="1" x14ac:dyDescent="0.2">
      <c r="A43" s="306" t="s">
        <v>1426</v>
      </c>
      <c r="B43" s="306"/>
      <c r="C43" s="1069" t="s">
        <v>380</v>
      </c>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1711</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3" t="s">
        <v>1576</v>
      </c>
      <c r="C49" s="2593"/>
      <c r="D49" s="2593"/>
      <c r="E49" s="1168"/>
    </row>
    <row r="50" spans="1:5" s="1076" customFormat="1" ht="3.75" customHeight="1" x14ac:dyDescent="0.2">
      <c r="A50" s="1075"/>
      <c r="B50" s="1475"/>
      <c r="C50" s="1475"/>
      <c r="D50" s="1475"/>
      <c r="E50" s="1168"/>
    </row>
    <row r="51" spans="1:5" s="1076" customFormat="1" ht="20.25" customHeight="1" x14ac:dyDescent="0.2">
      <c r="A51" s="1077">
        <v>6</v>
      </c>
      <c r="B51" s="2589" t="s">
        <v>1537</v>
      </c>
      <c r="C51" s="2589"/>
      <c r="D51" s="2589"/>
    </row>
    <row r="52" spans="1:5" ht="14.25" customHeight="1" x14ac:dyDescent="0.2">
      <c r="A52" s="1077"/>
      <c r="B52" s="2589"/>
      <c r="C52" s="2589"/>
      <c r="D52" s="258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G52" sqref="G5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8" t="str">
        <f>'Single Audit Cover'!A7</f>
        <v xml:space="preserve">   TRICO CUSD 176</v>
      </c>
      <c r="C1" s="2599"/>
      <c r="D1" s="2599"/>
      <c r="E1" s="2599"/>
      <c r="F1" s="2599"/>
      <c r="G1" s="2599"/>
      <c r="H1" s="2599"/>
      <c r="I1" s="2599"/>
      <c r="J1" s="1178"/>
    </row>
    <row r="2" spans="2:10" s="295" customFormat="1" ht="12.75" customHeight="1" x14ac:dyDescent="0.2">
      <c r="B2" s="2600">
        <f>'Single Audit Cover'!E7</f>
        <v>30039176026</v>
      </c>
      <c r="C2" s="2601"/>
      <c r="D2" s="2601"/>
      <c r="E2" s="2601"/>
      <c r="F2" s="2601"/>
      <c r="G2" s="2601"/>
      <c r="H2" s="2601"/>
      <c r="I2" s="2601"/>
      <c r="J2" s="1178"/>
    </row>
    <row r="3" spans="2:10" s="295" customFormat="1" ht="12.75" customHeight="1" x14ac:dyDescent="0.2">
      <c r="B3" s="2602" t="s">
        <v>1276</v>
      </c>
      <c r="C3" s="2603"/>
      <c r="D3" s="2603"/>
      <c r="E3" s="2603"/>
      <c r="F3" s="2603"/>
      <c r="G3" s="2603"/>
      <c r="H3" s="2603"/>
      <c r="I3" s="2603"/>
      <c r="J3" s="1179"/>
    </row>
    <row r="4" spans="2:10" s="295" customFormat="1" ht="12.75" customHeight="1" x14ac:dyDescent="0.2">
      <c r="B4" s="2602" t="str">
        <f>'Single Audit Cover'!A4</f>
        <v>Year Ending June 30, 2020</v>
      </c>
      <c r="C4" s="2603"/>
      <c r="D4" s="2603"/>
      <c r="E4" s="2603"/>
      <c r="F4" s="2603"/>
      <c r="G4" s="2603"/>
      <c r="H4" s="2603"/>
      <c r="I4" s="2603"/>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2" t="s">
        <v>1275</v>
      </c>
      <c r="C7" s="2603"/>
      <c r="D7" s="2603"/>
      <c r="E7" s="2603"/>
      <c r="F7" s="2603"/>
      <c r="G7" s="2603"/>
      <c r="H7" s="2603"/>
      <c r="I7" s="2603"/>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4" t="s">
        <v>1156</v>
      </c>
      <c r="D11" s="2604"/>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2023</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t="s">
        <v>2023</v>
      </c>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2023</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t="s">
        <v>2023</v>
      </c>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t="s">
        <v>2023</v>
      </c>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5" t="s">
        <v>2204</v>
      </c>
      <c r="E29" s="2605"/>
      <c r="F29" s="2605"/>
      <c r="G29" s="2605"/>
      <c r="H29" s="2605"/>
      <c r="I29" s="2605"/>
    </row>
    <row r="30" spans="2:9" s="295" customFormat="1" x14ac:dyDescent="0.2">
      <c r="B30" s="1138"/>
      <c r="C30" s="300"/>
      <c r="D30" s="1189" t="s">
        <v>1726</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t="s">
        <v>2023</v>
      </c>
      <c r="H33" s="1076" t="s">
        <v>99</v>
      </c>
    </row>
    <row r="35" spans="2:9" x14ac:dyDescent="0.2">
      <c r="B35" s="1197" t="s">
        <v>1727</v>
      </c>
      <c r="C35" s="1198"/>
      <c r="D35" s="1043"/>
    </row>
    <row r="36" spans="2:9" ht="6" customHeight="1" x14ac:dyDescent="0.2">
      <c r="B36" s="1197"/>
      <c r="C36" s="1198"/>
      <c r="D36" s="1043"/>
    </row>
    <row r="37" spans="2:9" ht="17.25" customHeight="1" x14ac:dyDescent="0.2">
      <c r="B37" s="1199" t="s">
        <v>1728</v>
      </c>
      <c r="C37" s="2606" t="s">
        <v>1729</v>
      </c>
      <c r="D37" s="2607"/>
      <c r="E37" s="2607"/>
      <c r="F37" s="2608"/>
      <c r="G37" s="2606" t="s">
        <v>1578</v>
      </c>
      <c r="H37" s="2607"/>
      <c r="I37" s="2608"/>
    </row>
    <row r="38" spans="2:9" ht="16.5" customHeight="1" x14ac:dyDescent="0.2">
      <c r="B38" s="1200" t="s">
        <v>2169</v>
      </c>
      <c r="C38" s="2594" t="s">
        <v>2205</v>
      </c>
      <c r="D38" s="2595"/>
      <c r="E38" s="2595"/>
      <c r="F38" s="2596"/>
      <c r="G38" s="2609">
        <v>371378</v>
      </c>
      <c r="H38" s="2610"/>
      <c r="I38" s="2611"/>
    </row>
    <row r="39" spans="2:9" ht="16.5" customHeight="1" x14ac:dyDescent="0.2">
      <c r="B39" s="1200"/>
      <c r="C39" s="2594"/>
      <c r="D39" s="2595"/>
      <c r="E39" s="2595"/>
      <c r="F39" s="2596"/>
      <c r="G39" s="2597"/>
      <c r="H39" s="2597"/>
      <c r="I39" s="2597"/>
    </row>
    <row r="40" spans="2:9" ht="16.5" customHeight="1" x14ac:dyDescent="0.2">
      <c r="B40" s="1200"/>
      <c r="C40" s="2594"/>
      <c r="D40" s="2595"/>
      <c r="E40" s="2595"/>
      <c r="F40" s="2596"/>
      <c r="G40" s="2597"/>
      <c r="H40" s="2597"/>
      <c r="I40" s="2597"/>
    </row>
    <row r="41" spans="2:9" ht="16.5" customHeight="1" x14ac:dyDescent="0.2">
      <c r="B41" s="1200"/>
      <c r="C41" s="2594"/>
      <c r="D41" s="2595"/>
      <c r="E41" s="2595"/>
      <c r="F41" s="2596"/>
      <c r="G41" s="2597"/>
      <c r="H41" s="2597"/>
      <c r="I41" s="2597"/>
    </row>
    <row r="42" spans="2:9" ht="16.5" customHeight="1" x14ac:dyDescent="0.2">
      <c r="B42" s="1200"/>
      <c r="C42" s="2594"/>
      <c r="D42" s="2595"/>
      <c r="E42" s="2595"/>
      <c r="F42" s="2596"/>
      <c r="G42" s="2597"/>
      <c r="H42" s="2597"/>
      <c r="I42" s="2597"/>
    </row>
    <row r="43" spans="2:9" ht="16.5" customHeight="1" x14ac:dyDescent="0.2">
      <c r="B43" s="1200"/>
      <c r="C43" s="2612" t="s">
        <v>1579</v>
      </c>
      <c r="D43" s="2613"/>
      <c r="E43" s="2613"/>
      <c r="F43" s="2614"/>
      <c r="G43" s="2615">
        <f>SUM(G38:I42)</f>
        <v>371378</v>
      </c>
      <c r="H43" s="2615"/>
      <c r="I43" s="2615"/>
    </row>
    <row r="44" spans="2:9" ht="12.75" customHeight="1" x14ac:dyDescent="0.2"/>
    <row r="45" spans="2:9" ht="12.75" customHeight="1" x14ac:dyDescent="0.2">
      <c r="B45" s="1916" t="str">
        <f>"Total Federal Expenditures for 7/1/"&amp;MID('AFR20'!E2,3,2)-1&amp;"-6/30/"&amp;MID('AFR20'!E2,3,2)</f>
        <v>Total Federal Expenditures for 7/1/19-6/30/20</v>
      </c>
      <c r="C45" s="1917"/>
      <c r="D45" s="2616">
        <v>886897</v>
      </c>
      <c r="E45" s="2617"/>
    </row>
    <row r="46" spans="2:9" ht="5.25" customHeight="1" x14ac:dyDescent="0.2">
      <c r="B46" s="1201"/>
      <c r="D46" s="1202"/>
      <c r="E46" s="1203"/>
    </row>
    <row r="47" spans="2:9" ht="12.75" customHeight="1" x14ac:dyDescent="0.2">
      <c r="B47" s="1076" t="s">
        <v>1580</v>
      </c>
      <c r="C47" s="1076"/>
      <c r="D47" s="1204">
        <f>+G43/D45</f>
        <v>0.41873859083974801</v>
      </c>
      <c r="E47" s="1205"/>
      <c r="F47" s="1206"/>
      <c r="I47" s="1207"/>
    </row>
    <row r="48" spans="2:9" ht="9.9499999999999993" customHeight="1" x14ac:dyDescent="0.2"/>
    <row r="49" spans="1:9" x14ac:dyDescent="0.2">
      <c r="B49" s="1138" t="s">
        <v>1264</v>
      </c>
      <c r="C49" s="1058"/>
      <c r="D49" s="1058"/>
      <c r="E49" s="2618">
        <v>750000</v>
      </c>
      <c r="F49" s="2618"/>
      <c r="G49" s="2618"/>
      <c r="H49" s="300"/>
    </row>
    <row r="51" spans="1:9" ht="13.5" customHeight="1" x14ac:dyDescent="0.2">
      <c r="B51" s="1138" t="s">
        <v>1263</v>
      </c>
      <c r="C51" s="1058"/>
      <c r="E51" s="1194"/>
      <c r="F51" s="1076" t="s">
        <v>879</v>
      </c>
      <c r="G51" s="1194" t="s">
        <v>2023</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1730</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1731</v>
      </c>
      <c r="C58" s="1220"/>
      <c r="D58" s="1220"/>
    </row>
    <row r="59" spans="1:9" s="1217" customFormat="1" ht="3.95" customHeight="1" x14ac:dyDescent="0.2">
      <c r="A59" s="1214"/>
      <c r="B59" s="1219"/>
      <c r="C59" s="1220"/>
      <c r="D59" s="1220"/>
    </row>
    <row r="60" spans="1:9" s="1217" customFormat="1" ht="13.5" customHeight="1" x14ac:dyDescent="0.2">
      <c r="A60" s="1214"/>
      <c r="B60" s="1219" t="s">
        <v>1732</v>
      </c>
      <c r="C60" s="1220"/>
      <c r="D60" s="1220"/>
    </row>
    <row r="61" spans="1:9" s="1217" customFormat="1" ht="3.95" customHeight="1" x14ac:dyDescent="0.2">
      <c r="A61" s="1214"/>
      <c r="B61" s="1219"/>
      <c r="C61" s="1220"/>
      <c r="D61" s="1220"/>
    </row>
    <row r="62" spans="1:9" s="1217" customFormat="1" ht="12.75" customHeight="1" x14ac:dyDescent="0.2">
      <c r="A62" s="1214"/>
      <c r="B62" s="1219" t="s">
        <v>1733</v>
      </c>
      <c r="C62" s="1220"/>
      <c r="D62" s="1220"/>
    </row>
    <row r="63" spans="1:9" s="1217" customFormat="1" ht="13.5" customHeight="1" x14ac:dyDescent="0.2">
      <c r="A63" s="1214"/>
      <c r="B63" s="1218" t="s">
        <v>1583</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8" t="str">
        <f>'Single Audit Cover'!A7</f>
        <v xml:space="preserve">   TRICO CUSD 176</v>
      </c>
      <c r="C1" s="2598"/>
      <c r="D1" s="2598"/>
      <c r="E1" s="2598"/>
      <c r="F1" s="2598"/>
      <c r="G1" s="2598"/>
      <c r="H1" s="2598"/>
      <c r="I1" s="2598"/>
      <c r="J1" s="2598"/>
      <c r="K1" s="2598"/>
      <c r="L1" s="1144"/>
      <c r="M1" s="1144"/>
    </row>
    <row r="2" spans="1:13" ht="12" customHeight="1" x14ac:dyDescent="0.2">
      <c r="B2" s="2600">
        <f>'Single Audit Cover'!E7</f>
        <v>30039176026</v>
      </c>
      <c r="C2" s="2600"/>
      <c r="D2" s="2600"/>
      <c r="E2" s="2600"/>
      <c r="F2" s="2600"/>
      <c r="G2" s="2600"/>
      <c r="H2" s="2600"/>
      <c r="I2" s="2600"/>
      <c r="J2" s="2600"/>
      <c r="K2" s="2600"/>
      <c r="L2" s="1145"/>
      <c r="M2" s="1146"/>
    </row>
    <row r="3" spans="1:13" ht="10.35" customHeight="1" x14ac:dyDescent="0.2">
      <c r="B3" s="2621" t="s">
        <v>1276</v>
      </c>
      <c r="C3" s="2621"/>
      <c r="D3" s="2621"/>
      <c r="E3" s="2621"/>
      <c r="F3" s="2621"/>
      <c r="G3" s="2621"/>
      <c r="H3" s="2621"/>
      <c r="I3" s="2621"/>
      <c r="J3" s="2621"/>
      <c r="K3" s="2621"/>
      <c r="L3" s="1147"/>
      <c r="M3" s="1147"/>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2" t="s">
        <v>1287</v>
      </c>
      <c r="C7" s="2622"/>
      <c r="D7" s="2623"/>
      <c r="E7" s="2623"/>
      <c r="F7" s="2623"/>
      <c r="G7" s="2623"/>
      <c r="H7" s="2623"/>
      <c r="I7" s="2623"/>
      <c r="J7" s="2623"/>
      <c r="K7" s="262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1720</v>
      </c>
      <c r="C10" s="1918" t="str">
        <f>'AFR20'!$E$2&amp;"-"</f>
        <v>2020-</v>
      </c>
      <c r="D10" s="1155" t="s">
        <v>2115</v>
      </c>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20"/>
      <c r="C14" s="2620"/>
      <c r="D14" s="2620"/>
      <c r="E14" s="2620"/>
      <c r="F14" s="2620"/>
      <c r="G14" s="2620"/>
      <c r="H14" s="2620"/>
      <c r="I14" s="2620"/>
      <c r="J14" s="2620"/>
      <c r="K14" s="262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20"/>
      <c r="C17" s="2620"/>
      <c r="D17" s="2620"/>
      <c r="E17" s="2620"/>
      <c r="F17" s="2620"/>
      <c r="G17" s="2620"/>
      <c r="H17" s="2620"/>
      <c r="I17" s="2620"/>
      <c r="J17" s="2620"/>
      <c r="K17" s="2620"/>
      <c r="L17" s="1151"/>
    </row>
    <row r="18" spans="2:12" ht="4.5" customHeight="1" x14ac:dyDescent="0.2">
      <c r="B18" s="1167"/>
      <c r="C18" s="1167"/>
      <c r="L18" s="1151"/>
    </row>
    <row r="19" spans="2:12" s="1058" customFormat="1" ht="13.5" customHeight="1" x14ac:dyDescent="0.2">
      <c r="B19" s="1162" t="s">
        <v>1721</v>
      </c>
      <c r="C19" s="1162"/>
      <c r="D19" s="1163"/>
      <c r="E19" s="1163"/>
      <c r="F19" s="1163"/>
      <c r="G19" s="1164"/>
      <c r="H19" s="1163"/>
      <c r="I19" s="1164"/>
      <c r="J19" s="1163"/>
      <c r="K19" s="1163"/>
      <c r="L19" s="1165"/>
    </row>
    <row r="20" spans="2:12" ht="45.75" customHeight="1" x14ac:dyDescent="0.2">
      <c r="B20" s="2624"/>
      <c r="C20" s="2624"/>
      <c r="D20" s="2620"/>
      <c r="E20" s="2620"/>
      <c r="F20" s="2620"/>
      <c r="G20" s="2620"/>
      <c r="H20" s="2620"/>
      <c r="I20" s="2620"/>
      <c r="J20" s="2620"/>
      <c r="K20" s="2620"/>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20"/>
      <c r="C23" s="2620"/>
      <c r="D23" s="2620"/>
      <c r="E23" s="2620"/>
      <c r="F23" s="2620"/>
      <c r="G23" s="2620"/>
      <c r="H23" s="2620"/>
      <c r="I23" s="2620"/>
      <c r="J23" s="2620"/>
      <c r="K23" s="2620"/>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20"/>
      <c r="C26" s="2620"/>
      <c r="D26" s="2620"/>
      <c r="E26" s="2620"/>
      <c r="F26" s="2620"/>
      <c r="G26" s="2620"/>
      <c r="H26" s="2620"/>
      <c r="I26" s="2620"/>
      <c r="J26" s="2620"/>
      <c r="K26" s="2620"/>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19"/>
      <c r="C29" s="2619"/>
      <c r="D29" s="2620"/>
      <c r="E29" s="2620"/>
      <c r="F29" s="2620"/>
      <c r="G29" s="2620"/>
      <c r="H29" s="2620"/>
      <c r="I29" s="2620"/>
      <c r="J29" s="2620"/>
      <c r="K29" s="262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1722</v>
      </c>
      <c r="C31" s="1172"/>
      <c r="D31" s="1148"/>
      <c r="E31" s="1149"/>
      <c r="F31" s="1149"/>
      <c r="G31" s="1150"/>
      <c r="H31" s="1149"/>
      <c r="I31" s="1150"/>
      <c r="J31" s="1149"/>
      <c r="K31" s="1149"/>
      <c r="L31" s="1151"/>
    </row>
    <row r="32" spans="2:12" s="300" customFormat="1" ht="44.25" customHeight="1" x14ac:dyDescent="0.2">
      <c r="B32" s="2619"/>
      <c r="C32" s="2619"/>
      <c r="D32" s="2620"/>
      <c r="E32" s="2620"/>
      <c r="F32" s="2620"/>
      <c r="G32" s="2620"/>
      <c r="H32" s="2620"/>
      <c r="I32" s="2620"/>
      <c r="J32" s="2620"/>
      <c r="K32" s="262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1723</v>
      </c>
      <c r="C35" s="1175"/>
      <c r="D35" s="300"/>
      <c r="E35" s="300"/>
      <c r="F35" s="300"/>
      <c r="L35" s="1151"/>
    </row>
    <row r="36" spans="1:13" ht="9.6" customHeight="1" x14ac:dyDescent="0.2">
      <c r="B36" s="1076" t="s">
        <v>1814</v>
      </c>
      <c r="C36" s="1076"/>
      <c r="L36" s="1151"/>
    </row>
    <row r="37" spans="1:13" ht="9.6" customHeight="1" x14ac:dyDescent="0.2">
      <c r="B37" s="1076" t="s">
        <v>1815</v>
      </c>
      <c r="C37" s="1076"/>
    </row>
    <row r="38" spans="1:13" ht="11.85" customHeight="1" x14ac:dyDescent="0.2">
      <c r="B38" s="1176" t="s">
        <v>1724</v>
      </c>
      <c r="C38" s="1176"/>
    </row>
    <row r="39" spans="1:13" ht="9.6" customHeight="1" x14ac:dyDescent="0.2">
      <c r="B39" s="1076" t="s">
        <v>1277</v>
      </c>
      <c r="C39" s="1076"/>
      <c r="M39" s="1177"/>
    </row>
    <row r="40" spans="1:13" ht="12.6" customHeight="1" x14ac:dyDescent="0.2">
      <c r="B40" s="1176" t="s">
        <v>1725</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5" t="str">
        <f>'Single Audit Cover'!A7</f>
        <v xml:space="preserve">   TRICO CUSD 176</v>
      </c>
      <c r="C1" s="2625"/>
      <c r="D1" s="2625"/>
      <c r="E1" s="2625"/>
      <c r="F1" s="2625"/>
      <c r="G1" s="2625"/>
      <c r="H1" s="2625"/>
      <c r="I1" s="2625"/>
      <c r="J1" s="2625"/>
      <c r="K1" s="2625"/>
      <c r="L1" s="1221"/>
    </row>
    <row r="2" spans="1:12" ht="12.75" customHeight="1" x14ac:dyDescent="0.2">
      <c r="B2" s="2626">
        <f>'Single Audit Cover'!E7</f>
        <v>30039176026</v>
      </c>
      <c r="C2" s="2626"/>
      <c r="D2" s="2626"/>
      <c r="E2" s="2626"/>
      <c r="F2" s="2626"/>
      <c r="G2" s="2626"/>
      <c r="H2" s="2626"/>
      <c r="I2" s="2626"/>
      <c r="J2" s="2626"/>
      <c r="K2" s="2626"/>
      <c r="L2" s="1222"/>
    </row>
    <row r="3" spans="1:12" ht="12.75" customHeight="1" x14ac:dyDescent="0.2">
      <c r="B3" s="2621" t="s">
        <v>1276</v>
      </c>
      <c r="C3" s="2621"/>
      <c r="D3" s="2621"/>
      <c r="E3" s="2621"/>
      <c r="F3" s="2621"/>
      <c r="G3" s="2621"/>
      <c r="H3" s="2621"/>
      <c r="I3" s="2621"/>
      <c r="J3" s="2621"/>
      <c r="K3" s="2621"/>
      <c r="L3" s="1147"/>
    </row>
    <row r="4" spans="1:12" ht="12.75" customHeight="1" x14ac:dyDescent="0.2">
      <c r="B4" s="2621" t="str">
        <f>'Single Audit Cover'!A4</f>
        <v>Year Ending June 30, 2020</v>
      </c>
      <c r="C4" s="2621"/>
      <c r="D4" s="2621"/>
      <c r="E4" s="2621"/>
      <c r="F4" s="2621"/>
      <c r="G4" s="2621"/>
      <c r="H4" s="2621"/>
      <c r="I4" s="2621"/>
      <c r="J4" s="2621"/>
      <c r="K4" s="2621"/>
      <c r="L4" s="1147"/>
    </row>
    <row r="5" spans="1:12" ht="5.25" customHeight="1" x14ac:dyDescent="0.2">
      <c r="B5" s="1036" t="s">
        <v>1161</v>
      </c>
      <c r="C5" s="1036"/>
      <c r="L5" s="300"/>
    </row>
    <row r="6" spans="1:12" ht="30.75" customHeight="1" x14ac:dyDescent="0.2">
      <c r="A6" s="300"/>
      <c r="B6" s="2627" t="s">
        <v>1299</v>
      </c>
      <c r="C6" s="2627"/>
      <c r="D6" s="2627"/>
      <c r="E6" s="2627"/>
      <c r="F6" s="2627"/>
      <c r="G6" s="2627"/>
      <c r="H6" s="2627"/>
      <c r="I6" s="2627"/>
      <c r="J6" s="2627"/>
      <c r="K6" s="2627"/>
      <c r="L6" s="300"/>
    </row>
    <row r="7" spans="1:12" ht="4.5" customHeight="1" x14ac:dyDescent="0.2">
      <c r="B7" s="1149"/>
      <c r="C7" s="1149"/>
      <c r="D7" s="1149"/>
      <c r="E7" s="1149"/>
      <c r="F7" s="1149"/>
      <c r="G7" s="1150"/>
      <c r="H7" s="1149"/>
      <c r="I7" s="1150"/>
      <c r="J7" s="1149"/>
      <c r="K7" s="1149"/>
      <c r="L7" s="300"/>
    </row>
    <row r="8" spans="1:12" ht="13.5" customHeight="1" x14ac:dyDescent="0.2">
      <c r="B8" s="1156" t="s">
        <v>1734</v>
      </c>
      <c r="C8" s="1918" t="str">
        <f>'AFR20'!$E$2&amp;"-"</f>
        <v>2020-</v>
      </c>
      <c r="D8" s="1223" t="s">
        <v>2115</v>
      </c>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5"/>
      <c r="G12" s="2605"/>
      <c r="H12" s="2605"/>
      <c r="I12" s="2605"/>
      <c r="J12" s="2605"/>
      <c r="K12" s="260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28"/>
      <c r="E14" s="2628"/>
      <c r="F14" s="2628"/>
      <c r="H14" s="1230" t="s">
        <v>1294</v>
      </c>
      <c r="I14" s="2629"/>
      <c r="J14" s="2629"/>
      <c r="K14" s="262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29"/>
      <c r="E16" s="2629"/>
      <c r="F16" s="2629"/>
      <c r="G16" s="2629"/>
      <c r="H16" s="2629"/>
      <c r="I16" s="2629"/>
      <c r="J16" s="2629"/>
      <c r="K16" s="2629"/>
      <c r="L16" s="300"/>
    </row>
    <row r="17" spans="2:12" ht="13.5" customHeight="1" x14ac:dyDescent="0.2">
      <c r="B17" s="1156" t="s">
        <v>1292</v>
      </c>
      <c r="C17" s="1156"/>
      <c r="D17" s="2630"/>
      <c r="E17" s="2630"/>
      <c r="F17" s="2630"/>
      <c r="G17" s="2630"/>
      <c r="H17" s="2630"/>
      <c r="I17" s="2630"/>
      <c r="J17" s="2630"/>
      <c r="K17" s="263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20"/>
      <c r="C20" s="2620"/>
      <c r="D20" s="2620"/>
      <c r="E20" s="2620"/>
      <c r="F20" s="2620"/>
      <c r="G20" s="2620"/>
      <c r="H20" s="2620"/>
      <c r="I20" s="2620"/>
      <c r="J20" s="2620"/>
      <c r="K20" s="262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1735</v>
      </c>
      <c r="C22" s="1232"/>
      <c r="D22" s="300"/>
      <c r="E22" s="300"/>
      <c r="F22" s="300"/>
      <c r="G22" s="1153"/>
      <c r="H22" s="300"/>
      <c r="I22" s="1153"/>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1736</v>
      </c>
      <c r="C25" s="1232"/>
      <c r="D25" s="300"/>
      <c r="E25" s="300"/>
      <c r="F25" s="300"/>
      <c r="G25" s="1153"/>
      <c r="H25" s="300"/>
      <c r="I25" s="1153"/>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1737</v>
      </c>
      <c r="C28" s="1232"/>
      <c r="D28" s="300"/>
      <c r="E28" s="300"/>
      <c r="F28" s="300"/>
      <c r="G28" s="1153"/>
      <c r="H28" s="300"/>
      <c r="I28" s="1153"/>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1738</v>
      </c>
      <c r="C40" s="1172"/>
      <c r="D40" s="1148"/>
      <c r="E40" s="1149"/>
      <c r="F40" s="1149"/>
      <c r="G40" s="1150"/>
      <c r="H40" s="1149"/>
      <c r="I40" s="1150"/>
      <c r="J40" s="1149"/>
      <c r="K40" s="1149"/>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1739</v>
      </c>
      <c r="C44" s="1175"/>
      <c r="D44" s="300"/>
      <c r="E44" s="300"/>
      <c r="F44" s="300"/>
    </row>
    <row r="45" spans="2:12" ht="10.5" customHeight="1" x14ac:dyDescent="0.2">
      <c r="B45" s="1176" t="s">
        <v>1740</v>
      </c>
      <c r="C45" s="1176"/>
      <c r="G45" s="295"/>
      <c r="I45" s="295"/>
    </row>
    <row r="46" spans="2:12" ht="11.1" customHeight="1" x14ac:dyDescent="0.2">
      <c r="B46" s="1176" t="s">
        <v>1741</v>
      </c>
      <c r="C46" s="1176"/>
      <c r="G46" s="295"/>
      <c r="I46" s="295"/>
    </row>
    <row r="47" spans="2:12" ht="11.1" customHeight="1" x14ac:dyDescent="0.2">
      <c r="B47" s="1176" t="s">
        <v>1742</v>
      </c>
      <c r="C47" s="1176"/>
      <c r="G47" s="295"/>
      <c r="I47" s="295"/>
    </row>
    <row r="48" spans="2:12" ht="11.1" customHeight="1" x14ac:dyDescent="0.2">
      <c r="B48" s="1176" t="s">
        <v>1743</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8" t="str">
        <f>'Single Audit Cover'!A7</f>
        <v xml:space="preserve">   TRICO CUSD 176</v>
      </c>
      <c r="C1" s="2598"/>
      <c r="D1" s="2598"/>
      <c r="E1" s="1240"/>
    </row>
    <row r="2" spans="2:5" s="1058" customFormat="1" ht="12.75" customHeight="1" x14ac:dyDescent="0.2">
      <c r="B2" s="2600">
        <f>'Single Audit Cover'!E7</f>
        <v>30039176026</v>
      </c>
      <c r="C2" s="2600"/>
      <c r="D2" s="2600"/>
      <c r="E2" s="1241"/>
    </row>
    <row r="3" spans="2:5" ht="12.75" customHeight="1" x14ac:dyDescent="0.2">
      <c r="B3" s="2621" t="s">
        <v>1744</v>
      </c>
      <c r="C3" s="2621"/>
      <c r="D3" s="2621"/>
      <c r="E3" s="1050"/>
    </row>
    <row r="4" spans="2:5" s="1058" customFormat="1" ht="12.75" customHeight="1" x14ac:dyDescent="0.2">
      <c r="B4" s="2631" t="str">
        <f>'Single Audit Cover'!A4</f>
        <v>Year Ending June 30, 2020</v>
      </c>
      <c r="C4" s="2631"/>
      <c r="D4" s="2631"/>
      <c r="E4" s="1242"/>
    </row>
    <row r="5" spans="2:5" s="1058" customFormat="1" ht="40.15" customHeight="1" x14ac:dyDescent="0.2">
      <c r="B5" s="1243" t="s">
        <v>1745</v>
      </c>
      <c r="C5" s="306"/>
      <c r="D5" s="306"/>
      <c r="E5" s="306"/>
    </row>
    <row r="6" spans="2:5" s="1058" customFormat="1" ht="13.5" customHeight="1" x14ac:dyDescent="0.2">
      <c r="B6" s="1244" t="s">
        <v>1306</v>
      </c>
      <c r="C6" s="1244" t="s">
        <v>1305</v>
      </c>
      <c r="D6" s="1244" t="s">
        <v>1746</v>
      </c>
    </row>
    <row r="7" spans="2:5" ht="13.5" customHeight="1" x14ac:dyDescent="0.2">
      <c r="B7" s="1245"/>
      <c r="C7" s="302"/>
      <c r="D7" s="302"/>
      <c r="E7" s="302"/>
    </row>
    <row r="8" spans="2:5" ht="13.5" customHeight="1" x14ac:dyDescent="0.2">
      <c r="B8" s="2039" t="s">
        <v>2206</v>
      </c>
      <c r="C8" s="2632" t="s">
        <v>2207</v>
      </c>
      <c r="D8" s="2040" t="s">
        <v>2208</v>
      </c>
      <c r="E8" s="302"/>
    </row>
    <row r="9" spans="2:5" ht="13.5" customHeight="1" x14ac:dyDescent="0.2">
      <c r="B9" s="1246"/>
      <c r="C9" s="2633"/>
      <c r="D9" s="301"/>
      <c r="E9" s="301"/>
    </row>
    <row r="10" spans="2:5" ht="13.5" customHeight="1" x14ac:dyDescent="0.2">
      <c r="B10" s="1245"/>
      <c r="C10" s="2633"/>
      <c r="D10" s="301"/>
      <c r="E10" s="301"/>
    </row>
    <row r="11" spans="2:5" ht="13.5" customHeight="1" x14ac:dyDescent="0.2">
      <c r="B11" s="1245"/>
      <c r="C11" s="2633"/>
      <c r="D11" s="301"/>
      <c r="E11" s="301"/>
    </row>
    <row r="12" spans="2:5" ht="13.5" customHeight="1" x14ac:dyDescent="0.2">
      <c r="B12" s="1245"/>
      <c r="C12" s="2633"/>
      <c r="D12" s="301"/>
      <c r="E12" s="301"/>
    </row>
    <row r="13" spans="2:5" ht="13.5" customHeight="1" x14ac:dyDescent="0.2">
      <c r="B13" s="1245"/>
      <c r="C13" s="2633"/>
      <c r="D13" s="301"/>
      <c r="E13" s="301"/>
    </row>
    <row r="14" spans="2:5" ht="13.5" customHeight="1" x14ac:dyDescent="0.2">
      <c r="B14" s="1245"/>
      <c r="C14" s="2633"/>
      <c r="D14" s="301"/>
      <c r="E14" s="301"/>
    </row>
    <row r="15" spans="2:5" ht="13.5" customHeight="1" x14ac:dyDescent="0.2">
      <c r="B15" s="1245"/>
      <c r="C15" s="2633"/>
      <c r="D15" s="301"/>
      <c r="E15" s="301"/>
    </row>
    <row r="16" spans="2:5" ht="13.5" customHeight="1" x14ac:dyDescent="0.2">
      <c r="B16" s="1245"/>
      <c r="C16" s="2633"/>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1747</v>
      </c>
    </row>
    <row r="46" spans="2:5" ht="12.2" customHeight="1" x14ac:dyDescent="0.2">
      <c r="B46" s="1254" t="s">
        <v>1748</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5">
    <mergeCell ref="B1:D1"/>
    <mergeCell ref="B2:D2"/>
    <mergeCell ref="B3:D3"/>
    <mergeCell ref="B4:D4"/>
    <mergeCell ref="C8:C16"/>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17" sqref="J1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3" t="s">
        <v>383</v>
      </c>
      <c r="B1" s="2193"/>
      <c r="C1" s="2193"/>
      <c r="D1" s="2193"/>
      <c r="E1" s="2193"/>
      <c r="F1" s="2193"/>
      <c r="G1" s="2193"/>
      <c r="H1" s="2193"/>
      <c r="I1" s="2193"/>
      <c r="J1" s="2193"/>
      <c r="K1" s="2193"/>
      <c r="L1" s="2193"/>
      <c r="M1" s="219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79724486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1.84E-2</v>
      </c>
      <c r="E10" s="333" t="s">
        <v>998</v>
      </c>
      <c r="F10" s="332">
        <v>3.7499999999999999E-3</v>
      </c>
      <c r="G10" s="333" t="s">
        <v>998</v>
      </c>
      <c r="H10" s="332">
        <v>2E-3</v>
      </c>
      <c r="I10" s="333" t="s">
        <v>999</v>
      </c>
      <c r="J10" s="1424">
        <f>ROUND(D10+F10+H10,5)</f>
        <v>2.4150000000000001E-2</v>
      </c>
      <c r="K10" s="217"/>
      <c r="L10" s="332">
        <v>5.0000000000000001E-4</v>
      </c>
      <c r="M10" s="217"/>
    </row>
    <row r="11" spans="1:14" ht="7.5" customHeight="1" x14ac:dyDescent="0.2">
      <c r="B11" s="217"/>
      <c r="C11" s="217"/>
      <c r="D11" s="2203" t="str">
        <f>IF(SUM(J10)&lt;=0.0999999,"","Enter the Tax Rates by moving the decimal two places to the left.")</f>
        <v/>
      </c>
      <c r="E11" s="2204"/>
      <c r="F11" s="2204"/>
      <c r="G11" s="2204"/>
      <c r="H11" s="2204"/>
      <c r="I11" s="2204"/>
      <c r="J11" s="220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9196334</v>
      </c>
      <c r="E16" s="1547"/>
      <c r="F16" s="1546">
        <f>SUM('Acct Summary 7-8'!C17,'Acct Summary 7-8'!D17,'Acct Summary 7-8'!F17)</f>
        <v>8504368</v>
      </c>
      <c r="G16" s="1547"/>
      <c r="H16" s="1546">
        <f>SUM(D16-F16)</f>
        <v>691966</v>
      </c>
      <c r="I16" s="1548"/>
      <c r="J16" s="1546">
        <f>SUM('Acct Summary 7-8'!C81,'Acct Summary 7-8'!D81,'Acct Summary 7-8'!F81,'Acct Summary 7-8'!I81)</f>
        <v>4789048</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2006</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5">
        <f>IF(B31="X",(J7*0.069),IF(B32="X",(J7*0.138),"Enter x in a.or b."))</f>
        <v>11001979.068000002</v>
      </c>
      <c r="I31" s="345"/>
      <c r="J31" s="217"/>
      <c r="K31" s="217"/>
      <c r="L31" s="217"/>
      <c r="M31" s="217"/>
    </row>
    <row r="32" spans="1:13" ht="13.35" customHeight="1" x14ac:dyDescent="0.2">
      <c r="B32" s="346" t="s">
        <v>2037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4282700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4" t="s">
        <v>2039</v>
      </c>
      <c r="C54" s="2195"/>
      <c r="D54" s="2195"/>
      <c r="E54" s="2195"/>
      <c r="F54" s="2195"/>
      <c r="G54" s="2195"/>
      <c r="H54" s="2195"/>
      <c r="I54" s="2195"/>
      <c r="J54" s="2195"/>
      <c r="K54" s="2195"/>
      <c r="L54" s="2196"/>
      <c r="M54" s="357"/>
    </row>
    <row r="55" spans="1:13" ht="12.75" customHeight="1" x14ac:dyDescent="0.2">
      <c r="B55" s="2197"/>
      <c r="C55" s="2198"/>
      <c r="D55" s="2198"/>
      <c r="E55" s="2198"/>
      <c r="F55" s="2198"/>
      <c r="G55" s="2198"/>
      <c r="H55" s="2198"/>
      <c r="I55" s="2198"/>
      <c r="J55" s="2198"/>
      <c r="K55" s="2198"/>
      <c r="L55" s="2199"/>
      <c r="M55" s="357"/>
    </row>
    <row r="56" spans="1:13" ht="12.75" customHeight="1" x14ac:dyDescent="0.2">
      <c r="B56" s="2197"/>
      <c r="C56" s="2198"/>
      <c r="D56" s="2198"/>
      <c r="E56" s="2198"/>
      <c r="F56" s="2198"/>
      <c r="G56" s="2198"/>
      <c r="H56" s="2198"/>
      <c r="I56" s="2198"/>
      <c r="J56" s="2198"/>
      <c r="K56" s="2198"/>
      <c r="L56" s="2199"/>
      <c r="M56" s="217"/>
    </row>
    <row r="57" spans="1:13" ht="12.75" customHeight="1" x14ac:dyDescent="0.2">
      <c r="B57" s="2197"/>
      <c r="C57" s="2198"/>
      <c r="D57" s="2198"/>
      <c r="E57" s="2198"/>
      <c r="F57" s="2198"/>
      <c r="G57" s="2198"/>
      <c r="H57" s="2198"/>
      <c r="I57" s="2198"/>
      <c r="J57" s="2198"/>
      <c r="K57" s="2198"/>
      <c r="L57" s="2199"/>
      <c r="M57" s="217"/>
    </row>
    <row r="58" spans="1:13" x14ac:dyDescent="0.2">
      <c r="B58" s="2200"/>
      <c r="C58" s="2201"/>
      <c r="D58" s="2201"/>
      <c r="E58" s="2201"/>
      <c r="F58" s="2201"/>
      <c r="G58" s="2201"/>
      <c r="H58" s="2201"/>
      <c r="I58" s="2201"/>
      <c r="J58" s="2201"/>
      <c r="K58" s="2201"/>
      <c r="L58" s="220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5"/>
      <c r="D61" s="220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8"/>
      <c r="B1" s="2209"/>
      <c r="C1" s="2209"/>
      <c r="D1" s="361"/>
      <c r="E1" s="361"/>
      <c r="F1" s="361"/>
      <c r="G1" s="361"/>
      <c r="H1" s="361"/>
      <c r="I1" s="361"/>
      <c r="J1" s="361"/>
      <c r="K1" s="361"/>
      <c r="L1" s="361"/>
      <c r="M1" s="361"/>
      <c r="N1" s="361"/>
      <c r="O1" s="2208"/>
      <c r="P1" s="2209"/>
      <c r="Q1" s="2209"/>
    </row>
    <row r="2" spans="1:18" ht="15" x14ac:dyDescent="0.2">
      <c r="A2" s="2212" t="s">
        <v>552</v>
      </c>
      <c r="B2" s="2212"/>
      <c r="C2" s="2212"/>
      <c r="D2" s="2212"/>
      <c r="E2" s="2212"/>
      <c r="F2" s="2212"/>
      <c r="G2" s="2212"/>
      <c r="H2" s="2212"/>
      <c r="I2" s="2212"/>
      <c r="J2" s="2212"/>
      <c r="K2" s="2212"/>
      <c r="L2" s="2212"/>
      <c r="M2" s="2212"/>
      <c r="N2" s="2212"/>
      <c r="O2" s="2212"/>
      <c r="P2" s="2212"/>
      <c r="Q2" s="2212"/>
      <c r="R2" s="2212"/>
    </row>
    <row r="3" spans="1:18" ht="12.75" x14ac:dyDescent="0.2">
      <c r="A3" s="2213" t="s">
        <v>1399</v>
      </c>
      <c r="B3" s="2213"/>
      <c r="C3" s="2213"/>
      <c r="D3" s="2213"/>
      <c r="E3" s="2213"/>
      <c r="F3" s="2213"/>
      <c r="G3" s="2213"/>
      <c r="H3" s="2213"/>
      <c r="I3" s="2213"/>
      <c r="J3" s="2213"/>
      <c r="K3" s="2213"/>
      <c r="L3" s="2213"/>
      <c r="M3" s="2213"/>
      <c r="N3" s="2213"/>
      <c r="O3" s="2213"/>
      <c r="P3" s="2213"/>
      <c r="Q3" s="2213"/>
      <c r="R3" s="2213"/>
    </row>
    <row r="4" spans="1:18" x14ac:dyDescent="0.2">
      <c r="A4" s="2214" t="s">
        <v>1540</v>
      </c>
      <c r="B4" s="2214"/>
      <c r="C4" s="2214"/>
      <c r="D4" s="2214"/>
      <c r="E4" s="2214"/>
      <c r="F4" s="2214"/>
      <c r="G4" s="2214"/>
      <c r="H4" s="2214"/>
      <c r="I4" s="2214"/>
      <c r="J4" s="2214"/>
      <c r="K4" s="2214"/>
      <c r="L4" s="2214"/>
      <c r="M4" s="2214"/>
      <c r="N4" s="2214"/>
      <c r="O4" s="2214"/>
      <c r="P4" s="2214"/>
      <c r="Q4" s="2214"/>
      <c r="R4" s="221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TRICO CUSD 176</v>
      </c>
      <c r="E7" s="368"/>
      <c r="G7" s="247"/>
      <c r="H7" s="364"/>
      <c r="I7" s="364"/>
      <c r="J7" s="364"/>
      <c r="K7" s="364"/>
      <c r="L7" s="307"/>
      <c r="M7" s="307"/>
      <c r="N7" s="307"/>
      <c r="O7" s="307"/>
      <c r="P7" s="307"/>
    </row>
    <row r="8" spans="1:18" ht="12.75" x14ac:dyDescent="0.2">
      <c r="A8" s="307"/>
      <c r="B8" s="307"/>
      <c r="C8" s="366" t="s">
        <v>1117</v>
      </c>
      <c r="D8" s="369">
        <f>COVER!A13</f>
        <v>30039176026</v>
      </c>
      <c r="E8" s="370"/>
      <c r="G8" s="307"/>
      <c r="H8" s="307"/>
      <c r="I8" s="307"/>
      <c r="J8" s="307"/>
      <c r="K8" s="307"/>
      <c r="L8" s="307"/>
      <c r="M8" s="307"/>
      <c r="N8" s="307"/>
      <c r="O8" s="307"/>
      <c r="P8" s="307"/>
    </row>
    <row r="9" spans="1:18" ht="12.75" x14ac:dyDescent="0.2">
      <c r="A9" s="307"/>
      <c r="B9" s="307"/>
      <c r="C9" s="366" t="s">
        <v>708</v>
      </c>
      <c r="D9" s="371" t="str">
        <f>COVER!A15</f>
        <v>Perry/Randolph/Jackson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4789048</v>
      </c>
      <c r="I12" s="380"/>
      <c r="J12" s="380"/>
      <c r="K12" s="1559">
        <f>TRUNC((H12/H13*100000),5)/100000</f>
        <v>0.52075620560000002</v>
      </c>
      <c r="L12" s="381"/>
      <c r="M12" s="337" t="s">
        <v>1136</v>
      </c>
      <c r="N12" s="337"/>
      <c r="O12" s="1562">
        <v>0.35</v>
      </c>
      <c r="P12" s="213"/>
      <c r="Q12" s="213"/>
    </row>
    <row r="13" spans="1:18" s="382" customFormat="1" ht="12.75" x14ac:dyDescent="0.2">
      <c r="A13" s="213"/>
      <c r="B13" s="377"/>
      <c r="C13" s="2210" t="s">
        <v>1315</v>
      </c>
      <c r="D13" s="2211"/>
      <c r="E13" s="213"/>
      <c r="F13" s="383" t="s">
        <v>788</v>
      </c>
      <c r="G13" s="378"/>
      <c r="H13" s="1551">
        <f>SUM('Acct Summary 7-8'!C8+'Acct Summary 7-8'!D8+'Acct Summary 7-8'!F8+'Acct Summary 7-8'!I8)+H14</f>
        <v>9196334</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8504368</v>
      </c>
      <c r="I17" s="380"/>
      <c r="J17" s="389"/>
      <c r="K17" s="1559">
        <f>TRUNC((H17/H18*100000),5)/100000</f>
        <v>0.92475632129999996</v>
      </c>
      <c r="L17" s="381"/>
      <c r="M17" s="390" t="s">
        <v>1163</v>
      </c>
      <c r="O17" s="1565" t="str">
        <f>IF(AND(O16="2", J20 &gt; 2),"1",IF(AND(O16 = "1", J20 &gt; 2),"2",IF(AND(O16="1", J20 &gt;1),"1","0")))</f>
        <v>0</v>
      </c>
      <c r="P17" s="213"/>
    </row>
    <row r="18" spans="1:18" s="382" customFormat="1" ht="11.25" x14ac:dyDescent="0.2">
      <c r="A18" s="213"/>
      <c r="B18" s="377"/>
      <c r="C18" s="2210" t="s">
        <v>1308</v>
      </c>
      <c r="D18" s="2211"/>
      <c r="E18" s="213"/>
      <c r="F18" s="391" t="s">
        <v>789</v>
      </c>
      <c r="G18" s="378"/>
      <c r="H18" s="1551">
        <f>SUM('Acct Summary 7-8'!C8+'Acct Summary 7-8'!D8+'Acct Summary 7-8'!F8+'Acct Summary 7-8'!I8)+H19</f>
        <v>9196334</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4</v>
      </c>
      <c r="P23" s="211"/>
      <c r="R23" s="361"/>
    </row>
    <row r="24" spans="1:18" s="382" customFormat="1" ht="11.25" x14ac:dyDescent="0.2">
      <c r="A24" s="213"/>
      <c r="B24" s="377"/>
      <c r="C24" s="2207" t="s">
        <v>1398</v>
      </c>
      <c r="D24" s="2207"/>
      <c r="E24" s="213"/>
      <c r="F24" s="213" t="s">
        <v>442</v>
      </c>
      <c r="G24" s="378"/>
      <c r="H24" s="1551">
        <f>SUM('Assets-Liab 5-6'!C4+'Assets-Liab 5-6'!D4+'Assets-Liab 5-6'!F4+'Assets-Liab 5-6'!I4+'Assets-Liab 5-6'!C5+'Assets-Liab 5-6'!D5+'Assets-Liab 5-6'!F5+'Assets-Liab 5-6'!I5)</f>
        <v>4797177</v>
      </c>
      <c r="I24" s="394"/>
      <c r="J24" s="394"/>
      <c r="K24" s="1555">
        <f>TRUNC(((H24/H25*100000)/100000),2)</f>
        <v>203.07</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23623.244439999999</v>
      </c>
      <c r="I25" s="396"/>
      <c r="J25" s="396"/>
      <c r="K25" s="1558"/>
      <c r="L25" s="213"/>
      <c r="M25" s="337" t="s">
        <v>1137</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1894</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1636544.38637</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3</v>
      </c>
      <c r="P31" s="211"/>
    </row>
    <row r="32" spans="1:18" s="382" customFormat="1" ht="11.25" x14ac:dyDescent="0.2">
      <c r="A32" s="213"/>
      <c r="B32" s="377"/>
      <c r="C32" s="213" t="s">
        <v>842</v>
      </c>
      <c r="D32" s="213"/>
      <c r="E32" s="213"/>
      <c r="F32" s="213"/>
      <c r="G32" s="378"/>
      <c r="H32" s="1551">
        <f>'FP Info 3'!H37</f>
        <v>4282700</v>
      </c>
      <c r="I32" s="392"/>
      <c r="J32" s="392"/>
      <c r="K32" s="1555">
        <f>TRUNC(100-((((H32/H33*100))*100)/100),2)</f>
        <v>61.07</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11001979.068000002</v>
      </c>
      <c r="I33" s="392"/>
      <c r="J33" s="392"/>
      <c r="K33" s="379"/>
      <c r="L33" s="213"/>
      <c r="M33" s="401" t="s">
        <v>1137</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20" zoomScaleNormal="120" workbookViewId="0">
      <pane ySplit="2" topLeftCell="A54" activePane="bottomLeft" state="frozen"/>
      <selection pane="bottomLeft" activeCell="F42" sqref="F4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5"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6"/>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7" t="s">
        <v>967</v>
      </c>
      <c r="B3" s="2218"/>
      <c r="C3" s="1306"/>
      <c r="D3" s="1307"/>
      <c r="E3" s="1307"/>
      <c r="F3" s="1307"/>
      <c r="G3" s="1307"/>
      <c r="H3" s="1307"/>
      <c r="I3" s="1307"/>
      <c r="J3" s="1307"/>
      <c r="K3" s="1307"/>
      <c r="L3" s="1307"/>
      <c r="M3" s="1308"/>
      <c r="N3" s="1309"/>
    </row>
    <row r="4" spans="1:14" ht="13.5" customHeight="1" x14ac:dyDescent="0.2">
      <c r="A4" s="427" t="s">
        <v>1635</v>
      </c>
      <c r="B4" s="428"/>
      <c r="C4" s="1572">
        <v>1794412</v>
      </c>
      <c r="D4" s="1573">
        <v>398315</v>
      </c>
      <c r="E4" s="1573">
        <v>185949</v>
      </c>
      <c r="F4" s="1573">
        <v>1513005</v>
      </c>
      <c r="G4" s="1573">
        <v>911281</v>
      </c>
      <c r="H4" s="1573">
        <v>2447574</v>
      </c>
      <c r="I4" s="1573">
        <f>1071331+20114</f>
        <v>1091445</v>
      </c>
      <c r="J4" s="1574">
        <v>1079692</v>
      </c>
      <c r="K4" s="1573">
        <v>234309</v>
      </c>
      <c r="L4" s="1573">
        <v>393369</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v>800000</v>
      </c>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1834</v>
      </c>
      <c r="D9" s="1574">
        <v>131</v>
      </c>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1796246</v>
      </c>
      <c r="D13" s="1587">
        <f t="shared" ref="D13:L13" si="0">SUM(D4:D12)</f>
        <v>398446</v>
      </c>
      <c r="E13" s="1587">
        <f t="shared" si="0"/>
        <v>185949</v>
      </c>
      <c r="F13" s="1587">
        <f t="shared" si="0"/>
        <v>1513005</v>
      </c>
      <c r="G13" s="1587">
        <f t="shared" si="0"/>
        <v>911281</v>
      </c>
      <c r="H13" s="1587">
        <f t="shared" si="0"/>
        <v>2447574</v>
      </c>
      <c r="I13" s="1587">
        <f t="shared" si="0"/>
        <v>1891445</v>
      </c>
      <c r="J13" s="1587">
        <f t="shared" si="0"/>
        <v>1079692</v>
      </c>
      <c r="K13" s="1587">
        <f t="shared" si="0"/>
        <v>234309</v>
      </c>
      <c r="L13" s="1587">
        <f t="shared" si="0"/>
        <v>393369</v>
      </c>
      <c r="M13" s="1575"/>
      <c r="N13" s="1576"/>
    </row>
    <row r="14" spans="1:14" ht="18" customHeight="1" thickTop="1" x14ac:dyDescent="0.2">
      <c r="A14" s="2219" t="s">
        <v>146</v>
      </c>
      <c r="B14" s="2220"/>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v>43000</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9798242</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v>697983</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f>976838+1749909</f>
        <v>2726747</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v>152944</v>
      </c>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v>185949</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4096751</v>
      </c>
    </row>
    <row r="23" spans="1:14" ht="13.5" customHeight="1" thickBot="1" x14ac:dyDescent="0.25">
      <c r="A23" s="1426" t="s">
        <v>638</v>
      </c>
      <c r="B23" s="1429"/>
      <c r="C23" s="1575"/>
      <c r="D23" s="1575"/>
      <c r="E23" s="1575"/>
      <c r="F23" s="1575"/>
      <c r="G23" s="1575"/>
      <c r="H23" s="1575"/>
      <c r="I23" s="1575"/>
      <c r="J23" s="1575"/>
      <c r="K23" s="1575"/>
      <c r="L23" s="1575"/>
      <c r="M23" s="1594">
        <f>SUM(M15:M22)</f>
        <v>13418916</v>
      </c>
      <c r="N23" s="1594">
        <f>SUM(N21:N22)</f>
        <v>4282700</v>
      </c>
    </row>
    <row r="24" spans="1:14" ht="18" customHeight="1" thickTop="1" x14ac:dyDescent="0.2">
      <c r="A24" s="2221" t="s">
        <v>594</v>
      </c>
      <c r="B24" s="2222"/>
      <c r="C24" s="1595"/>
      <c r="D24" s="1590"/>
      <c r="E24" s="1590"/>
      <c r="F24" s="1590"/>
      <c r="G24" s="1590"/>
      <c r="H24" s="1590"/>
      <c r="I24" s="1590"/>
      <c r="J24" s="1590"/>
      <c r="K24" s="1590"/>
      <c r="L24" s="1590"/>
      <c r="M24" s="1589"/>
      <c r="N24" s="1596"/>
    </row>
    <row r="25" spans="1:14" x14ac:dyDescent="0.2">
      <c r="A25" s="430" t="s">
        <v>640</v>
      </c>
      <c r="B25" s="429">
        <v>410</v>
      </c>
      <c r="C25" s="1583"/>
      <c r="D25" s="1583">
        <v>300000</v>
      </c>
      <c r="E25" s="1583"/>
      <c r="F25" s="1583">
        <v>500000</v>
      </c>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v>910</v>
      </c>
      <c r="G31" s="1574"/>
      <c r="H31" s="1574"/>
      <c r="I31" s="1574"/>
      <c r="J31" s="1574"/>
      <c r="K31" s="1574"/>
      <c r="L31" s="1575"/>
      <c r="M31" s="1575"/>
      <c r="N31" s="1575"/>
    </row>
    <row r="32" spans="1:14" ht="13.5" customHeight="1" x14ac:dyDescent="0.2">
      <c r="A32" s="434" t="s">
        <v>647</v>
      </c>
      <c r="B32" s="435">
        <v>490</v>
      </c>
      <c r="C32" s="1599">
        <v>9184</v>
      </c>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393369</v>
      </c>
      <c r="M33" s="1575"/>
      <c r="N33" s="1576"/>
    </row>
    <row r="34" spans="1:14" ht="13.5" customHeight="1" thickBot="1" x14ac:dyDescent="0.25">
      <c r="A34" s="1427" t="s">
        <v>649</v>
      </c>
      <c r="B34" s="1428"/>
      <c r="C34" s="1600">
        <f>SUM(C25:C33)</f>
        <v>9184</v>
      </c>
      <c r="D34" s="1600">
        <f t="shared" ref="D34:K34" si="1">SUM(D25:D33)</f>
        <v>300000</v>
      </c>
      <c r="E34" s="1600">
        <f t="shared" si="1"/>
        <v>0</v>
      </c>
      <c r="F34" s="1600">
        <f t="shared" si="1"/>
        <v>500910</v>
      </c>
      <c r="G34" s="1600">
        <f t="shared" si="1"/>
        <v>0</v>
      </c>
      <c r="H34" s="1600">
        <f t="shared" si="1"/>
        <v>0</v>
      </c>
      <c r="I34" s="1600">
        <f t="shared" si="1"/>
        <v>0</v>
      </c>
      <c r="J34" s="1600">
        <f t="shared" si="1"/>
        <v>0</v>
      </c>
      <c r="K34" s="1600">
        <f t="shared" si="1"/>
        <v>0</v>
      </c>
      <c r="L34" s="1601">
        <f>SUM(L33)</f>
        <v>393369</v>
      </c>
      <c r="M34" s="1575"/>
      <c r="N34" s="1585"/>
    </row>
    <row r="35" spans="1:14" ht="18" customHeight="1" thickTop="1" x14ac:dyDescent="0.2">
      <c r="A35" s="2223" t="s">
        <v>526</v>
      </c>
      <c r="B35" s="2224"/>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4282700</v>
      </c>
    </row>
    <row r="37" spans="1:14" ht="13.5" thickBot="1" x14ac:dyDescent="0.25">
      <c r="A37" s="1426" t="s">
        <v>648</v>
      </c>
      <c r="B37" s="1429"/>
      <c r="C37" s="1582"/>
      <c r="D37" s="1582"/>
      <c r="E37" s="1582"/>
      <c r="F37" s="1582"/>
      <c r="G37" s="1582"/>
      <c r="H37" s="1582"/>
      <c r="I37" s="1582"/>
      <c r="J37" s="1582"/>
      <c r="K37" s="1582"/>
      <c r="L37" s="1585"/>
      <c r="M37" s="1575"/>
      <c r="N37" s="1594">
        <f>SUM(N36:N36)</f>
        <v>4282700</v>
      </c>
    </row>
    <row r="38" spans="1:14" s="307" customFormat="1" ht="13.5" customHeight="1" thickTop="1" x14ac:dyDescent="0.2">
      <c r="A38" s="438" t="s">
        <v>417</v>
      </c>
      <c r="B38" s="432">
        <v>714</v>
      </c>
      <c r="C38" s="1573">
        <v>22191</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1764871</v>
      </c>
      <c r="D39" s="1573">
        <v>98446</v>
      </c>
      <c r="E39" s="1573">
        <v>185949</v>
      </c>
      <c r="F39" s="1573">
        <v>1012095</v>
      </c>
      <c r="G39" s="1573">
        <v>911281</v>
      </c>
      <c r="H39" s="1573">
        <v>2447574</v>
      </c>
      <c r="I39" s="1573">
        <v>1891445</v>
      </c>
      <c r="J39" s="1574">
        <v>1079692</v>
      </c>
      <c r="K39" s="1573">
        <v>234309</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13418916</v>
      </c>
      <c r="N40" s="1604"/>
    </row>
    <row r="41" spans="1:14" ht="13.5" customHeight="1" thickBot="1" x14ac:dyDescent="0.25">
      <c r="A41" s="1426" t="s">
        <v>650</v>
      </c>
      <c r="B41" s="1405"/>
      <c r="C41" s="1594">
        <f>(SUM(C34,C37,C38,C39))</f>
        <v>1796246</v>
      </c>
      <c r="D41" s="1594">
        <f t="shared" ref="D41:L41" si="2">SUM(D34,D37,D38:D39)</f>
        <v>398446</v>
      </c>
      <c r="E41" s="1594">
        <f t="shared" si="2"/>
        <v>185949</v>
      </c>
      <c r="F41" s="1594">
        <f t="shared" si="2"/>
        <v>1513005</v>
      </c>
      <c r="G41" s="1594">
        <f t="shared" si="2"/>
        <v>911281</v>
      </c>
      <c r="H41" s="1594">
        <f t="shared" si="2"/>
        <v>2447574</v>
      </c>
      <c r="I41" s="1594">
        <f t="shared" si="2"/>
        <v>1891445</v>
      </c>
      <c r="J41" s="1594">
        <f t="shared" si="2"/>
        <v>1079692</v>
      </c>
      <c r="K41" s="1594">
        <f t="shared" si="2"/>
        <v>234309</v>
      </c>
      <c r="L41" s="1594">
        <f t="shared" si="2"/>
        <v>393369</v>
      </c>
      <c r="M41" s="1594">
        <f>SUM(M40)</f>
        <v>13418916</v>
      </c>
      <c r="N41" s="1594">
        <f>SUM(N37)</f>
        <v>4282700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9" bottom="0" header="0.5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4" sqref="C14:G1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3"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4"/>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5" t="s">
        <v>1167</v>
      </c>
      <c r="B3" s="2246"/>
      <c r="C3" s="1311"/>
      <c r="D3" s="1312"/>
      <c r="E3" s="1312"/>
      <c r="F3" s="1312"/>
      <c r="G3" s="1312"/>
      <c r="H3" s="1312"/>
      <c r="I3" s="1312"/>
      <c r="J3" s="1312"/>
      <c r="K3" s="1313"/>
      <c r="L3" s="446"/>
    </row>
    <row r="4" spans="1:13" ht="15.75" customHeight="1" x14ac:dyDescent="0.2">
      <c r="A4" s="1537" t="s">
        <v>1485</v>
      </c>
      <c r="B4" s="1538">
        <v>1000</v>
      </c>
      <c r="C4" s="1606">
        <f>'Revenues 9-14'!C109</f>
        <v>3295313</v>
      </c>
      <c r="D4" s="1606">
        <f>'Revenues 9-14'!D109</f>
        <v>306269</v>
      </c>
      <c r="E4" s="1606">
        <f>'Revenues 9-14'!E109</f>
        <v>868762</v>
      </c>
      <c r="F4" s="1606">
        <f>'Revenues 9-14'!F109</f>
        <v>173635</v>
      </c>
      <c r="G4" s="1606">
        <f>'Revenues 9-14'!G109</f>
        <v>469917</v>
      </c>
      <c r="H4" s="1606">
        <f>'Revenues 9-14'!H109</f>
        <v>340721</v>
      </c>
      <c r="I4" s="1606">
        <f>'Revenues 9-14'!I109</f>
        <v>42024</v>
      </c>
      <c r="J4" s="1606">
        <f>'Revenues 9-14'!J109</f>
        <v>520482</v>
      </c>
      <c r="K4" s="1606">
        <f>'Revenues 9-14'!K109</f>
        <v>39684</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3850879</v>
      </c>
      <c r="D6" s="1607">
        <f>'Revenues 9-14'!D170</f>
        <v>933</v>
      </c>
      <c r="E6" s="1607">
        <f>'Revenues 9-14'!E170</f>
        <v>0</v>
      </c>
      <c r="F6" s="1607">
        <f>'Revenues 9-14'!F170</f>
        <v>629228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1488</v>
      </c>
      <c r="B7" s="1316">
        <v>4000</v>
      </c>
      <c r="C7" s="1607">
        <f>'Revenues 9-14'!C267</f>
        <v>896762</v>
      </c>
      <c r="D7" s="1607">
        <f>'Revenues 9-14'!D267</f>
        <v>0</v>
      </c>
      <c r="E7" s="1607">
        <f>'Revenues 9-14'!E267</f>
        <v>0</v>
      </c>
      <c r="F7" s="1607">
        <f>'Revenues 9-14'!F267</f>
        <v>1291</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8042954</v>
      </c>
      <c r="D8" s="1594">
        <f t="shared" ref="D8:K8" si="0">SUM(D4:D7)</f>
        <v>307202</v>
      </c>
      <c r="E8" s="1594">
        <f t="shared" si="0"/>
        <v>868762</v>
      </c>
      <c r="F8" s="1594">
        <f t="shared" si="0"/>
        <v>804154</v>
      </c>
      <c r="G8" s="1594">
        <f t="shared" si="0"/>
        <v>469917</v>
      </c>
      <c r="H8" s="1594">
        <f t="shared" si="0"/>
        <v>340721</v>
      </c>
      <c r="I8" s="1594">
        <f t="shared" si="0"/>
        <v>42024</v>
      </c>
      <c r="J8" s="1594">
        <f t="shared" si="0"/>
        <v>520482</v>
      </c>
      <c r="K8" s="1594">
        <f t="shared" si="0"/>
        <v>39684</v>
      </c>
      <c r="L8" s="325"/>
    </row>
    <row r="9" spans="1:13" ht="15.75" thickTop="1" x14ac:dyDescent="0.2">
      <c r="A9" s="449" t="s">
        <v>1637</v>
      </c>
      <c r="B9" s="450">
        <v>3998</v>
      </c>
      <c r="C9" s="1586">
        <v>3184219</v>
      </c>
      <c r="D9" s="1613"/>
      <c r="E9" s="1586"/>
      <c r="F9" s="1586"/>
      <c r="G9" s="1614"/>
      <c r="H9" s="1586"/>
      <c r="I9" s="1609" t="s">
        <v>1161</v>
      </c>
      <c r="J9" s="1583"/>
      <c r="K9" s="1586"/>
      <c r="L9" s="325"/>
    </row>
    <row r="10" spans="1:13" s="452" customFormat="1" ht="13.5" thickBot="1" x14ac:dyDescent="0.25">
      <c r="A10" s="1426" t="s">
        <v>1165</v>
      </c>
      <c r="B10" s="1407"/>
      <c r="C10" s="1594">
        <f>SUM(C8:C9)</f>
        <v>11227173</v>
      </c>
      <c r="D10" s="1594">
        <f t="shared" ref="D10:K10" si="1">SUM(D8:D9)</f>
        <v>307202</v>
      </c>
      <c r="E10" s="1594">
        <f t="shared" si="1"/>
        <v>868762</v>
      </c>
      <c r="F10" s="1594">
        <f t="shared" si="1"/>
        <v>804154</v>
      </c>
      <c r="G10" s="1594">
        <f t="shared" si="1"/>
        <v>469917</v>
      </c>
      <c r="H10" s="1594">
        <f t="shared" si="1"/>
        <v>340721</v>
      </c>
      <c r="I10" s="1594">
        <f t="shared" si="1"/>
        <v>42024</v>
      </c>
      <c r="J10" s="1594">
        <f t="shared" si="1"/>
        <v>520482</v>
      </c>
      <c r="K10" s="1594">
        <f t="shared" si="1"/>
        <v>39684</v>
      </c>
      <c r="L10" s="451"/>
    </row>
    <row r="11" spans="1:13" s="452" customFormat="1" ht="16.7" customHeight="1" thickTop="1" x14ac:dyDescent="0.2">
      <c r="A11" s="2219" t="s">
        <v>1168</v>
      </c>
      <c r="B11" s="2220"/>
      <c r="C11" s="1602"/>
      <c r="D11" s="1603"/>
      <c r="E11" s="1603"/>
      <c r="F11" s="1603"/>
      <c r="G11" s="1603"/>
      <c r="H11" s="1603"/>
      <c r="I11" s="1603"/>
      <c r="J11" s="1603"/>
      <c r="K11" s="1615"/>
      <c r="L11" s="451"/>
    </row>
    <row r="12" spans="1:13" ht="15.75" customHeight="1" x14ac:dyDescent="0.2">
      <c r="A12" s="1314" t="s">
        <v>453</v>
      </c>
      <c r="B12" s="1316">
        <v>1000</v>
      </c>
      <c r="C12" s="1606">
        <f>'Expenditures 15-22'!K33</f>
        <v>4718080</v>
      </c>
      <c r="D12" s="1616" t="s">
        <v>1161</v>
      </c>
      <c r="E12" s="1575" t="s">
        <v>1161</v>
      </c>
      <c r="F12" s="1575" t="s">
        <v>1161</v>
      </c>
      <c r="G12" s="1606">
        <f>'Expenditures 15-22'!K229</f>
        <v>102073</v>
      </c>
      <c r="H12" s="1617"/>
      <c r="I12" s="1575" t="s">
        <v>1161</v>
      </c>
      <c r="J12" s="1575" t="s">
        <v>1161</v>
      </c>
      <c r="K12" s="1617" t="s">
        <v>1161</v>
      </c>
      <c r="L12" s="325"/>
    </row>
    <row r="13" spans="1:13" ht="15.75" customHeight="1" x14ac:dyDescent="0.2">
      <c r="A13" s="1314" t="s">
        <v>454</v>
      </c>
      <c r="B13" s="1316">
        <v>2000</v>
      </c>
      <c r="C13" s="1607">
        <f>'Expenditures 15-22'!K74</f>
        <v>2015625</v>
      </c>
      <c r="D13" s="1607">
        <f>'Expenditures 15-22'!K129</f>
        <v>395449</v>
      </c>
      <c r="E13" s="1576" t="s">
        <v>1161</v>
      </c>
      <c r="F13" s="1607">
        <f>'Expenditures 15-22'!K184</f>
        <v>810414</v>
      </c>
      <c r="G13" s="1607">
        <f>'Expenditures 15-22'!K279</f>
        <v>220106</v>
      </c>
      <c r="H13" s="1607">
        <f>'Expenditures 15-22'!K303</f>
        <v>1303090</v>
      </c>
      <c r="I13" s="1575" t="s">
        <v>1161</v>
      </c>
      <c r="J13" s="1607">
        <f>'Expenditures 15-22'!K330</f>
        <v>562174</v>
      </c>
      <c r="K13" s="1618">
        <f>'Expenditures 15-22'!K352</f>
        <v>0</v>
      </c>
      <c r="L13" s="325"/>
    </row>
    <row r="14" spans="1:13" ht="15.75" customHeight="1" x14ac:dyDescent="0.2">
      <c r="A14" s="1314" t="s">
        <v>446</v>
      </c>
      <c r="B14" s="1316">
        <v>3000</v>
      </c>
      <c r="C14" s="1607">
        <f>'Expenditures 15-22'!K75</f>
        <v>1558</v>
      </c>
      <c r="D14" s="1607">
        <f>'Expenditures 15-22'!K130</f>
        <v>0</v>
      </c>
      <c r="E14" s="1616" t="s">
        <v>1161</v>
      </c>
      <c r="F14" s="1607">
        <f>'Expenditures 15-22'!K185</f>
        <v>0</v>
      </c>
      <c r="G14" s="1607">
        <f>'Expenditures 15-22'!K280</f>
        <v>109</v>
      </c>
      <c r="H14" s="1612"/>
      <c r="I14" s="1575" t="s">
        <v>1161</v>
      </c>
      <c r="J14" s="1575" t="s">
        <v>1161</v>
      </c>
      <c r="K14" s="1612" t="s">
        <v>1161</v>
      </c>
      <c r="L14" s="325"/>
    </row>
    <row r="15" spans="1:13" ht="15.75" customHeight="1" x14ac:dyDescent="0.2">
      <c r="A15" s="1314" t="s">
        <v>107</v>
      </c>
      <c r="B15" s="1316">
        <v>4000</v>
      </c>
      <c r="C15" s="1607">
        <f>'Expenditures 15-22'!K102</f>
        <v>563242</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862666</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7298505</v>
      </c>
      <c r="D17" s="1594">
        <f t="shared" si="2"/>
        <v>395449</v>
      </c>
      <c r="E17" s="1594">
        <f t="shared" si="2"/>
        <v>862666</v>
      </c>
      <c r="F17" s="1594">
        <f t="shared" si="2"/>
        <v>810414</v>
      </c>
      <c r="G17" s="1594">
        <f t="shared" si="2"/>
        <v>322288</v>
      </c>
      <c r="H17" s="1594">
        <f t="shared" si="2"/>
        <v>1303090</v>
      </c>
      <c r="I17" s="1575"/>
      <c r="J17" s="1594">
        <f>SUM(J12:J16)</f>
        <v>562174</v>
      </c>
      <c r="K17" s="1594">
        <f>SUM(K12:K16)</f>
        <v>0</v>
      </c>
      <c r="L17" s="325"/>
    </row>
    <row r="18" spans="1:12" ht="15" customHeight="1" thickTop="1" x14ac:dyDescent="0.2">
      <c r="A18" s="1430" t="s">
        <v>1638</v>
      </c>
      <c r="B18" s="1431">
        <v>4180</v>
      </c>
      <c r="C18" s="1606">
        <f t="shared" ref="C18:H18" si="3">C9</f>
        <v>3184219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10482724</v>
      </c>
      <c r="D19" s="1594">
        <f t="shared" si="4"/>
        <v>395449</v>
      </c>
      <c r="E19" s="1594">
        <f t="shared" si="4"/>
        <v>862666</v>
      </c>
      <c r="F19" s="1594">
        <f t="shared" si="4"/>
        <v>810414</v>
      </c>
      <c r="G19" s="1594">
        <f t="shared" si="4"/>
        <v>322288</v>
      </c>
      <c r="H19" s="1594">
        <f t="shared" si="4"/>
        <v>1303090</v>
      </c>
      <c r="I19" s="1575"/>
      <c r="J19" s="1594">
        <f>SUM(J17:J18)</f>
        <v>562174</v>
      </c>
      <c r="K19" s="1594">
        <f>SUM(K17:K18)</f>
        <v>0</v>
      </c>
      <c r="L19" s="325"/>
    </row>
    <row r="20" spans="1:12" ht="16.5" thickTop="1" thickBot="1" x14ac:dyDescent="0.25">
      <c r="A20" s="2235" t="s">
        <v>1639</v>
      </c>
      <c r="B20" s="2236"/>
      <c r="C20" s="1622">
        <f>C8-C17</f>
        <v>744449</v>
      </c>
      <c r="D20" s="1622">
        <f t="shared" ref="D20:K20" si="5">D8-D17</f>
        <v>-88247</v>
      </c>
      <c r="E20" s="1622">
        <f t="shared" si="5"/>
        <v>6096</v>
      </c>
      <c r="F20" s="1622">
        <f t="shared" si="5"/>
        <v>-6260</v>
      </c>
      <c r="G20" s="1622">
        <f t="shared" si="5"/>
        <v>147629</v>
      </c>
      <c r="H20" s="1622">
        <f t="shared" si="5"/>
        <v>-962369</v>
      </c>
      <c r="I20" s="1622">
        <f t="shared" si="5"/>
        <v>42024</v>
      </c>
      <c r="J20" s="1622">
        <f t="shared" si="5"/>
        <v>-41692</v>
      </c>
      <c r="K20" s="1622">
        <f t="shared" si="5"/>
        <v>39684</v>
      </c>
      <c r="L20" s="325"/>
    </row>
    <row r="21" spans="1:12" ht="16.7" customHeight="1" thickTop="1" x14ac:dyDescent="0.2">
      <c r="A21" s="2247" t="s">
        <v>591</v>
      </c>
      <c r="B21" s="2248"/>
      <c r="C21" s="1602"/>
      <c r="D21" s="1603"/>
      <c r="E21" s="1603"/>
      <c r="F21" s="1603"/>
      <c r="G21" s="1603"/>
      <c r="H21" s="1603"/>
      <c r="I21" s="1603"/>
      <c r="J21" s="1603"/>
      <c r="K21" s="1615"/>
      <c r="L21" s="453"/>
    </row>
    <row r="22" spans="1:12" ht="15.75" customHeight="1" collapsed="1" x14ac:dyDescent="0.2">
      <c r="A22" s="2243" t="s">
        <v>592</v>
      </c>
      <c r="B22" s="2244"/>
      <c r="C22" s="1582"/>
      <c r="D22" s="1582"/>
      <c r="E22" s="1582"/>
      <c r="F22" s="1582"/>
      <c r="G22" s="1582"/>
      <c r="H22" s="1582"/>
      <c r="I22" s="1582"/>
      <c r="J22" s="1582"/>
      <c r="K22" s="1582"/>
      <c r="L22" s="325"/>
    </row>
    <row r="23" spans="1:12" s="433" customFormat="1" ht="15.75" customHeight="1" x14ac:dyDescent="0.2">
      <c r="A23" s="2239" t="s">
        <v>290</v>
      </c>
      <c r="B23" s="2240"/>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1772</v>
      </c>
      <c r="B30" s="455">
        <v>7160</v>
      </c>
      <c r="C30" s="1582"/>
      <c r="D30" s="1574"/>
      <c r="E30" s="1582"/>
      <c r="F30" s="1582"/>
      <c r="G30" s="1582"/>
      <c r="H30" s="1582"/>
      <c r="I30" s="1582"/>
      <c r="J30" s="1582"/>
      <c r="K30" s="1582"/>
      <c r="L30" s="453"/>
    </row>
    <row r="31" spans="1:12" s="433" customFormat="1" ht="26.25" x14ac:dyDescent="0.2">
      <c r="A31" s="1260" t="s">
        <v>1776</v>
      </c>
      <c r="B31" s="455">
        <v>7170</v>
      </c>
      <c r="C31" s="1582"/>
      <c r="D31" s="1582"/>
      <c r="E31" s="1579"/>
      <c r="F31" s="1582"/>
      <c r="G31" s="1582"/>
      <c r="H31" s="1582"/>
      <c r="I31" s="1582"/>
      <c r="J31" s="1582"/>
      <c r="K31" s="1582"/>
      <c r="L31" s="453"/>
    </row>
    <row r="32" spans="1:12" s="433" customFormat="1" ht="15.75" customHeight="1" x14ac:dyDescent="0.2">
      <c r="A32" s="2241" t="s">
        <v>974</v>
      </c>
      <c r="B32" s="2242"/>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v>0</v>
      </c>
      <c r="I33" s="1574"/>
      <c r="J33" s="1574"/>
      <c r="K33" s="1574"/>
      <c r="L33" s="453"/>
    </row>
    <row r="34" spans="1:12" s="433" customFormat="1" x14ac:dyDescent="0.2">
      <c r="A34" s="1260" t="s">
        <v>994</v>
      </c>
      <c r="B34" s="454">
        <v>7220</v>
      </c>
      <c r="C34" s="1574"/>
      <c r="D34" s="1574"/>
      <c r="E34" s="1574"/>
      <c r="F34" s="1574"/>
      <c r="G34" s="1582"/>
      <c r="H34" s="1583">
        <v>0</v>
      </c>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9" t="s">
        <v>371</v>
      </c>
      <c r="B44" s="2250"/>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3" t="s">
        <v>108</v>
      </c>
      <c r="B45" s="2244"/>
      <c r="C45" s="1625"/>
      <c r="D45" s="1625"/>
      <c r="E45" s="1625"/>
      <c r="F45" s="1625"/>
      <c r="G45" s="1625"/>
      <c r="H45" s="1625"/>
      <c r="I45" s="1625"/>
      <c r="J45" s="1625"/>
      <c r="K45" s="1625"/>
      <c r="L45" s="325"/>
    </row>
    <row r="46" spans="1:12" s="433" customFormat="1" ht="15.75" customHeight="1" x14ac:dyDescent="0.2">
      <c r="A46" s="2251" t="s">
        <v>109</v>
      </c>
      <c r="B46" s="2252"/>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1775</v>
      </c>
      <c r="B52" s="432">
        <v>8160</v>
      </c>
      <c r="C52" s="1582"/>
      <c r="D52" s="1582"/>
      <c r="E52" s="1582"/>
      <c r="F52" s="1582"/>
      <c r="G52" s="1582"/>
      <c r="H52" s="1582"/>
      <c r="I52" s="1582"/>
      <c r="J52" s="1582"/>
      <c r="K52" s="1607">
        <f>D30</f>
        <v>0</v>
      </c>
      <c r="L52" s="453"/>
    </row>
    <row r="53" spans="1:12" s="433" customFormat="1" ht="26.25" x14ac:dyDescent="0.2">
      <c r="A53" s="1261" t="s">
        <v>1774</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5" t="s">
        <v>437</v>
      </c>
      <c r="B76" s="2226"/>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7" t="s">
        <v>1169</v>
      </c>
      <c r="B77" s="2228"/>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1" t="s">
        <v>593</v>
      </c>
      <c r="B78" s="2232"/>
      <c r="C78" s="1629">
        <f t="shared" ref="C78:K78" si="9">C20+C77</f>
        <v>744449</v>
      </c>
      <c r="D78" s="1629">
        <f t="shared" si="9"/>
        <v>-88247</v>
      </c>
      <c r="E78" s="1629">
        <f t="shared" si="9"/>
        <v>6096</v>
      </c>
      <c r="F78" s="1629">
        <f t="shared" si="9"/>
        <v>-6260</v>
      </c>
      <c r="G78" s="1629">
        <f t="shared" si="9"/>
        <v>147629</v>
      </c>
      <c r="H78" s="1629">
        <f t="shared" si="9"/>
        <v>-962369</v>
      </c>
      <c r="I78" s="1629">
        <f t="shared" si="9"/>
        <v>42024</v>
      </c>
      <c r="J78" s="1629">
        <f t="shared" si="9"/>
        <v>-41692</v>
      </c>
      <c r="K78" s="1629">
        <f t="shared" si="9"/>
        <v>39684</v>
      </c>
      <c r="L78" s="457"/>
    </row>
    <row r="79" spans="1:12" ht="13.5" thickTop="1" x14ac:dyDescent="0.2">
      <c r="A79" s="1844" t="str">
        <f>"Fund Balances - July 1, "&amp;'AFR20'!E2-1</f>
        <v>Fund Balances - July 1, 2019</v>
      </c>
      <c r="B79" s="458"/>
      <c r="C79" s="1583">
        <v>1042613</v>
      </c>
      <c r="D79" s="1630">
        <v>186693</v>
      </c>
      <c r="E79" s="1630">
        <v>179853</v>
      </c>
      <c r="F79" s="1630">
        <v>1018355</v>
      </c>
      <c r="G79" s="1630">
        <v>763652</v>
      </c>
      <c r="H79" s="1630">
        <v>3409943</v>
      </c>
      <c r="I79" s="1630">
        <v>1849421</v>
      </c>
      <c r="J79" s="1630">
        <v>1121384</v>
      </c>
      <c r="K79" s="1630">
        <v>194625</v>
      </c>
      <c r="L79" s="325"/>
    </row>
    <row r="80" spans="1:12" x14ac:dyDescent="0.2">
      <c r="A80" s="2237" t="s">
        <v>1773</v>
      </c>
      <c r="B80" s="2238"/>
      <c r="C80" s="1574"/>
      <c r="D80" s="1574"/>
      <c r="E80" s="1574"/>
      <c r="F80" s="1574"/>
      <c r="G80" s="1574"/>
      <c r="H80" s="1574"/>
      <c r="I80" s="1574"/>
      <c r="J80" s="1574"/>
      <c r="K80" s="1574"/>
      <c r="L80" s="325"/>
    </row>
    <row r="81" spans="1:12" ht="13.5" thickBot="1" x14ac:dyDescent="0.25">
      <c r="A81" s="2229" t="str">
        <f>"Fund Balances - June 30, "&amp;'AFR20'!E2</f>
        <v>Fund Balances - June 30, 2020</v>
      </c>
      <c r="B81" s="2230"/>
      <c r="C81" s="1594">
        <f>(SUM(C78:C80))</f>
        <v>1787062</v>
      </c>
      <c r="D81" s="1594">
        <f>SUM(D78:D80)</f>
        <v>98446</v>
      </c>
      <c r="E81" s="1594">
        <f t="shared" ref="E81:K81" si="10">SUM(E78:E80)</f>
        <v>185949</v>
      </c>
      <c r="F81" s="1594">
        <f t="shared" si="10"/>
        <v>1012095</v>
      </c>
      <c r="G81" s="1594">
        <f t="shared" si="10"/>
        <v>911281</v>
      </c>
      <c r="H81" s="1594">
        <f t="shared" si="10"/>
        <v>2447574</v>
      </c>
      <c r="I81" s="1594">
        <f t="shared" si="10"/>
        <v>1891445</v>
      </c>
      <c r="J81" s="1594">
        <f t="shared" si="10"/>
        <v>1079692</v>
      </c>
      <c r="K81" s="1594">
        <f t="shared" si="10"/>
        <v>234309</v>
      </c>
      <c r="L81" s="325"/>
    </row>
    <row r="82" spans="1:12" ht="0.75" customHeight="1" thickTop="1" thickBot="1" x14ac:dyDescent="0.25">
      <c r="A82" s="459" t="s">
        <v>340</v>
      </c>
      <c r="B82" s="460"/>
      <c r="C82" s="461">
        <f>(C81-C79)</f>
        <v>744449</v>
      </c>
      <c r="D82" s="461">
        <f t="shared" ref="D82:K82" si="11">(D81-D79)</f>
        <v>-88247</v>
      </c>
      <c r="E82" s="461">
        <f t="shared" si="11"/>
        <v>6096</v>
      </c>
      <c r="F82" s="461">
        <f t="shared" si="11"/>
        <v>-6260</v>
      </c>
      <c r="G82" s="461">
        <f t="shared" si="11"/>
        <v>147629</v>
      </c>
      <c r="H82" s="461">
        <f t="shared" si="11"/>
        <v>-962369</v>
      </c>
      <c r="I82" s="461">
        <f t="shared" si="11"/>
        <v>42024</v>
      </c>
      <c r="J82" s="461">
        <f t="shared" si="11"/>
        <v>-41692</v>
      </c>
      <c r="K82" s="461">
        <f t="shared" si="11"/>
        <v>39684</v>
      </c>
    </row>
    <row r="83" spans="1:12" ht="14.25" hidden="1" thickTop="1" thickBot="1" x14ac:dyDescent="0.25">
      <c r="A83" s="462" t="s">
        <v>341</v>
      </c>
      <c r="B83" s="428"/>
      <c r="C83" s="463">
        <f>C82/C81</f>
        <v>0.41657704097563486</v>
      </c>
      <c r="D83" s="463">
        <f t="shared" ref="D83:K83" si="12">D82/D81</f>
        <v>-0.89640005688397695</v>
      </c>
      <c r="E83" s="463">
        <f t="shared" si="12"/>
        <v>3.2783182485520222E-2</v>
      </c>
      <c r="F83" s="463">
        <f t="shared" si="12"/>
        <v>-6.185190125432889E-3</v>
      </c>
      <c r="G83" s="463">
        <f t="shared" si="12"/>
        <v>0.16200162189269829</v>
      </c>
      <c r="H83" s="463">
        <f t="shared" si="12"/>
        <v>-0.39319301479750968</v>
      </c>
      <c r="I83" s="463">
        <f t="shared" si="12"/>
        <v>2.2217933907673761E-2</v>
      </c>
      <c r="J83" s="463">
        <f t="shared" si="12"/>
        <v>-3.861471604865091E-2</v>
      </c>
      <c r="K83" s="463">
        <f t="shared" si="12"/>
        <v>0.16936609349192733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 right="0" top="0.8" bottom="0.55000000000000004" header="0.3" footer="0.3"/>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7" activePane="bottomLeft" state="frozen"/>
      <selection pane="bottomLeft" activeCell="C84" sqref="C8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3" t="s">
        <v>1780</v>
      </c>
      <c r="B1" s="416"/>
      <c r="C1" s="417" t="s">
        <v>422</v>
      </c>
      <c r="D1" s="417" t="s">
        <v>423</v>
      </c>
      <c r="E1" s="417" t="s">
        <v>424</v>
      </c>
      <c r="F1" s="417" t="s">
        <v>425</v>
      </c>
      <c r="G1" s="417" t="s">
        <v>426</v>
      </c>
      <c r="H1" s="417" t="s">
        <v>427</v>
      </c>
      <c r="I1" s="417" t="s">
        <v>428</v>
      </c>
      <c r="J1" s="417" t="s">
        <v>429</v>
      </c>
      <c r="K1" s="417" t="s">
        <v>751</v>
      </c>
    </row>
    <row r="2" spans="1:12" ht="36" x14ac:dyDescent="0.2">
      <c r="A2" s="2234"/>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1624905</v>
      </c>
      <c r="D5" s="1586">
        <v>293677</v>
      </c>
      <c r="E5" s="1573">
        <v>575936</v>
      </c>
      <c r="F5" s="1631">
        <v>156627</v>
      </c>
      <c r="G5" s="1573">
        <v>199458</v>
      </c>
      <c r="H5" s="1573"/>
      <c r="I5" s="1573">
        <v>39157</v>
      </c>
      <c r="J5" s="1574">
        <v>498626</v>
      </c>
      <c r="K5" s="1573">
        <v>39157</v>
      </c>
    </row>
    <row r="6" spans="1:12" ht="15" x14ac:dyDescent="0.2">
      <c r="A6" s="427" t="s">
        <v>1646</v>
      </c>
      <c r="B6" s="429">
        <v>1130</v>
      </c>
      <c r="C6" s="1573">
        <v>39234</v>
      </c>
      <c r="D6" s="1573"/>
      <c r="E6" s="1580"/>
      <c r="F6" s="1580"/>
      <c r="G6" s="1575"/>
      <c r="H6" s="1575"/>
      <c r="I6" s="1575"/>
      <c r="J6" s="1575"/>
      <c r="K6" s="1575"/>
    </row>
    <row r="7" spans="1:12" x14ac:dyDescent="0.2">
      <c r="A7" s="427" t="s">
        <v>110</v>
      </c>
      <c r="B7" s="471">
        <v>1140</v>
      </c>
      <c r="C7" s="1573">
        <v>31104</v>
      </c>
      <c r="D7" s="1573"/>
      <c r="E7" s="1575"/>
      <c r="F7" s="1574"/>
      <c r="G7" s="1574"/>
      <c r="H7" s="1574"/>
      <c r="I7" s="1575"/>
      <c r="J7" s="1575"/>
      <c r="K7" s="1575"/>
    </row>
    <row r="8" spans="1:12" x14ac:dyDescent="0.2">
      <c r="A8" s="427" t="s">
        <v>410</v>
      </c>
      <c r="B8" s="429">
        <v>1150</v>
      </c>
      <c r="C8" s="1580"/>
      <c r="D8" s="1580"/>
      <c r="E8" s="1582"/>
      <c r="F8" s="1582"/>
      <c r="G8" s="1586">
        <v>159564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1695243</v>
      </c>
      <c r="D12" s="1633">
        <f t="shared" si="0"/>
        <v>293677</v>
      </c>
      <c r="E12" s="1633">
        <f t="shared" si="0"/>
        <v>575936</v>
      </c>
      <c r="F12" s="1633">
        <f t="shared" si="0"/>
        <v>156627</v>
      </c>
      <c r="G12" s="1633">
        <f t="shared" si="0"/>
        <v>359022</v>
      </c>
      <c r="H12" s="1633">
        <f t="shared" si="0"/>
        <v>0</v>
      </c>
      <c r="I12" s="1633">
        <f t="shared" si="0"/>
        <v>39157</v>
      </c>
      <c r="J12" s="1633">
        <f t="shared" si="0"/>
        <v>498626</v>
      </c>
      <c r="K12" s="1594">
        <f t="shared" si="0"/>
        <v>39157</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8202</v>
      </c>
      <c r="D14" s="1573">
        <v>1438</v>
      </c>
      <c r="E14" s="1573">
        <v>2829</v>
      </c>
      <c r="F14" s="1573">
        <v>767</v>
      </c>
      <c r="G14" s="1573">
        <v>1756</v>
      </c>
      <c r="H14" s="1573"/>
      <c r="I14" s="1573">
        <v>192</v>
      </c>
      <c r="J14" s="1574">
        <v>2439</v>
      </c>
      <c r="K14" s="1573">
        <v>192</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v>1341756</v>
      </c>
      <c r="D16" s="1573"/>
      <c r="E16" s="1573"/>
      <c r="F16" s="1573"/>
      <c r="G16" s="1573">
        <v>105000</v>
      </c>
      <c r="H16" s="1573"/>
      <c r="I16" s="1573"/>
      <c r="J16" s="1574"/>
      <c r="K16" s="1573"/>
    </row>
    <row r="17" spans="1:11" ht="12.75" customHeight="1" x14ac:dyDescent="0.2">
      <c r="A17" s="427" t="s">
        <v>802</v>
      </c>
      <c r="B17" s="429">
        <v>1290</v>
      </c>
      <c r="C17" s="1632">
        <v>14051</v>
      </c>
      <c r="D17" s="1573"/>
      <c r="E17" s="1573"/>
      <c r="F17" s="1573"/>
      <c r="G17" s="1573"/>
      <c r="H17" s="1573"/>
      <c r="I17" s="1573"/>
      <c r="J17" s="1574"/>
      <c r="K17" s="1573"/>
    </row>
    <row r="18" spans="1:11" ht="12.75" customHeight="1" thickBot="1" x14ac:dyDescent="0.25">
      <c r="A18" s="1406" t="s">
        <v>534</v>
      </c>
      <c r="B18" s="1407"/>
      <c r="C18" s="1635">
        <f>SUM(C14:C17)</f>
        <v>1364009</v>
      </c>
      <c r="D18" s="1635">
        <f t="shared" ref="D18:K18" si="1">SUM(D14:D17)</f>
        <v>1438</v>
      </c>
      <c r="E18" s="1635">
        <f t="shared" si="1"/>
        <v>2829</v>
      </c>
      <c r="F18" s="1635">
        <f t="shared" si="1"/>
        <v>767</v>
      </c>
      <c r="G18" s="1635">
        <f t="shared" si="1"/>
        <v>106756</v>
      </c>
      <c r="H18" s="1635">
        <f t="shared" si="1"/>
        <v>0</v>
      </c>
      <c r="I18" s="1635">
        <f t="shared" si="1"/>
        <v>192</v>
      </c>
      <c r="J18" s="1635">
        <f t="shared" si="1"/>
        <v>2439</v>
      </c>
      <c r="K18" s="1636">
        <f t="shared" si="1"/>
        <v>192</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v>13055</v>
      </c>
      <c r="G44" s="1575"/>
      <c r="H44" s="1575"/>
      <c r="I44" s="1575"/>
      <c r="J44" s="1575"/>
      <c r="K44" s="1575"/>
    </row>
    <row r="45" spans="1:11" ht="12.75" customHeight="1" x14ac:dyDescent="0.2">
      <c r="A45" s="427" t="s">
        <v>238</v>
      </c>
      <c r="B45" s="429">
        <v>1415</v>
      </c>
      <c r="C45" s="1575"/>
      <c r="D45" s="1575"/>
      <c r="E45" s="1575"/>
      <c r="F45" s="1573">
        <v>592</v>
      </c>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13647</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2009</v>
      </c>
      <c r="D65" s="1573">
        <v>756</v>
      </c>
      <c r="E65" s="1573">
        <v>356</v>
      </c>
      <c r="F65" s="1574">
        <v>742</v>
      </c>
      <c r="G65" s="1573">
        <v>4139</v>
      </c>
      <c r="H65" s="1573">
        <v>3464</v>
      </c>
      <c r="I65" s="1573">
        <v>2675</v>
      </c>
      <c r="J65" s="1574">
        <v>2780</v>
      </c>
      <c r="K65" s="1573">
        <v>335</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2009</v>
      </c>
      <c r="D67" s="1594">
        <f t="shared" ref="D67:K67" si="2">SUM(D65:D66)</f>
        <v>756</v>
      </c>
      <c r="E67" s="1594">
        <f t="shared" si="2"/>
        <v>356</v>
      </c>
      <c r="F67" s="1594">
        <f t="shared" si="2"/>
        <v>742</v>
      </c>
      <c r="G67" s="1594">
        <f t="shared" si="2"/>
        <v>4139</v>
      </c>
      <c r="H67" s="1594">
        <f t="shared" si="2"/>
        <v>3464</v>
      </c>
      <c r="I67" s="1594">
        <f t="shared" si="2"/>
        <v>2675</v>
      </c>
      <c r="J67" s="1594">
        <f t="shared" si="2"/>
        <v>2780</v>
      </c>
      <c r="K67" s="1594">
        <f t="shared" si="2"/>
        <v>335</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40885</v>
      </c>
      <c r="D69" s="1575"/>
      <c r="E69" s="1575"/>
      <c r="F69" s="1575"/>
      <c r="G69" s="1575"/>
      <c r="H69" s="1575"/>
      <c r="I69" s="1575"/>
      <c r="J69" s="1575"/>
      <c r="K69" s="1575"/>
    </row>
    <row r="70" spans="1:11" ht="12.75" customHeight="1" x14ac:dyDescent="0.2">
      <c r="A70" s="427" t="s">
        <v>990</v>
      </c>
      <c r="B70" s="429">
        <v>1612</v>
      </c>
      <c r="C70" s="1632">
        <v>12151</v>
      </c>
      <c r="D70" s="1575"/>
      <c r="E70" s="1575"/>
      <c r="F70" s="1575"/>
      <c r="G70" s="1575"/>
      <c r="H70" s="1575"/>
      <c r="I70" s="1575"/>
      <c r="J70" s="1575"/>
      <c r="K70" s="1575"/>
    </row>
    <row r="71" spans="1:11" ht="12.75" customHeight="1" x14ac:dyDescent="0.2">
      <c r="A71" s="427" t="s">
        <v>271</v>
      </c>
      <c r="B71" s="429">
        <v>1613</v>
      </c>
      <c r="C71" s="1632">
        <v>1288</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2269</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56593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37873</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f>11327+2555</f>
        <v>13882</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30442</v>
      </c>
      <c r="D81" s="1573"/>
      <c r="E81" s="1575"/>
      <c r="F81" s="1575"/>
      <c r="G81" s="1575"/>
      <c r="H81" s="1575"/>
      <c r="I81" s="1575"/>
      <c r="J81" s="1575"/>
      <c r="K81" s="1575"/>
    </row>
    <row r="82" spans="1:11" ht="12.75" customHeight="1" thickBot="1" x14ac:dyDescent="0.25">
      <c r="A82" s="1406" t="s">
        <v>239</v>
      </c>
      <c r="B82" s="1407"/>
      <c r="C82" s="1633">
        <f>SUM(C77:C81)</f>
        <v>82197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26322</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v>145</v>
      </c>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26467</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v>335</v>
      </c>
      <c r="E95" s="1617"/>
      <c r="F95" s="1617"/>
      <c r="G95" s="1617"/>
      <c r="H95" s="1617"/>
      <c r="I95" s="1617"/>
      <c r="J95" s="1617"/>
      <c r="K95" s="1617"/>
    </row>
    <row r="96" spans="1:11" ht="12.75" customHeight="1" x14ac:dyDescent="0.2">
      <c r="A96" s="427" t="s">
        <v>388</v>
      </c>
      <c r="B96" s="429">
        <v>1920</v>
      </c>
      <c r="C96" s="1632">
        <v>45750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7674</v>
      </c>
      <c r="D99" s="1573">
        <v>7563</v>
      </c>
      <c r="E99" s="1573"/>
      <c r="F99" s="1573"/>
      <c r="G99" s="1573"/>
      <c r="H99" s="1573"/>
      <c r="I99" s="1575"/>
      <c r="J99" s="1574">
        <v>16637</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2450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289641</v>
      </c>
      <c r="F103" s="1575"/>
      <c r="G103" s="1575"/>
      <c r="H103" s="1598">
        <v>337257</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c r="D106" s="1598"/>
      <c r="E106" s="1574"/>
      <c r="F106" s="1574"/>
      <c r="G106" s="1574"/>
      <c r="H106" s="1574"/>
      <c r="I106" s="1617"/>
      <c r="J106" s="1574"/>
      <c r="K106" s="1574"/>
    </row>
    <row r="107" spans="1:12" ht="12.75" customHeight="1" x14ac:dyDescent="0.2">
      <c r="A107" s="427" t="s">
        <v>78</v>
      </c>
      <c r="B107" s="429">
        <v>1999</v>
      </c>
      <c r="C107" s="1632">
        <v>12921</v>
      </c>
      <c r="D107" s="1573">
        <v>2500</v>
      </c>
      <c r="E107" s="1573"/>
      <c r="F107" s="1573">
        <v>1852</v>
      </c>
      <c r="G107" s="1573"/>
      <c r="H107" s="1573"/>
      <c r="I107" s="1573"/>
      <c r="J107" s="1574"/>
      <c r="K107" s="1573"/>
    </row>
    <row r="108" spans="1:12" ht="12.75" customHeight="1" thickBot="1" x14ac:dyDescent="0.25">
      <c r="A108" s="1406" t="s">
        <v>484</v>
      </c>
      <c r="B108" s="1408"/>
      <c r="C108" s="1633">
        <f>SUM(C95:C107)</f>
        <v>68795</v>
      </c>
      <c r="D108" s="1633">
        <f t="shared" ref="D108:K108" si="3">SUM(D95:D107)</f>
        <v>10398</v>
      </c>
      <c r="E108" s="1633">
        <f t="shared" si="3"/>
        <v>289641</v>
      </c>
      <c r="F108" s="1633">
        <f t="shared" si="3"/>
        <v>1852</v>
      </c>
      <c r="G108" s="1633">
        <f t="shared" si="3"/>
        <v>0</v>
      </c>
      <c r="H108" s="1633">
        <f t="shared" si="3"/>
        <v>337257</v>
      </c>
      <c r="I108" s="1633">
        <f t="shared" si="3"/>
        <v>0</v>
      </c>
      <c r="J108" s="1633">
        <f t="shared" si="3"/>
        <v>16637</v>
      </c>
      <c r="K108" s="1594">
        <f t="shared" si="3"/>
        <v>0</v>
      </c>
    </row>
    <row r="109" spans="1:12" ht="14.25" thickTop="1" thickBot="1" x14ac:dyDescent="0.25">
      <c r="A109" s="1409" t="s">
        <v>246</v>
      </c>
      <c r="B109" s="1410" t="s">
        <v>566</v>
      </c>
      <c r="C109" s="1641">
        <f t="shared" ref="C109:K109" si="4">SUM(C12,C18,C40,C63,C67,C75,C82,C93,C108,)</f>
        <v>3295313</v>
      </c>
      <c r="D109" s="1641">
        <f t="shared" si="4"/>
        <v>306269</v>
      </c>
      <c r="E109" s="1641">
        <f t="shared" si="4"/>
        <v>868762</v>
      </c>
      <c r="F109" s="1641">
        <f t="shared" si="4"/>
        <v>173635</v>
      </c>
      <c r="G109" s="1641">
        <f t="shared" si="4"/>
        <v>469917</v>
      </c>
      <c r="H109" s="1641">
        <f t="shared" si="4"/>
        <v>340721</v>
      </c>
      <c r="I109" s="1641">
        <f t="shared" si="4"/>
        <v>42024</v>
      </c>
      <c r="J109" s="1641">
        <f t="shared" si="4"/>
        <v>520482</v>
      </c>
      <c r="K109" s="1629">
        <f t="shared" si="4"/>
        <v>39684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3793240</v>
      </c>
      <c r="D117" s="1586"/>
      <c r="E117" s="1573"/>
      <c r="F117" s="1586"/>
      <c r="G117" s="1586"/>
      <c r="H117" s="1573"/>
      <c r="I117" s="1575"/>
      <c r="J117" s="1574"/>
      <c r="K117" s="1573"/>
    </row>
    <row r="118" spans="1:11" ht="12.75" customHeight="1" x14ac:dyDescent="0.2">
      <c r="A118" s="427" t="s">
        <v>1777</v>
      </c>
      <c r="B118" s="478">
        <v>3002</v>
      </c>
      <c r="C118" s="1632"/>
      <c r="D118" s="1573"/>
      <c r="E118" s="1573"/>
      <c r="F118" s="1573"/>
      <c r="G118" s="1573"/>
      <c r="H118" s="1573"/>
      <c r="I118" s="1575"/>
      <c r="J118" s="1574"/>
      <c r="K118" s="1573"/>
    </row>
    <row r="119" spans="1:11" ht="12.75" customHeight="1" x14ac:dyDescent="0.2">
      <c r="A119" s="427" t="s">
        <v>1778</v>
      </c>
      <c r="B119" s="478">
        <v>3005</v>
      </c>
      <c r="C119" s="1632"/>
      <c r="D119" s="1573"/>
      <c r="E119" s="1573"/>
      <c r="F119" s="1573"/>
      <c r="G119" s="1573"/>
      <c r="H119" s="1573"/>
      <c r="I119" s="1575"/>
      <c r="J119" s="1574"/>
      <c r="K119" s="1573"/>
    </row>
    <row r="120" spans="1:11" ht="12.75" customHeight="1" x14ac:dyDescent="0.2">
      <c r="A120" s="1539" t="s">
        <v>1896</v>
      </c>
      <c r="B120" s="478">
        <v>3030</v>
      </c>
      <c r="C120" s="1632"/>
      <c r="D120" s="1573"/>
      <c r="E120" s="1573"/>
      <c r="F120" s="1573"/>
      <c r="G120" s="1573"/>
      <c r="H120" s="1573"/>
      <c r="I120" s="1575"/>
      <c r="J120" s="1574"/>
      <c r="K120" s="1573"/>
    </row>
    <row r="121" spans="1:11" x14ac:dyDescent="0.2">
      <c r="A121" s="1266" t="s">
        <v>1779</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3793240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37440</v>
      </c>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37440</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7234</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7234</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3113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8992</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488738</v>
      </c>
      <c r="G152" s="1574"/>
      <c r="H152" s="1575"/>
      <c r="I152" s="1575"/>
      <c r="J152" s="1575"/>
      <c r="K152" s="1575"/>
    </row>
    <row r="153" spans="1:11" ht="12.75" customHeight="1" x14ac:dyDescent="0.2">
      <c r="A153" s="427" t="s">
        <v>1050</v>
      </c>
      <c r="B153" s="478">
        <v>3510</v>
      </c>
      <c r="C153" s="1632"/>
      <c r="D153" s="1573"/>
      <c r="E153" s="1640"/>
      <c r="F153" s="1573">
        <v>140490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629228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f>750+110</f>
        <v>860</v>
      </c>
      <c r="D168" s="1655">
        <v>933</v>
      </c>
      <c r="E168" s="1655"/>
      <c r="F168" s="1655"/>
      <c r="G168" s="1656"/>
      <c r="H168" s="1657"/>
      <c r="I168" s="1656"/>
      <c r="J168" s="1656"/>
      <c r="K168" s="1657"/>
    </row>
    <row r="169" spans="1:11" ht="12.75" customHeight="1" thickTop="1" thickBot="1" x14ac:dyDescent="0.25">
      <c r="A169" s="2253" t="s">
        <v>395</v>
      </c>
      <c r="B169" s="2254"/>
      <c r="C169" s="1658">
        <f t="shared" ref="C169:K169" si="6">SUM(C132,C141,C145,C146:C150,C155,C156:C167,C168)</f>
        <v>57639</v>
      </c>
      <c r="D169" s="1658">
        <f t="shared" si="6"/>
        <v>933</v>
      </c>
      <c r="E169" s="1658">
        <f t="shared" si="6"/>
        <v>0</v>
      </c>
      <c r="F169" s="1658">
        <f t="shared" si="6"/>
        <v>629228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3850879</v>
      </c>
      <c r="D170" s="1641">
        <f t="shared" si="7"/>
        <v>933</v>
      </c>
      <c r="E170" s="1641">
        <f t="shared" si="7"/>
        <v>0</v>
      </c>
      <c r="F170" s="1641">
        <f t="shared" si="7"/>
        <v>629228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5" t="s">
        <v>1478</v>
      </c>
      <c r="B172" s="2256"/>
      <c r="C172" s="1616"/>
      <c r="D172" s="1616"/>
      <c r="E172" s="1609"/>
      <c r="F172" s="1575"/>
      <c r="G172" s="1575"/>
      <c r="H172" s="1575"/>
      <c r="I172" s="1575"/>
      <c r="J172" s="1575"/>
      <c r="K172" s="1575"/>
    </row>
    <row r="173" spans="1:11" ht="12.6" customHeight="1" x14ac:dyDescent="0.2">
      <c r="A173" s="436" t="s">
        <v>1037</v>
      </c>
      <c r="B173" s="435">
        <v>4001</v>
      </c>
      <c r="C173" s="1613">
        <v>253</v>
      </c>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9" t="s">
        <v>1649</v>
      </c>
      <c r="B175" s="2260"/>
      <c r="C175" s="1633">
        <f>SUM(C173:C174)</f>
        <v>253</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3" t="s">
        <v>1648</v>
      </c>
      <c r="B176" s="2264"/>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1" t="s">
        <v>780</v>
      </c>
      <c r="B181" s="2262"/>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7" t="s">
        <v>1781</v>
      </c>
      <c r="B182" s="2258"/>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119544</v>
      </c>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v>49379</v>
      </c>
      <c r="D193" s="1575"/>
      <c r="E193" s="1640"/>
      <c r="F193" s="1575"/>
      <c r="G193" s="1664"/>
      <c r="H193" s="1575"/>
      <c r="I193" s="1575"/>
      <c r="J193" s="1575"/>
      <c r="K193" s="1575"/>
    </row>
    <row r="194" spans="1:11" ht="12.75" customHeight="1" x14ac:dyDescent="0.2">
      <c r="A194" s="427" t="s">
        <v>1437</v>
      </c>
      <c r="B194" s="429">
        <v>4225</v>
      </c>
      <c r="C194" s="1632">
        <v>37709</v>
      </c>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206632</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352210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31951</v>
      </c>
      <c r="D203" s="1573"/>
      <c r="E203" s="1575"/>
      <c r="F203" s="1573">
        <v>1291</v>
      </c>
      <c r="G203" s="1573"/>
      <c r="H203" s="1575"/>
      <c r="I203" s="1575"/>
      <c r="J203" s="1575"/>
      <c r="K203" s="1575"/>
    </row>
    <row r="204" spans="1:11" ht="12.75" customHeight="1" thickBot="1" x14ac:dyDescent="0.25">
      <c r="A204" s="1406" t="s">
        <v>397</v>
      </c>
      <c r="B204" s="1407"/>
      <c r="C204" s="1633">
        <f>SUM(C200:C203)</f>
        <v>384161</v>
      </c>
      <c r="D204" s="1633">
        <f>SUM(D200:D203)</f>
        <v>0</v>
      </c>
      <c r="E204" s="1575"/>
      <c r="F204" s="1633">
        <f>SUM(F200:F203)</f>
        <v>1291</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v>15421</v>
      </c>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15421</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v>3421</v>
      </c>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165246</v>
      </c>
      <c r="D213" s="1573"/>
      <c r="E213" s="1575"/>
      <c r="F213" s="1573"/>
      <c r="G213" s="1573"/>
      <c r="H213" s="1575"/>
      <c r="I213" s="1575"/>
      <c r="J213" s="1575"/>
      <c r="K213" s="1575"/>
    </row>
    <row r="214" spans="1:11" ht="12.75" customHeight="1" x14ac:dyDescent="0.2">
      <c r="A214" s="427" t="s">
        <v>1047</v>
      </c>
      <c r="B214" s="429">
        <v>4625</v>
      </c>
      <c r="C214" s="1632">
        <v>11167</v>
      </c>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179834</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v>1808</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42224</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1897</v>
      </c>
      <c r="B261" s="429">
        <v>4981</v>
      </c>
      <c r="C261" s="1650"/>
      <c r="D261" s="1651"/>
      <c r="E261" s="1575"/>
      <c r="F261" s="1651"/>
      <c r="G261" s="1651"/>
      <c r="H261" s="1575"/>
      <c r="I261" s="1575"/>
      <c r="J261" s="1575"/>
      <c r="K261" s="1575"/>
    </row>
    <row r="262" spans="1:11" ht="12.75" customHeight="1" thickTop="1" thickBot="1" x14ac:dyDescent="0.25">
      <c r="A262" s="1540" t="s">
        <v>1898</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9869</v>
      </c>
      <c r="D263" s="1651"/>
      <c r="E263" s="1575"/>
      <c r="F263" s="1651"/>
      <c r="G263" s="1651"/>
      <c r="H263" s="1575"/>
      <c r="I263" s="1575"/>
      <c r="J263" s="1575"/>
      <c r="K263" s="1575"/>
    </row>
    <row r="264" spans="1:11" ht="12.75" customHeight="1" thickTop="1" thickBot="1" x14ac:dyDescent="0.25">
      <c r="A264" s="427" t="s">
        <v>374</v>
      </c>
      <c r="B264" s="429">
        <v>4992</v>
      </c>
      <c r="C264" s="1650">
        <v>56560</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896509</v>
      </c>
      <c r="D266" s="1641">
        <f t="shared" si="10"/>
        <v>0</v>
      </c>
      <c r="E266" s="1641">
        <f t="shared" si="10"/>
        <v>0</v>
      </c>
      <c r="F266" s="1641">
        <f t="shared" si="10"/>
        <v>1291</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896762</v>
      </c>
      <c r="D267" s="1641">
        <f>SUM(D175,D181,D266)</f>
        <v>0</v>
      </c>
      <c r="E267" s="1641">
        <f>SUM(E175,E266)</f>
        <v>0</v>
      </c>
      <c r="F267" s="1641">
        <f t="shared" ref="F267:K267" si="11">SUM(F175,F181,F266)</f>
        <v>1291</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8042954</v>
      </c>
      <c r="D268" s="1641">
        <f t="shared" si="12"/>
        <v>307202</v>
      </c>
      <c r="E268" s="1641">
        <f t="shared" si="12"/>
        <v>868762</v>
      </c>
      <c r="F268" s="1641">
        <f t="shared" si="12"/>
        <v>804154</v>
      </c>
      <c r="G268" s="1641">
        <f t="shared" si="12"/>
        <v>469917</v>
      </c>
      <c r="H268" s="1641">
        <f t="shared" si="12"/>
        <v>340721</v>
      </c>
      <c r="I268" s="1641">
        <f t="shared" si="12"/>
        <v>42024</v>
      </c>
      <c r="J268" s="1641">
        <f t="shared" si="12"/>
        <v>520482</v>
      </c>
      <c r="K268" s="1629">
        <f t="shared" si="12"/>
        <v>39684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17" right="0.15" top="0.74" bottom="0.5" header="0.51"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42" activePane="bottomLeft" state="frozen"/>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3" t="s">
        <v>1780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7"/>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3" t="s">
        <v>294</v>
      </c>
      <c r="B3" s="2274"/>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2146879</v>
      </c>
      <c r="D5" s="1573">
        <v>674785</v>
      </c>
      <c r="E5" s="1573">
        <v>59440</v>
      </c>
      <c r="F5" s="1573">
        <v>150504</v>
      </c>
      <c r="G5" s="1573">
        <v>171033</v>
      </c>
      <c r="H5" s="1573">
        <v>500</v>
      </c>
      <c r="I5" s="1574"/>
      <c r="J5" s="1574"/>
      <c r="K5" s="1672">
        <f>SUM(C5:J5)</f>
        <v>3203141</v>
      </c>
      <c r="L5" s="1573">
        <v>3307890</v>
      </c>
    </row>
    <row r="6" spans="1:14" x14ac:dyDescent="0.2">
      <c r="A6" s="1274" t="s">
        <v>1419</v>
      </c>
      <c r="B6" s="503" t="s">
        <v>1417</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562779</v>
      </c>
      <c r="D8" s="1573">
        <v>169127</v>
      </c>
      <c r="E8" s="1573">
        <v>1620</v>
      </c>
      <c r="F8" s="1573">
        <v>2542</v>
      </c>
      <c r="G8" s="1573"/>
      <c r="H8" s="1573"/>
      <c r="I8" s="1574"/>
      <c r="J8" s="1574"/>
      <c r="K8" s="1672">
        <f t="shared" si="0"/>
        <v>736068</v>
      </c>
      <c r="L8" s="1573">
        <v>625870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93916</v>
      </c>
      <c r="D10" s="1573">
        <v>39197</v>
      </c>
      <c r="E10" s="1573">
        <v>22558</v>
      </c>
      <c r="F10" s="1573">
        <v>97018</v>
      </c>
      <c r="G10" s="1573">
        <v>835</v>
      </c>
      <c r="H10" s="1573"/>
      <c r="I10" s="1574"/>
      <c r="J10" s="1574"/>
      <c r="K10" s="1672">
        <f t="shared" si="0"/>
        <v>253524</v>
      </c>
      <c r="L10" s="1573">
        <v>271410</v>
      </c>
    </row>
    <row r="11" spans="1:14" x14ac:dyDescent="0.2">
      <c r="A11" s="1274" t="s">
        <v>1122</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215897</v>
      </c>
      <c r="D13" s="1573">
        <v>58363</v>
      </c>
      <c r="E13" s="1573">
        <v>492</v>
      </c>
      <c r="F13" s="1573">
        <v>9279</v>
      </c>
      <c r="G13" s="1573">
        <v>1380</v>
      </c>
      <c r="H13" s="1573"/>
      <c r="I13" s="1574"/>
      <c r="J13" s="1574"/>
      <c r="K13" s="1672">
        <f t="shared" si="0"/>
        <v>285411</v>
      </c>
      <c r="L13" s="1573">
        <v>278542</v>
      </c>
    </row>
    <row r="14" spans="1:14" x14ac:dyDescent="0.2">
      <c r="A14" s="1274" t="s">
        <v>957</v>
      </c>
      <c r="B14" s="503">
        <v>1500</v>
      </c>
      <c r="C14" s="1573">
        <v>88657</v>
      </c>
      <c r="D14" s="1573">
        <v>27415</v>
      </c>
      <c r="E14" s="1573">
        <v>36670</v>
      </c>
      <c r="F14" s="1573">
        <v>13853</v>
      </c>
      <c r="G14" s="1573">
        <v>23584</v>
      </c>
      <c r="H14" s="1573"/>
      <c r="I14" s="1574"/>
      <c r="J14" s="1574"/>
      <c r="K14" s="1672">
        <f t="shared" si="0"/>
        <v>190179</v>
      </c>
      <c r="L14" s="1573">
        <v>191870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1080</v>
      </c>
      <c r="B18" s="503">
        <v>1800</v>
      </c>
      <c r="C18" s="1573">
        <v>36497</v>
      </c>
      <c r="D18" s="1573">
        <v>5713</v>
      </c>
      <c r="E18" s="1573">
        <v>572</v>
      </c>
      <c r="F18" s="1573">
        <v>6975</v>
      </c>
      <c r="G18" s="1573"/>
      <c r="H18" s="1573"/>
      <c r="I18" s="1574"/>
      <c r="J18" s="1574"/>
      <c r="K18" s="1672">
        <f t="shared" si="0"/>
        <v>49757</v>
      </c>
      <c r="L18" s="1573">
        <v>49981</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3144625</v>
      </c>
      <c r="D33" s="1674">
        <f t="shared" ref="D33:L33" si="1">SUM(D5:D32)</f>
        <v>974600</v>
      </c>
      <c r="E33" s="1674">
        <f t="shared" si="1"/>
        <v>121352</v>
      </c>
      <c r="F33" s="1674">
        <f t="shared" si="1"/>
        <v>280171</v>
      </c>
      <c r="G33" s="1674">
        <f t="shared" si="1"/>
        <v>196832</v>
      </c>
      <c r="H33" s="1674">
        <f t="shared" si="1"/>
        <v>500</v>
      </c>
      <c r="I33" s="1674">
        <f t="shared" si="1"/>
        <v>0</v>
      </c>
      <c r="J33" s="1674">
        <f t="shared" si="1"/>
        <v>0</v>
      </c>
      <c r="K33" s="1674">
        <f t="shared" si="1"/>
        <v>4718080</v>
      </c>
      <c r="L33" s="1674">
        <f t="shared" si="1"/>
        <v>4725563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c r="D36" s="1586"/>
      <c r="E36" s="1586"/>
      <c r="F36" s="1586"/>
      <c r="G36" s="1586"/>
      <c r="H36" s="1586"/>
      <c r="I36" s="1574"/>
      <c r="J36" s="1574"/>
      <c r="K36" s="1672">
        <f t="shared" ref="K36:K41" si="2">SUM(C36:J36)</f>
        <v>0</v>
      </c>
      <c r="L36" s="1573"/>
    </row>
    <row r="37" spans="1:14" x14ac:dyDescent="0.2">
      <c r="A37" s="1274" t="s">
        <v>1083</v>
      </c>
      <c r="B37" s="503">
        <v>2120</v>
      </c>
      <c r="C37" s="1573">
        <v>93648</v>
      </c>
      <c r="D37" s="1573">
        <v>25455</v>
      </c>
      <c r="E37" s="1573">
        <v>1556</v>
      </c>
      <c r="F37" s="1573"/>
      <c r="G37" s="1573"/>
      <c r="H37" s="1573"/>
      <c r="I37" s="1574"/>
      <c r="J37" s="1574"/>
      <c r="K37" s="1672">
        <f t="shared" si="2"/>
        <v>120659</v>
      </c>
      <c r="L37" s="1573">
        <v>123465</v>
      </c>
    </row>
    <row r="38" spans="1:14" x14ac:dyDescent="0.2">
      <c r="A38" s="1274" t="s">
        <v>196</v>
      </c>
      <c r="B38" s="503">
        <v>2130</v>
      </c>
      <c r="C38" s="1573">
        <v>25692</v>
      </c>
      <c r="D38" s="1573">
        <v>8154</v>
      </c>
      <c r="E38" s="1573">
        <v>268</v>
      </c>
      <c r="F38" s="1573">
        <v>1529</v>
      </c>
      <c r="G38" s="1573"/>
      <c r="H38" s="1573"/>
      <c r="I38" s="1574"/>
      <c r="J38" s="1574"/>
      <c r="K38" s="1672">
        <f t="shared" si="2"/>
        <v>35643</v>
      </c>
      <c r="L38" s="1573">
        <v>46100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56286</v>
      </c>
      <c r="D40" s="1573">
        <v>17888</v>
      </c>
      <c r="E40" s="1573"/>
      <c r="F40" s="1573">
        <v>576</v>
      </c>
      <c r="G40" s="1573"/>
      <c r="H40" s="1573"/>
      <c r="I40" s="1574"/>
      <c r="J40" s="1574"/>
      <c r="K40" s="1672">
        <f t="shared" si="2"/>
        <v>74750</v>
      </c>
      <c r="L40" s="1573">
        <v>62060</v>
      </c>
    </row>
    <row r="41" spans="1:14" x14ac:dyDescent="0.2">
      <c r="A41" s="1274" t="s">
        <v>1653</v>
      </c>
      <c r="B41" s="503">
        <v>2190</v>
      </c>
      <c r="C41" s="1573">
        <v>6543</v>
      </c>
      <c r="D41" s="1573">
        <v>4470</v>
      </c>
      <c r="E41" s="1573"/>
      <c r="F41" s="1573"/>
      <c r="G41" s="1573"/>
      <c r="H41" s="1573"/>
      <c r="I41" s="1574"/>
      <c r="J41" s="1574"/>
      <c r="K41" s="1672">
        <f t="shared" si="2"/>
        <v>11013</v>
      </c>
      <c r="L41" s="1573">
        <v>40000</v>
      </c>
    </row>
    <row r="42" spans="1:14" ht="12.75" customHeight="1" thickBot="1" x14ac:dyDescent="0.25">
      <c r="A42" s="1380" t="s">
        <v>556</v>
      </c>
      <c r="B42" s="1381" t="s">
        <v>711</v>
      </c>
      <c r="C42" s="1674">
        <f>SUM(C36:C41)</f>
        <v>182169</v>
      </c>
      <c r="D42" s="1674">
        <f t="shared" ref="D42:L42" si="3">SUM(D36:D41)</f>
        <v>55967</v>
      </c>
      <c r="E42" s="1674">
        <f t="shared" si="3"/>
        <v>1824</v>
      </c>
      <c r="F42" s="1674">
        <f t="shared" si="3"/>
        <v>2105</v>
      </c>
      <c r="G42" s="1674">
        <f t="shared" si="3"/>
        <v>0</v>
      </c>
      <c r="H42" s="1674">
        <f t="shared" si="3"/>
        <v>0</v>
      </c>
      <c r="I42" s="1674">
        <f t="shared" si="3"/>
        <v>0</v>
      </c>
      <c r="J42" s="1674">
        <f t="shared" si="3"/>
        <v>0</v>
      </c>
      <c r="K42" s="1674">
        <f t="shared" si="3"/>
        <v>242065</v>
      </c>
      <c r="L42" s="1674">
        <f t="shared" si="3"/>
        <v>271625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121510</v>
      </c>
      <c r="D44" s="1586">
        <v>34283</v>
      </c>
      <c r="E44" s="1586">
        <v>68562</v>
      </c>
      <c r="F44" s="1586">
        <v>88333</v>
      </c>
      <c r="G44" s="1586">
        <v>11644</v>
      </c>
      <c r="H44" s="1586">
        <v>184</v>
      </c>
      <c r="I44" s="1574"/>
      <c r="J44" s="1574"/>
      <c r="K44" s="1678">
        <f>SUM(C44:J44)</f>
        <v>324516</v>
      </c>
      <c r="L44" s="1586">
        <v>347030</v>
      </c>
    </row>
    <row r="45" spans="1:14" x14ac:dyDescent="0.2">
      <c r="A45" s="1274" t="s">
        <v>810</v>
      </c>
      <c r="B45" s="503">
        <v>2220</v>
      </c>
      <c r="C45" s="1573">
        <v>64331</v>
      </c>
      <c r="D45" s="1573">
        <v>13613</v>
      </c>
      <c r="E45" s="1573">
        <v>18480</v>
      </c>
      <c r="F45" s="1573">
        <v>10927</v>
      </c>
      <c r="G45" s="1573">
        <v>12588</v>
      </c>
      <c r="H45" s="1573"/>
      <c r="I45" s="1574"/>
      <c r="J45" s="1574"/>
      <c r="K45" s="1678">
        <f>SUM(C45:J45)</f>
        <v>119939</v>
      </c>
      <c r="L45" s="1573">
        <v>121944</v>
      </c>
    </row>
    <row r="46" spans="1:14" x14ac:dyDescent="0.2">
      <c r="A46" s="1274" t="s">
        <v>811</v>
      </c>
      <c r="B46" s="503">
        <v>2230</v>
      </c>
      <c r="C46" s="1573"/>
      <c r="D46" s="1573"/>
      <c r="E46" s="1573"/>
      <c r="F46" s="1573">
        <v>0</v>
      </c>
      <c r="G46" s="1573"/>
      <c r="H46" s="1573"/>
      <c r="I46" s="1574"/>
      <c r="J46" s="1574"/>
      <c r="K46" s="1678">
        <f>SUM(C46:J46)</f>
        <v>0</v>
      </c>
      <c r="L46" s="1573">
        <v>24770</v>
      </c>
    </row>
    <row r="47" spans="1:14" ht="12.75" customHeight="1" thickBot="1" x14ac:dyDescent="0.25">
      <c r="A47" s="1380" t="s">
        <v>557</v>
      </c>
      <c r="B47" s="1381" t="s">
        <v>32</v>
      </c>
      <c r="C47" s="1674">
        <f>SUM(C44:C46)</f>
        <v>185841</v>
      </c>
      <c r="D47" s="1674">
        <f t="shared" ref="D47:K47" si="4">SUM(D44:D46)</f>
        <v>47896</v>
      </c>
      <c r="E47" s="1674">
        <f t="shared" si="4"/>
        <v>87042</v>
      </c>
      <c r="F47" s="1674">
        <f t="shared" si="4"/>
        <v>99260</v>
      </c>
      <c r="G47" s="1674">
        <f t="shared" si="4"/>
        <v>24232</v>
      </c>
      <c r="H47" s="1674">
        <f t="shared" si="4"/>
        <v>184</v>
      </c>
      <c r="I47" s="1674">
        <f t="shared" si="4"/>
        <v>0</v>
      </c>
      <c r="J47" s="1674">
        <f t="shared" si="4"/>
        <v>0</v>
      </c>
      <c r="K47" s="1674">
        <f t="shared" si="4"/>
        <v>444455</v>
      </c>
      <c r="L47" s="1674">
        <f>SUM(L44:L46)</f>
        <v>493744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3465</v>
      </c>
      <c r="D49" s="1586"/>
      <c r="E49" s="1586">
        <v>22775</v>
      </c>
      <c r="F49" s="1586">
        <v>3494</v>
      </c>
      <c r="G49" s="1586"/>
      <c r="H49" s="1586">
        <v>4448</v>
      </c>
      <c r="I49" s="1574"/>
      <c r="J49" s="1574"/>
      <c r="K49" s="1678">
        <f>SUM(C49:J49)</f>
        <v>34182</v>
      </c>
      <c r="L49" s="1586">
        <v>46465</v>
      </c>
    </row>
    <row r="50" spans="1:14" x14ac:dyDescent="0.2">
      <c r="A50" s="1274" t="s">
        <v>813</v>
      </c>
      <c r="B50" s="503">
        <v>2320</v>
      </c>
      <c r="C50" s="1573">
        <v>98444</v>
      </c>
      <c r="D50" s="1573">
        <v>38972</v>
      </c>
      <c r="E50" s="1573">
        <v>8679</v>
      </c>
      <c r="F50" s="1573">
        <v>1278</v>
      </c>
      <c r="G50" s="1573"/>
      <c r="H50" s="1573"/>
      <c r="I50" s="1574"/>
      <c r="J50" s="1574"/>
      <c r="K50" s="1678">
        <f>SUM(C50:J50)</f>
        <v>147373</v>
      </c>
      <c r="L50" s="1573">
        <v>146850</v>
      </c>
    </row>
    <row r="51" spans="1:14" x14ac:dyDescent="0.2">
      <c r="A51" s="1274" t="s">
        <v>42</v>
      </c>
      <c r="B51" s="503">
        <v>2330</v>
      </c>
      <c r="C51" s="1573">
        <v>6000</v>
      </c>
      <c r="D51" s="1573">
        <v>1493</v>
      </c>
      <c r="E51" s="1573"/>
      <c r="F51" s="1573"/>
      <c r="G51" s="1573"/>
      <c r="H51" s="1573"/>
      <c r="I51" s="1574"/>
      <c r="J51" s="1574"/>
      <c r="K51" s="1678">
        <f>SUM(C51:J51)</f>
        <v>7493</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107909</v>
      </c>
      <c r="D53" s="1674">
        <f t="shared" ref="D53:L53" si="5">SUM(D49:D52)</f>
        <v>40465</v>
      </c>
      <c r="E53" s="1674">
        <f t="shared" si="5"/>
        <v>31454</v>
      </c>
      <c r="F53" s="1674">
        <f t="shared" si="5"/>
        <v>4772</v>
      </c>
      <c r="G53" s="1674">
        <f t="shared" si="5"/>
        <v>0</v>
      </c>
      <c r="H53" s="1674">
        <f t="shared" si="5"/>
        <v>4448</v>
      </c>
      <c r="I53" s="1674">
        <f t="shared" si="5"/>
        <v>0</v>
      </c>
      <c r="J53" s="1674">
        <f t="shared" si="5"/>
        <v>0</v>
      </c>
      <c r="K53" s="1674">
        <f t="shared" si="5"/>
        <v>189048</v>
      </c>
      <c r="L53" s="1674">
        <f t="shared" si="5"/>
        <v>193315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410022</v>
      </c>
      <c r="D55" s="1586">
        <v>116300</v>
      </c>
      <c r="E55" s="1586">
        <v>5681</v>
      </c>
      <c r="F55" s="1586">
        <v>1216</v>
      </c>
      <c r="G55" s="1586"/>
      <c r="H55" s="1586"/>
      <c r="I55" s="1574"/>
      <c r="J55" s="1574"/>
      <c r="K55" s="1678">
        <f>SUM(C55:J55)</f>
        <v>533219</v>
      </c>
      <c r="L55" s="1586">
        <v>554150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410022</v>
      </c>
      <c r="D57" s="1679">
        <f t="shared" ref="D57:K57" si="6">SUM(D55:D56)</f>
        <v>116300</v>
      </c>
      <c r="E57" s="1679">
        <f t="shared" si="6"/>
        <v>5681</v>
      </c>
      <c r="F57" s="1679">
        <f t="shared" si="6"/>
        <v>1216</v>
      </c>
      <c r="G57" s="1679">
        <f t="shared" si="6"/>
        <v>0</v>
      </c>
      <c r="H57" s="1679">
        <f t="shared" si="6"/>
        <v>0</v>
      </c>
      <c r="I57" s="1679">
        <f t="shared" si="6"/>
        <v>0</v>
      </c>
      <c r="J57" s="1679">
        <f t="shared" si="6"/>
        <v>0</v>
      </c>
      <c r="K57" s="1679">
        <f t="shared" si="6"/>
        <v>533219</v>
      </c>
      <c r="L57" s="1674">
        <f>SUM(L55:L56)</f>
        <v>554150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92925</v>
      </c>
      <c r="D60" s="1573">
        <v>19702</v>
      </c>
      <c r="E60" s="1573">
        <v>13840</v>
      </c>
      <c r="F60" s="1573">
        <v>3072</v>
      </c>
      <c r="G60" s="1573">
        <v>0</v>
      </c>
      <c r="H60" s="1573"/>
      <c r="I60" s="1574"/>
      <c r="J60" s="1574"/>
      <c r="K60" s="1678">
        <f t="shared" si="7"/>
        <v>129539</v>
      </c>
      <c r="L60" s="1573">
        <v>127200</v>
      </c>
      <c r="M60" s="501"/>
      <c r="N60" s="501"/>
    </row>
    <row r="61" spans="1:14" s="321" customFormat="1" x14ac:dyDescent="0.2">
      <c r="A61" s="1274" t="s">
        <v>195</v>
      </c>
      <c r="B61" s="503">
        <v>2540</v>
      </c>
      <c r="C61" s="1573">
        <v>155807</v>
      </c>
      <c r="D61" s="1573">
        <v>56431</v>
      </c>
      <c r="E61" s="1573"/>
      <c r="F61" s="1573"/>
      <c r="G61" s="1573"/>
      <c r="H61" s="1573"/>
      <c r="I61" s="1574"/>
      <c r="J61" s="1574"/>
      <c r="K61" s="1678">
        <f t="shared" si="7"/>
        <v>212238</v>
      </c>
      <c r="L61" s="1573">
        <v>216600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82204</v>
      </c>
      <c r="D63" s="1573">
        <v>42977</v>
      </c>
      <c r="E63" s="1573">
        <v>1863</v>
      </c>
      <c r="F63" s="1573">
        <v>130947</v>
      </c>
      <c r="G63" s="1573">
        <v>7055</v>
      </c>
      <c r="H63" s="1573"/>
      <c r="I63" s="1574"/>
      <c r="J63" s="1574"/>
      <c r="K63" s="1678">
        <f t="shared" si="7"/>
        <v>265046</v>
      </c>
      <c r="L63" s="1573">
        <v>283000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330936</v>
      </c>
      <c r="D65" s="1674">
        <f t="shared" ref="D65:L65" si="8">SUM(D59:D64)</f>
        <v>119110</v>
      </c>
      <c r="E65" s="1674">
        <f t="shared" si="8"/>
        <v>15703</v>
      </c>
      <c r="F65" s="1674">
        <f t="shared" si="8"/>
        <v>134019</v>
      </c>
      <c r="G65" s="1674">
        <f t="shared" si="8"/>
        <v>7055</v>
      </c>
      <c r="H65" s="1674">
        <f t="shared" si="8"/>
        <v>0</v>
      </c>
      <c r="I65" s="1674">
        <f t="shared" si="8"/>
        <v>0</v>
      </c>
      <c r="J65" s="1674">
        <f t="shared" si="8"/>
        <v>0</v>
      </c>
      <c r="K65" s="1674">
        <f t="shared" si="8"/>
        <v>606823</v>
      </c>
      <c r="L65" s="1674">
        <f t="shared" si="8"/>
        <v>626800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1054</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v>15</v>
      </c>
      <c r="F73" s="1649">
        <v>0</v>
      </c>
      <c r="G73" s="1649"/>
      <c r="H73" s="1649"/>
      <c r="I73" s="1627"/>
      <c r="J73" s="1627"/>
      <c r="K73" s="1674">
        <f>SUM(C73:J73)</f>
        <v>15</v>
      </c>
      <c r="L73" s="1651">
        <v>75</v>
      </c>
      <c r="M73" s="501"/>
      <c r="N73" s="501"/>
    </row>
    <row r="74" spans="1:14" ht="12.75" customHeight="1" thickTop="1" thickBot="1" x14ac:dyDescent="0.25">
      <c r="A74" s="1380" t="s">
        <v>806</v>
      </c>
      <c r="B74" s="1384">
        <v>2000</v>
      </c>
      <c r="C74" s="1681">
        <f>SUM(C42,C47,C53,C57,C65,C72,C73)</f>
        <v>1216877</v>
      </c>
      <c r="D74" s="1681">
        <f t="shared" ref="D74:K74" si="10">SUM(D42,D47,D53,D57,D65,D72,D73)</f>
        <v>379738</v>
      </c>
      <c r="E74" s="1681">
        <f t="shared" si="10"/>
        <v>141719</v>
      </c>
      <c r="F74" s="1681">
        <f t="shared" si="10"/>
        <v>241372</v>
      </c>
      <c r="G74" s="1681">
        <f t="shared" si="10"/>
        <v>31287</v>
      </c>
      <c r="H74" s="1681">
        <f t="shared" si="10"/>
        <v>4632</v>
      </c>
      <c r="I74" s="1681">
        <f t="shared" si="10"/>
        <v>0</v>
      </c>
      <c r="J74" s="1681">
        <f t="shared" si="10"/>
        <v>0</v>
      </c>
      <c r="K74" s="1681">
        <f t="shared" si="10"/>
        <v>2015625</v>
      </c>
      <c r="L74" s="1681">
        <f>SUM(L42,L47,L53,L57,L65,L72,L73)</f>
        <v>2139709</v>
      </c>
    </row>
    <row r="75" spans="1:14" s="254" customFormat="1" ht="15.75" customHeight="1" thickTop="1" thickBot="1" x14ac:dyDescent="0.25">
      <c r="A75" s="1348" t="s">
        <v>47</v>
      </c>
      <c r="B75" s="1349" t="s">
        <v>571</v>
      </c>
      <c r="C75" s="1649">
        <v>1425</v>
      </c>
      <c r="D75" s="1649"/>
      <c r="E75" s="1649">
        <v>30</v>
      </c>
      <c r="F75" s="1649">
        <v>103</v>
      </c>
      <c r="G75" s="1649"/>
      <c r="H75" s="1649"/>
      <c r="I75" s="1627"/>
      <c r="J75" s="1627"/>
      <c r="K75" s="1674">
        <f>SUM(C75:J75)</f>
        <v>1558</v>
      </c>
      <c r="L75" s="1651">
        <v>2990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206567</v>
      </c>
      <c r="F79" s="1673"/>
      <c r="G79" s="1673"/>
      <c r="H79" s="1573">
        <v>356675</v>
      </c>
      <c r="I79" s="1582"/>
      <c r="J79" s="1582"/>
      <c r="K79" s="1672">
        <f t="shared" si="11"/>
        <v>563242</v>
      </c>
      <c r="L79" s="1573">
        <v>568450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1471</v>
      </c>
      <c r="B84" s="1385">
        <v>4100</v>
      </c>
      <c r="C84" s="1673"/>
      <c r="D84" s="1673"/>
      <c r="E84" s="1674">
        <f>SUM(E78:E83)</f>
        <v>206567</v>
      </c>
      <c r="F84" s="1673"/>
      <c r="G84" s="1673"/>
      <c r="H84" s="1674">
        <f>SUM(H78:H83)</f>
        <v>356675</v>
      </c>
      <c r="I84" s="1582"/>
      <c r="J84" s="1582"/>
      <c r="K84" s="1674">
        <f>SUM(K78:K83)</f>
        <v>563242</v>
      </c>
      <c r="L84" s="1674">
        <f>SUM(L78:L83)</f>
        <v>568450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1546</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1474</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206567</v>
      </c>
      <c r="F102" s="1673"/>
      <c r="G102" s="1673"/>
      <c r="H102" s="1681">
        <f>SUM(H84,H92,H100,H101)</f>
        <v>356675</v>
      </c>
      <c r="I102" s="1582"/>
      <c r="J102" s="1582"/>
      <c r="K102" s="1681">
        <f>SUM(K84,K92,K100,K101)</f>
        <v>563242</v>
      </c>
      <c r="L102" s="1681">
        <f>SUM(L84,L92,L100,L101)</f>
        <v>568450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4362927</v>
      </c>
      <c r="D114" s="1674">
        <f t="shared" ref="D114:K114" si="13">SUM(D33,D74,D75,D102,D112,D113)</f>
        <v>1354338</v>
      </c>
      <c r="E114" s="1674">
        <f t="shared" si="13"/>
        <v>469668</v>
      </c>
      <c r="F114" s="1674">
        <f t="shared" si="13"/>
        <v>521646</v>
      </c>
      <c r="G114" s="1674">
        <f t="shared" si="13"/>
        <v>228119</v>
      </c>
      <c r="H114" s="1674">
        <f>SUM(H33,H74,H75,H102,H112,H113)</f>
        <v>361807</v>
      </c>
      <c r="I114" s="1674">
        <f t="shared" si="13"/>
        <v>0</v>
      </c>
      <c r="J114" s="1674">
        <f t="shared" si="13"/>
        <v>0</v>
      </c>
      <c r="K114" s="1674">
        <f t="shared" si="13"/>
        <v>7298505</v>
      </c>
      <c r="L114" s="1674">
        <f>SUM(L33,L74,L75,L102,L112,L113)</f>
        <v>7436712</v>
      </c>
    </row>
    <row r="115" spans="1:14" ht="13.5" thickTop="1" x14ac:dyDescent="0.2">
      <c r="A115" s="2265" t="s">
        <v>989</v>
      </c>
      <c r="B115" s="2266"/>
      <c r="C115" s="1675"/>
      <c r="D115" s="1675"/>
      <c r="E115" s="1675"/>
      <c r="F115" s="1675"/>
      <c r="G115" s="1675"/>
      <c r="H115" s="1675"/>
      <c r="I115" s="1675"/>
      <c r="J115" s="1675"/>
      <c r="K115" s="1689">
        <f>'Revenues 9-14'!C268-'Expenditures 15-22'!K114</f>
        <v>744449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0" t="s">
        <v>293</v>
      </c>
      <c r="B117" s="2271"/>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1964</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933</v>
      </c>
      <c r="F123" s="1573"/>
      <c r="G123" s="1573"/>
      <c r="H123" s="1573"/>
      <c r="I123" s="1574"/>
      <c r="J123" s="1574"/>
      <c r="K123" s="1674">
        <f>SUM(C123:J123)</f>
        <v>933</v>
      </c>
      <c r="L123" s="1573"/>
    </row>
    <row r="124" spans="1:14" ht="14.25" thickTop="1" thickBot="1" x14ac:dyDescent="0.25">
      <c r="A124" s="1274" t="s">
        <v>195</v>
      </c>
      <c r="B124" s="503">
        <v>2540</v>
      </c>
      <c r="C124" s="1573">
        <v>32874</v>
      </c>
      <c r="D124" s="1573">
        <v>12</v>
      </c>
      <c r="E124" s="1573">
        <v>86304</v>
      </c>
      <c r="F124" s="1573">
        <v>232863</v>
      </c>
      <c r="G124" s="1573">
        <v>42463</v>
      </c>
      <c r="H124" s="1573"/>
      <c r="I124" s="1574"/>
      <c r="J124" s="1574"/>
      <c r="K124" s="1674">
        <f>SUM(C124:J124)</f>
        <v>394516</v>
      </c>
      <c r="L124" s="1573">
        <v>404012</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32874</v>
      </c>
      <c r="D127" s="1674">
        <f t="shared" ref="D127:L127" si="14">SUM(D122:D126)</f>
        <v>12</v>
      </c>
      <c r="E127" s="1674">
        <f t="shared" si="14"/>
        <v>87237</v>
      </c>
      <c r="F127" s="1674">
        <f t="shared" si="14"/>
        <v>232863</v>
      </c>
      <c r="G127" s="1674">
        <f t="shared" si="14"/>
        <v>42463</v>
      </c>
      <c r="H127" s="1674">
        <f t="shared" si="14"/>
        <v>0</v>
      </c>
      <c r="I127" s="1674">
        <f t="shared" si="14"/>
        <v>0</v>
      </c>
      <c r="J127" s="1674">
        <f t="shared" si="14"/>
        <v>0</v>
      </c>
      <c r="K127" s="1674">
        <f t="shared" si="14"/>
        <v>395449</v>
      </c>
      <c r="L127" s="1674">
        <f t="shared" si="14"/>
        <v>404012</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32874</v>
      </c>
      <c r="D129" s="1681">
        <f t="shared" ref="D129:L129" si="15">SUM(D120,D127,D128)</f>
        <v>12</v>
      </c>
      <c r="E129" s="1681">
        <f t="shared" si="15"/>
        <v>87237</v>
      </c>
      <c r="F129" s="1681">
        <f t="shared" si="15"/>
        <v>232863</v>
      </c>
      <c r="G129" s="1681">
        <f t="shared" si="15"/>
        <v>42463</v>
      </c>
      <c r="H129" s="1681">
        <f t="shared" si="15"/>
        <v>0</v>
      </c>
      <c r="I129" s="1681">
        <f t="shared" si="15"/>
        <v>0</v>
      </c>
      <c r="J129" s="1681">
        <f t="shared" si="15"/>
        <v>0</v>
      </c>
      <c r="K129" s="1681">
        <f t="shared" si="15"/>
        <v>395449</v>
      </c>
      <c r="L129" s="1681">
        <f t="shared" si="15"/>
        <v>404012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1817</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2" t="s">
        <v>616</v>
      </c>
      <c r="B151" s="2262"/>
      <c r="C151" s="1674">
        <f>SUM(C129,C130,C139,C149,C150)</f>
        <v>32874</v>
      </c>
      <c r="D151" s="1674">
        <f t="shared" ref="D151:K151" si="16">SUM(D129,D130,D139,D149,D150)</f>
        <v>12</v>
      </c>
      <c r="E151" s="1674">
        <f t="shared" si="16"/>
        <v>87237</v>
      </c>
      <c r="F151" s="1674">
        <f t="shared" si="16"/>
        <v>232863</v>
      </c>
      <c r="G151" s="1674">
        <f t="shared" si="16"/>
        <v>42463</v>
      </c>
      <c r="H151" s="1674">
        <f t="shared" si="16"/>
        <v>0</v>
      </c>
      <c r="I151" s="1674">
        <f t="shared" si="16"/>
        <v>0</v>
      </c>
      <c r="J151" s="1674">
        <f t="shared" si="16"/>
        <v>0</v>
      </c>
      <c r="K151" s="1674">
        <f t="shared" si="16"/>
        <v>395449</v>
      </c>
      <c r="L151" s="1674">
        <f>SUM(L129,L130,L139,L149,L150)</f>
        <v>404012</v>
      </c>
    </row>
    <row r="152" spans="1:14" ht="12.75" customHeight="1" thickTop="1" x14ac:dyDescent="0.2">
      <c r="A152" s="2285" t="s">
        <v>1170</v>
      </c>
      <c r="B152" s="2286"/>
      <c r="C152" s="1675"/>
      <c r="D152" s="1675"/>
      <c r="E152" s="1675"/>
      <c r="F152" s="1675"/>
      <c r="G152" s="1675"/>
      <c r="H152" s="1675"/>
      <c r="I152" s="1675"/>
      <c r="J152" s="1673"/>
      <c r="K152" s="1689">
        <f>'Revenues 9-14'!D268-'Expenditures 15-22'!K151</f>
        <v>-88247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0" t="s">
        <v>617</v>
      </c>
      <c r="B154" s="227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1818</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1817</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1819</v>
      </c>
      <c r="C158" s="1673"/>
      <c r="D158" s="1673"/>
      <c r="E158" s="1673"/>
      <c r="F158" s="1673"/>
      <c r="G158" s="1673"/>
      <c r="H158" s="1574"/>
      <c r="I158" s="1673"/>
      <c r="J158" s="1673"/>
      <c r="K158" s="1672">
        <f>H158</f>
        <v>0</v>
      </c>
      <c r="L158" s="1574"/>
      <c r="M158" s="505"/>
      <c r="N158" s="505"/>
    </row>
    <row r="159" spans="1:14" s="506" customFormat="1" ht="12" x14ac:dyDescent="0.2">
      <c r="A159" s="1462" t="s">
        <v>1820</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1821</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170366</v>
      </c>
      <c r="I169" s="1673"/>
      <c r="J169" s="1673"/>
      <c r="K169" s="1672">
        <f>SUM(C169:H169)</f>
        <v>170366</v>
      </c>
      <c r="L169" s="1695">
        <v>129925</v>
      </c>
    </row>
    <row r="170" spans="1:14" ht="33.75" customHeight="1" x14ac:dyDescent="0.2">
      <c r="A170" s="543" t="s">
        <v>1654</v>
      </c>
      <c r="B170" s="545" t="s">
        <v>31</v>
      </c>
      <c r="C170" s="1673"/>
      <c r="D170" s="1673"/>
      <c r="E170" s="1673"/>
      <c r="F170" s="1673"/>
      <c r="G170" s="1673"/>
      <c r="H170" s="1646">
        <v>692300</v>
      </c>
      <c r="I170" s="1673"/>
      <c r="J170" s="1673"/>
      <c r="K170" s="1672">
        <f>SUM(C170:J170)</f>
        <v>692300</v>
      </c>
      <c r="L170" s="1646">
        <v>692300</v>
      </c>
    </row>
    <row r="171" spans="1:14" ht="15.75" customHeight="1" x14ac:dyDescent="0.2">
      <c r="A171" s="507" t="s">
        <v>761</v>
      </c>
      <c r="B171" s="546" t="s">
        <v>84</v>
      </c>
      <c r="C171" s="1673"/>
      <c r="D171" s="1673"/>
      <c r="E171" s="1573"/>
      <c r="F171" s="1673"/>
      <c r="G171" s="1673"/>
      <c r="H171" s="1646"/>
      <c r="I171" s="1582"/>
      <c r="J171" s="1673"/>
      <c r="K171" s="1672">
        <f>SUM(C171:J171)</f>
        <v>0</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862666</v>
      </c>
      <c r="I172" s="1684"/>
      <c r="J172" s="1673"/>
      <c r="K172" s="1681">
        <f>SUM(K168,K169,K170,K171)</f>
        <v>862666</v>
      </c>
      <c r="L172" s="1681">
        <f>SUM(L168,L169,L170,L171)</f>
        <v>823225</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862666</v>
      </c>
      <c r="I174" s="1684"/>
      <c r="J174" s="1673"/>
      <c r="K174" s="1681">
        <f>SUM(K160,K172,K173)</f>
        <v>862666</v>
      </c>
      <c r="L174" s="1681">
        <f>SUM(L160,L172,L173)</f>
        <v>823225</v>
      </c>
    </row>
    <row r="175" spans="1:14" ht="13.5" thickTop="1" x14ac:dyDescent="0.2">
      <c r="A175" s="2265" t="s">
        <v>989</v>
      </c>
      <c r="B175" s="2266"/>
      <c r="C175" s="1673"/>
      <c r="D175" s="1673"/>
      <c r="E175" s="1673"/>
      <c r="F175" s="1673"/>
      <c r="G175" s="1673"/>
      <c r="H175" s="1675"/>
      <c r="I175" s="1673"/>
      <c r="J175" s="1673"/>
      <c r="K175" s="1689">
        <f>'Revenues 9-14'!E268-'Expenditures 15-22'!K174</f>
        <v>6096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1964</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361275</v>
      </c>
      <c r="D182" s="1573">
        <v>113150</v>
      </c>
      <c r="E182" s="1573">
        <v>27184</v>
      </c>
      <c r="F182" s="1573">
        <v>124270</v>
      </c>
      <c r="G182" s="1573">
        <v>184535</v>
      </c>
      <c r="H182" s="1573"/>
      <c r="I182" s="1574"/>
      <c r="J182" s="1574"/>
      <c r="K182" s="1672">
        <f>SUM(C182:J182)</f>
        <v>810414</v>
      </c>
      <c r="L182" s="1573">
        <v>912050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361275</v>
      </c>
      <c r="D184" s="1681">
        <f t="shared" ref="D184:J184" si="17">SUM(D180,D182,D183)</f>
        <v>113150</v>
      </c>
      <c r="E184" s="1681">
        <f t="shared" si="17"/>
        <v>27184</v>
      </c>
      <c r="F184" s="1681">
        <f t="shared" si="17"/>
        <v>124270</v>
      </c>
      <c r="G184" s="1681">
        <f t="shared" si="17"/>
        <v>184535</v>
      </c>
      <c r="H184" s="1681">
        <f t="shared" si="17"/>
        <v>0</v>
      </c>
      <c r="I184" s="1681">
        <f t="shared" si="17"/>
        <v>0</v>
      </c>
      <c r="J184" s="1681">
        <f t="shared" si="17"/>
        <v>0</v>
      </c>
      <c r="K184" s="1681">
        <f>SUM(K180,K182,K183)</f>
        <v>810414</v>
      </c>
      <c r="L184" s="1681">
        <f>SUM(L180, L182:L183)</f>
        <v>912050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1655</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361275</v>
      </c>
      <c r="D210" s="1674">
        <f>SUM(D184,D185)</f>
        <v>113150</v>
      </c>
      <c r="E210" s="1674">
        <f>SUM(E184,E185,E196)</f>
        <v>27184</v>
      </c>
      <c r="F210" s="1674">
        <f>SUM(F184,F185)</f>
        <v>124270</v>
      </c>
      <c r="G210" s="1674">
        <f>SUM(G184,G185)</f>
        <v>184535</v>
      </c>
      <c r="H210" s="1674">
        <f>SUM(H184,H185,H196,H208,H209)</f>
        <v>0</v>
      </c>
      <c r="I210" s="1674">
        <f>SUM(I184,I185)</f>
        <v>0</v>
      </c>
      <c r="J210" s="1674">
        <f>SUM(J184,J185)</f>
        <v>0</v>
      </c>
      <c r="K210" s="1672">
        <f>SUM(K184,K185,K196,K208,K209)</f>
        <v>810414</v>
      </c>
      <c r="L210" s="1674">
        <f>SUM(L184,L185,L196,L208,L209)</f>
        <v>912050</v>
      </c>
    </row>
    <row r="211" spans="1:14" ht="13.5" thickTop="1" x14ac:dyDescent="0.2">
      <c r="A211" s="2265" t="s">
        <v>989</v>
      </c>
      <c r="B211" s="2266"/>
      <c r="C211" s="1675"/>
      <c r="D211" s="1675"/>
      <c r="E211" s="1675"/>
      <c r="F211" s="1675"/>
      <c r="G211" s="1675"/>
      <c r="H211" s="1675"/>
      <c r="I211" s="1673"/>
      <c r="J211" s="1673"/>
      <c r="K211" s="1689">
        <f>'Revenues 9-14'!F268-'Expenditures 15-22'!K210</f>
        <v>-6260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7" t="s">
        <v>959</v>
      </c>
      <c r="B213" s="2288"/>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33125</v>
      </c>
      <c r="E215" s="1673"/>
      <c r="F215" s="1673"/>
      <c r="G215" s="1673"/>
      <c r="H215" s="1673"/>
      <c r="I215" s="1673"/>
      <c r="J215" s="1673"/>
      <c r="K215" s="1672">
        <f>D215</f>
        <v>33125</v>
      </c>
      <c r="L215" s="1573">
        <v>22865</v>
      </c>
    </row>
    <row r="216" spans="1:14" x14ac:dyDescent="0.2">
      <c r="A216" s="1274" t="s">
        <v>162</v>
      </c>
      <c r="B216" s="503" t="s">
        <v>961</v>
      </c>
      <c r="C216" s="1673"/>
      <c r="D216" s="1574"/>
      <c r="E216" s="1673"/>
      <c r="F216" s="1673"/>
      <c r="G216" s="1673"/>
      <c r="H216" s="1673"/>
      <c r="I216" s="1673"/>
      <c r="J216" s="1673"/>
      <c r="K216" s="1672">
        <f t="shared" ref="K216:K228" si="19">D216</f>
        <v>0</v>
      </c>
      <c r="L216" s="1573">
        <v>11920</v>
      </c>
    </row>
    <row r="217" spans="1:14" x14ac:dyDescent="0.2">
      <c r="A217" s="1274" t="s">
        <v>163</v>
      </c>
      <c r="B217" s="503">
        <v>1200</v>
      </c>
      <c r="C217" s="1673"/>
      <c r="D217" s="1573">
        <v>55715</v>
      </c>
      <c r="E217" s="1673"/>
      <c r="F217" s="1673"/>
      <c r="G217" s="1673"/>
      <c r="H217" s="1673"/>
      <c r="I217" s="1673"/>
      <c r="J217" s="1673"/>
      <c r="K217" s="1672">
        <f t="shared" si="19"/>
        <v>55715</v>
      </c>
      <c r="L217" s="1573">
        <v>47100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8105</v>
      </c>
      <c r="E219" s="1673"/>
      <c r="F219" s="1673"/>
      <c r="G219" s="1673"/>
      <c r="H219" s="1673"/>
      <c r="I219" s="1673"/>
      <c r="J219" s="1673"/>
      <c r="K219" s="1672">
        <f t="shared" si="19"/>
        <v>8105</v>
      </c>
      <c r="L219" s="1573">
        <v>775</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3094</v>
      </c>
      <c r="E222" s="1673"/>
      <c r="F222" s="1673"/>
      <c r="G222" s="1673"/>
      <c r="H222" s="1673"/>
      <c r="I222" s="1673"/>
      <c r="J222" s="1673"/>
      <c r="K222" s="1672">
        <f t="shared" si="19"/>
        <v>3094</v>
      </c>
      <c r="L222" s="1573">
        <v>2990</v>
      </c>
    </row>
    <row r="223" spans="1:14" x14ac:dyDescent="0.2">
      <c r="A223" s="1274" t="s">
        <v>957</v>
      </c>
      <c r="B223" s="503">
        <v>1500</v>
      </c>
      <c r="C223" s="1673"/>
      <c r="D223" s="1573">
        <v>1510</v>
      </c>
      <c r="E223" s="1673"/>
      <c r="F223" s="1673"/>
      <c r="G223" s="1673"/>
      <c r="H223" s="1673"/>
      <c r="I223" s="1673"/>
      <c r="J223" s="1673"/>
      <c r="K223" s="1672">
        <f t="shared" si="19"/>
        <v>1510</v>
      </c>
      <c r="L223" s="1573">
        <v>1355</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1080</v>
      </c>
      <c r="B227" s="503">
        <v>1800</v>
      </c>
      <c r="C227" s="1673"/>
      <c r="D227" s="1573">
        <v>524</v>
      </c>
      <c r="E227" s="1673"/>
      <c r="F227" s="1673"/>
      <c r="G227" s="1673"/>
      <c r="H227" s="1673"/>
      <c r="I227" s="1673"/>
      <c r="J227" s="1673"/>
      <c r="K227" s="1672">
        <f t="shared" si="19"/>
        <v>524</v>
      </c>
      <c r="L227" s="1573"/>
    </row>
    <row r="228" spans="1:12" x14ac:dyDescent="0.2">
      <c r="A228" s="1274" t="s">
        <v>1081</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102073</v>
      </c>
      <c r="E229" s="1673"/>
      <c r="F229" s="1673"/>
      <c r="G229" s="1673"/>
      <c r="H229" s="1673"/>
      <c r="I229" s="1673"/>
      <c r="J229" s="1673"/>
      <c r="K229" s="1674">
        <f>SUM(K215:K228)</f>
        <v>102073</v>
      </c>
      <c r="L229" s="1674">
        <f>SUM(L215:L228)</f>
        <v>87005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c r="E232" s="1673"/>
      <c r="F232" s="1673"/>
      <c r="G232" s="1673"/>
      <c r="H232" s="1673"/>
      <c r="I232" s="1673"/>
      <c r="J232" s="1673"/>
      <c r="K232" s="1672">
        <f t="shared" ref="K232:K237" si="20">D232</f>
        <v>0</v>
      </c>
      <c r="L232" s="1573"/>
    </row>
    <row r="233" spans="1:12" x14ac:dyDescent="0.2">
      <c r="A233" s="1274" t="s">
        <v>1083</v>
      </c>
      <c r="B233" s="503">
        <v>2120</v>
      </c>
      <c r="C233" s="1673"/>
      <c r="D233" s="1573">
        <v>6789</v>
      </c>
      <c r="E233" s="1673"/>
      <c r="F233" s="1673"/>
      <c r="G233" s="1673"/>
      <c r="H233" s="1673"/>
      <c r="I233" s="1673"/>
      <c r="J233" s="1673"/>
      <c r="K233" s="1672">
        <f t="shared" si="20"/>
        <v>6789</v>
      </c>
      <c r="L233" s="1573">
        <v>3800</v>
      </c>
    </row>
    <row r="234" spans="1:12" x14ac:dyDescent="0.2">
      <c r="A234" s="1274" t="s">
        <v>196</v>
      </c>
      <c r="B234" s="503">
        <v>2130</v>
      </c>
      <c r="C234" s="1673"/>
      <c r="D234" s="1573">
        <v>8213</v>
      </c>
      <c r="E234" s="1673"/>
      <c r="F234" s="1673"/>
      <c r="G234" s="1673"/>
      <c r="H234" s="1673"/>
      <c r="I234" s="1673"/>
      <c r="J234" s="1673"/>
      <c r="K234" s="1672">
        <f t="shared" si="20"/>
        <v>8213</v>
      </c>
      <c r="L234" s="1573">
        <v>11040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745</v>
      </c>
      <c r="E236" s="1673"/>
      <c r="F236" s="1673"/>
      <c r="G236" s="1673"/>
      <c r="H236" s="1673"/>
      <c r="I236" s="1673"/>
      <c r="J236" s="1673"/>
      <c r="K236" s="1672">
        <f t="shared" si="20"/>
        <v>745</v>
      </c>
      <c r="L236" s="1573">
        <v>760</v>
      </c>
    </row>
    <row r="237" spans="1:12" x14ac:dyDescent="0.2">
      <c r="A237" s="1274" t="s">
        <v>164</v>
      </c>
      <c r="B237" s="503">
        <v>2190</v>
      </c>
      <c r="C237" s="1673"/>
      <c r="D237" s="1573">
        <v>4858</v>
      </c>
      <c r="E237" s="1673"/>
      <c r="F237" s="1673"/>
      <c r="G237" s="1673"/>
      <c r="H237" s="1673"/>
      <c r="I237" s="1673"/>
      <c r="J237" s="1673"/>
      <c r="K237" s="1672">
        <f t="shared" si="20"/>
        <v>4858</v>
      </c>
      <c r="L237" s="1573">
        <v>7600</v>
      </c>
    </row>
    <row r="238" spans="1:12" ht="12.75" customHeight="1" thickBot="1" x14ac:dyDescent="0.25">
      <c r="A238" s="1380" t="s">
        <v>556</v>
      </c>
      <c r="B238" s="1383" t="s">
        <v>711</v>
      </c>
      <c r="C238" s="1673"/>
      <c r="D238" s="1674">
        <f>SUM(D232:D237)</f>
        <v>20605</v>
      </c>
      <c r="E238" s="1673"/>
      <c r="F238" s="1673"/>
      <c r="G238" s="1673"/>
      <c r="H238" s="1673"/>
      <c r="I238" s="1673"/>
      <c r="J238" s="1673"/>
      <c r="K238" s="1674">
        <f>SUM(K232:K237)</f>
        <v>20605</v>
      </c>
      <c r="L238" s="1674">
        <f>SUM(L232:L237)</f>
        <v>23200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11462</v>
      </c>
      <c r="E240" s="1673"/>
      <c r="F240" s="1673"/>
      <c r="G240" s="1673"/>
      <c r="H240" s="1673"/>
      <c r="I240" s="1673"/>
      <c r="J240" s="1673"/>
      <c r="K240" s="1678">
        <f>D240</f>
        <v>11462</v>
      </c>
      <c r="L240" s="1586">
        <v>11110</v>
      </c>
    </row>
    <row r="241" spans="1:12" x14ac:dyDescent="0.2">
      <c r="A241" s="1274" t="s">
        <v>810</v>
      </c>
      <c r="B241" s="503">
        <v>2220</v>
      </c>
      <c r="C241" s="1673"/>
      <c r="D241" s="1573">
        <v>3908</v>
      </c>
      <c r="E241" s="1673"/>
      <c r="F241" s="1673"/>
      <c r="G241" s="1673"/>
      <c r="H241" s="1673"/>
      <c r="I241" s="1673"/>
      <c r="J241" s="1673"/>
      <c r="K241" s="1678">
        <f>D241</f>
        <v>3908</v>
      </c>
      <c r="L241" s="1573">
        <v>4160</v>
      </c>
    </row>
    <row r="242" spans="1:12" x14ac:dyDescent="0.2">
      <c r="A242" s="1274" t="s">
        <v>811</v>
      </c>
      <c r="B242" s="503">
        <v>2230</v>
      </c>
      <c r="C242" s="1673"/>
      <c r="D242" s="1573"/>
      <c r="E242" s="1673"/>
      <c r="F242" s="1673"/>
      <c r="G242" s="1673"/>
      <c r="H242" s="1673"/>
      <c r="I242" s="1673"/>
      <c r="J242" s="1673"/>
      <c r="K242" s="1678">
        <f>D242</f>
        <v>0</v>
      </c>
      <c r="L242" s="1573">
        <v>90</v>
      </c>
    </row>
    <row r="243" spans="1:12" ht="12.75" customHeight="1" thickBot="1" x14ac:dyDescent="0.25">
      <c r="A243" s="1396" t="s">
        <v>557</v>
      </c>
      <c r="B243" s="1397">
        <v>2200</v>
      </c>
      <c r="C243" s="1673"/>
      <c r="D243" s="1674">
        <f>SUM(D240:D242)</f>
        <v>15370</v>
      </c>
      <c r="E243" s="1673"/>
      <c r="F243" s="1673"/>
      <c r="G243" s="1673"/>
      <c r="H243" s="1673"/>
      <c r="I243" s="1673"/>
      <c r="J243" s="1673"/>
      <c r="K243" s="1674">
        <f>SUM(K240:K242)</f>
        <v>15370</v>
      </c>
      <c r="L243" s="1674">
        <f>SUM(L240:L242)</f>
        <v>15360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474</v>
      </c>
      <c r="E245" s="1673"/>
      <c r="F245" s="1673"/>
      <c r="G245" s="1673"/>
      <c r="H245" s="1673"/>
      <c r="I245" s="1673"/>
      <c r="J245" s="1673"/>
      <c r="K245" s="1678">
        <f>D245</f>
        <v>474</v>
      </c>
      <c r="L245" s="1586">
        <v>475</v>
      </c>
    </row>
    <row r="246" spans="1:12" x14ac:dyDescent="0.2">
      <c r="A246" s="1274" t="s">
        <v>813</v>
      </c>
      <c r="B246" s="503">
        <v>2320</v>
      </c>
      <c r="C246" s="1673"/>
      <c r="D246" s="1573">
        <v>1559</v>
      </c>
      <c r="E246" s="1673"/>
      <c r="F246" s="1673"/>
      <c r="G246" s="1673"/>
      <c r="H246" s="1673"/>
      <c r="I246" s="1673"/>
      <c r="J246" s="1673"/>
      <c r="K246" s="1678">
        <f t="shared" ref="K246:K256" si="21">D246</f>
        <v>1559</v>
      </c>
      <c r="L246" s="1573">
        <v>1600</v>
      </c>
    </row>
    <row r="247" spans="1:12" x14ac:dyDescent="0.2">
      <c r="A247" s="1274" t="s">
        <v>814</v>
      </c>
      <c r="B247" s="503">
        <v>2330</v>
      </c>
      <c r="C247" s="1673"/>
      <c r="D247" s="1573">
        <v>86</v>
      </c>
      <c r="E247" s="1673"/>
      <c r="F247" s="1673"/>
      <c r="G247" s="1673"/>
      <c r="H247" s="1673"/>
      <c r="I247" s="1673"/>
      <c r="J247" s="1673"/>
      <c r="K247" s="1678">
        <f t="shared" si="21"/>
        <v>86</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1783</v>
      </c>
      <c r="B249" s="557" t="s">
        <v>280</v>
      </c>
      <c r="C249" s="1673"/>
      <c r="D249" s="1579"/>
      <c r="E249" s="1673"/>
      <c r="F249" s="1673"/>
      <c r="G249" s="1673"/>
      <c r="H249" s="1673"/>
      <c r="I249" s="1673"/>
      <c r="J249" s="1673"/>
      <c r="K249" s="1678">
        <f t="shared" si="21"/>
        <v>0</v>
      </c>
      <c r="L249" s="1573"/>
    </row>
    <row r="250" spans="1:12" x14ac:dyDescent="0.2">
      <c r="A250" s="1275" t="s">
        <v>1784</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2119</v>
      </c>
      <c r="E257" s="1673"/>
      <c r="F257" s="1673"/>
      <c r="G257" s="1673"/>
      <c r="H257" s="1673"/>
      <c r="I257" s="1673"/>
      <c r="J257" s="1673"/>
      <c r="K257" s="1674">
        <f>SUM(K245:K256)</f>
        <v>2119</v>
      </c>
      <c r="L257" s="1674">
        <f>SUM(L245:L256)</f>
        <v>2075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38387</v>
      </c>
      <c r="E259" s="1673"/>
      <c r="F259" s="1673"/>
      <c r="G259" s="1673"/>
      <c r="H259" s="1673"/>
      <c r="I259" s="1673"/>
      <c r="J259" s="1673"/>
      <c r="K259" s="1678">
        <f>D259</f>
        <v>38387</v>
      </c>
      <c r="L259" s="1586">
        <v>42400</v>
      </c>
    </row>
    <row r="260" spans="1:14" s="493" customFormat="1" x14ac:dyDescent="0.2">
      <c r="A260" s="1292" t="s">
        <v>1782</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38387</v>
      </c>
      <c r="E261" s="1673"/>
      <c r="F261" s="1673"/>
      <c r="G261" s="1673"/>
      <c r="H261" s="1673"/>
      <c r="I261" s="1673"/>
      <c r="J261" s="1673"/>
      <c r="K261" s="1674">
        <f>SUM(K259:K260)</f>
        <v>38387</v>
      </c>
      <c r="L261" s="1674">
        <f>SUM(L259:L260)</f>
        <v>42400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17038</v>
      </c>
      <c r="E264" s="1673"/>
      <c r="F264" s="1673"/>
      <c r="G264" s="1673"/>
      <c r="H264" s="1673"/>
      <c r="I264" s="1673"/>
      <c r="J264" s="1673"/>
      <c r="K264" s="1678">
        <f t="shared" ref="K264:K269" si="22">D264</f>
        <v>17038</v>
      </c>
      <c r="L264" s="1573">
        <v>17400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41941</v>
      </c>
      <c r="E266" s="1673"/>
      <c r="F266" s="1673"/>
      <c r="G266" s="1673"/>
      <c r="H266" s="1673"/>
      <c r="I266" s="1673"/>
      <c r="J266" s="1673"/>
      <c r="K266" s="1678">
        <f t="shared" si="22"/>
        <v>41941</v>
      </c>
      <c r="L266" s="1573">
        <v>43850</v>
      </c>
    </row>
    <row r="267" spans="1:14" x14ac:dyDescent="0.2">
      <c r="A267" s="1274" t="s">
        <v>947</v>
      </c>
      <c r="B267" s="503">
        <v>2550</v>
      </c>
      <c r="C267" s="1673"/>
      <c r="D267" s="1573">
        <v>66162</v>
      </c>
      <c r="E267" s="1673"/>
      <c r="F267" s="1673"/>
      <c r="G267" s="1673"/>
      <c r="H267" s="1673"/>
      <c r="I267" s="1673"/>
      <c r="J267" s="1673"/>
      <c r="K267" s="1678">
        <f t="shared" si="22"/>
        <v>66162</v>
      </c>
      <c r="L267" s="1573">
        <v>77050</v>
      </c>
    </row>
    <row r="268" spans="1:14" x14ac:dyDescent="0.2">
      <c r="A268" s="1274" t="s">
        <v>100</v>
      </c>
      <c r="B268" s="503">
        <v>2560</v>
      </c>
      <c r="C268" s="1673"/>
      <c r="D268" s="1573">
        <v>18484</v>
      </c>
      <c r="E268" s="1673"/>
      <c r="F268" s="1673"/>
      <c r="G268" s="1673"/>
      <c r="H268" s="1673"/>
      <c r="I268" s="1673"/>
      <c r="J268" s="1673"/>
      <c r="K268" s="1678">
        <f t="shared" si="22"/>
        <v>18484</v>
      </c>
      <c r="L268" s="1573">
        <v>17420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143625</v>
      </c>
      <c r="E270" s="1673"/>
      <c r="F270" s="1673"/>
      <c r="G270" s="1673"/>
      <c r="H270" s="1673"/>
      <c r="I270" s="1673"/>
      <c r="J270" s="1673"/>
      <c r="K270" s="1674">
        <f>SUM(K263:K269)</f>
        <v>143625</v>
      </c>
      <c r="L270" s="1674">
        <f>SUM(L263:L269)</f>
        <v>155720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1054</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220106</v>
      </c>
      <c r="E279" s="1673"/>
      <c r="F279" s="1673"/>
      <c r="G279" s="1673"/>
      <c r="H279" s="1673"/>
      <c r="I279" s="1673"/>
      <c r="J279" s="1673"/>
      <c r="K279" s="1681">
        <f>SUM(K238,K243,K257,K261,K270,K277,K278)</f>
        <v>220106</v>
      </c>
      <c r="L279" s="1681">
        <f>SUM(L238,L243,L257,L261,L270,L277,L278)</f>
        <v>238755</v>
      </c>
    </row>
    <row r="280" spans="1:12" ht="15.75" customHeight="1" thickTop="1" thickBot="1" x14ac:dyDescent="0.25">
      <c r="A280" s="1362" t="s">
        <v>870</v>
      </c>
      <c r="B280" s="1351">
        <v>3000</v>
      </c>
      <c r="C280" s="1673"/>
      <c r="D280" s="1651">
        <v>109</v>
      </c>
      <c r="E280" s="1673"/>
      <c r="F280" s="1673"/>
      <c r="G280" s="1673"/>
      <c r="H280" s="1673"/>
      <c r="I280" s="1673"/>
      <c r="J280" s="1673"/>
      <c r="K280" s="1687">
        <f>D280</f>
        <v>109</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1817</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3" t="s">
        <v>502</v>
      </c>
      <c r="B295" s="2284"/>
      <c r="C295" s="1673"/>
      <c r="D295" s="1674">
        <f>SUM(D229,D279,D280,D285)</f>
        <v>322288</v>
      </c>
      <c r="E295" s="1673"/>
      <c r="F295" s="1673"/>
      <c r="G295" s="1673"/>
      <c r="H295" s="1674">
        <f>H293</f>
        <v>0</v>
      </c>
      <c r="I295" s="1673"/>
      <c r="J295" s="1673"/>
      <c r="K295" s="1674">
        <f>SUM(K229,K279,K280,K285,K293,K294)</f>
        <v>322288</v>
      </c>
      <c r="L295" s="1674">
        <f>SUM(L229,L279,L280,L285,L293,L294)</f>
        <v>325760</v>
      </c>
    </row>
    <row r="296" spans="1:14" ht="13.5" thickTop="1" x14ac:dyDescent="0.2">
      <c r="A296" s="2265" t="s">
        <v>989</v>
      </c>
      <c r="B296" s="2266"/>
      <c r="C296" s="1673"/>
      <c r="D296" s="1675"/>
      <c r="E296" s="1673"/>
      <c r="F296" s="1673"/>
      <c r="G296" s="1673"/>
      <c r="H296" s="1707"/>
      <c r="I296" s="1673"/>
      <c r="J296" s="1673"/>
      <c r="K296" s="1689">
        <f>'Revenues 9-14'!G268-'Expenditures 15-22'!K295</f>
        <v>147629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5" t="s">
        <v>142</v>
      </c>
      <c r="B298" s="2269"/>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33294</v>
      </c>
      <c r="F301" s="1573"/>
      <c r="G301" s="1573">
        <v>1269796</v>
      </c>
      <c r="H301" s="1573">
        <v>0</v>
      </c>
      <c r="I301" s="1574"/>
      <c r="J301" s="1574"/>
      <c r="K301" s="1672">
        <f>SUM(C301:J301)</f>
        <v>1303090</v>
      </c>
      <c r="L301" s="1574">
        <v>1250000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33294</v>
      </c>
      <c r="F303" s="1681">
        <f t="shared" si="23"/>
        <v>0</v>
      </c>
      <c r="G303" s="1681">
        <f t="shared" si="23"/>
        <v>1269796</v>
      </c>
      <c r="H303" s="1681">
        <f t="shared" si="23"/>
        <v>0</v>
      </c>
      <c r="I303" s="1681">
        <f t="shared" si="23"/>
        <v>0</v>
      </c>
      <c r="J303" s="1681">
        <f t="shared" si="23"/>
        <v>0</v>
      </c>
      <c r="K303" s="1681">
        <f t="shared" si="23"/>
        <v>1303090</v>
      </c>
      <c r="L303" s="1681">
        <f t="shared" si="23"/>
        <v>1250000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1822</v>
      </c>
      <c r="B306" s="562" t="s">
        <v>1817</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0" t="s">
        <v>275</v>
      </c>
      <c r="B312" s="2281"/>
      <c r="C312" s="1674">
        <f>SUM(C303)</f>
        <v>0</v>
      </c>
      <c r="D312" s="1674">
        <f>SUM(D303)</f>
        <v>0</v>
      </c>
      <c r="E312" s="1674">
        <f>SUM(E303,E310)</f>
        <v>33294</v>
      </c>
      <c r="F312" s="1674">
        <f>SUM(F303)</f>
        <v>0</v>
      </c>
      <c r="G312" s="1674">
        <f>SUM(G303)</f>
        <v>1269796</v>
      </c>
      <c r="H312" s="1674">
        <f>SUM(H303,H310)</f>
        <v>0</v>
      </c>
      <c r="I312" s="1674">
        <f>SUM(I303)</f>
        <v>0</v>
      </c>
      <c r="J312" s="1674">
        <f>SUM(J303)</f>
        <v>0</v>
      </c>
      <c r="K312" s="1674">
        <f>SUM(K303,K310,K311)</f>
        <v>1303090</v>
      </c>
      <c r="L312" s="1674">
        <f>SUM(L303,L310,L311)</f>
        <v>1250000</v>
      </c>
      <c r="M312" s="539"/>
      <c r="N312" s="539"/>
    </row>
    <row r="313" spans="1:14" ht="13.5" thickTop="1" x14ac:dyDescent="0.2">
      <c r="A313" s="2276" t="s">
        <v>989</v>
      </c>
      <c r="B313" s="2277"/>
      <c r="C313" s="1677"/>
      <c r="D313" s="1677"/>
      <c r="E313" s="1677"/>
      <c r="F313" s="1677"/>
      <c r="G313" s="1677"/>
      <c r="H313" s="1677"/>
      <c r="I313" s="1677"/>
      <c r="J313" s="1677"/>
      <c r="K313" s="1696">
        <f>'Revenues 9-14'!H268-'Expenditures 15-22'!K312</f>
        <v>-962369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9" t="s">
        <v>148</v>
      </c>
      <c r="B315" s="229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1" t="s">
        <v>892</v>
      </c>
      <c r="B317" s="2290"/>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1783</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101940</v>
      </c>
      <c r="F322" s="1574"/>
      <c r="G322" s="1574"/>
      <c r="H322" s="1574"/>
      <c r="I322" s="1574"/>
      <c r="J322" s="1574"/>
      <c r="K322" s="1672">
        <f t="shared" si="24"/>
        <v>101940</v>
      </c>
      <c r="L322" s="1574">
        <v>110000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382183</v>
      </c>
      <c r="D325" s="1574"/>
      <c r="E325" s="1574">
        <v>68989</v>
      </c>
      <c r="F325" s="1574"/>
      <c r="G325" s="1574">
        <v>5849</v>
      </c>
      <c r="H325" s="1574"/>
      <c r="I325" s="1574"/>
      <c r="J325" s="1574"/>
      <c r="K325" s="1672">
        <f t="shared" si="24"/>
        <v>457021</v>
      </c>
      <c r="L325" s="1574">
        <v>476500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3213</v>
      </c>
      <c r="F327" s="1574"/>
      <c r="G327" s="1574"/>
      <c r="H327" s="1574"/>
      <c r="I327" s="1574"/>
      <c r="J327" s="1574"/>
      <c r="K327" s="1672">
        <f t="shared" si="24"/>
        <v>3213</v>
      </c>
      <c r="L327" s="1574">
        <v>50000</v>
      </c>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382183</v>
      </c>
      <c r="D330" s="1674">
        <f t="shared" ref="D330:J330" si="25">SUM(D319:D329)</f>
        <v>0</v>
      </c>
      <c r="E330" s="1674">
        <f t="shared" si="25"/>
        <v>174142</v>
      </c>
      <c r="F330" s="1674">
        <f t="shared" si="25"/>
        <v>0</v>
      </c>
      <c r="G330" s="1674">
        <f t="shared" si="25"/>
        <v>5849</v>
      </c>
      <c r="H330" s="1674">
        <f t="shared" si="25"/>
        <v>0</v>
      </c>
      <c r="I330" s="1674">
        <f t="shared" si="25"/>
        <v>0</v>
      </c>
      <c r="J330" s="1674">
        <f t="shared" si="25"/>
        <v>0</v>
      </c>
      <c r="K330" s="1674">
        <f>SUM(K319:K329)</f>
        <v>562174</v>
      </c>
      <c r="L330" s="1674">
        <f>SUM(L319:L329)</f>
        <v>636500</v>
      </c>
      <c r="M330" s="539"/>
      <c r="N330" s="539"/>
    </row>
    <row r="331" spans="1:14" s="548" customFormat="1" ht="12.75" customHeight="1" thickTop="1" x14ac:dyDescent="0.2">
      <c r="A331" s="1467" t="s">
        <v>1823</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1817</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1819</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1824</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382183</v>
      </c>
      <c r="D342" s="1674">
        <f>SUM(D330)</f>
        <v>0</v>
      </c>
      <c r="E342" s="1674">
        <f>SUM(E330)</f>
        <v>174142</v>
      </c>
      <c r="F342" s="1674">
        <f>SUM(F330)</f>
        <v>0</v>
      </c>
      <c r="G342" s="1674">
        <f>SUM(G330)</f>
        <v>5849</v>
      </c>
      <c r="H342" s="1674">
        <f>SUM(H330,H334,H340)</f>
        <v>0</v>
      </c>
      <c r="I342" s="1674">
        <f>SUM(I330)</f>
        <v>0</v>
      </c>
      <c r="J342" s="1674">
        <f>SUM(J330)</f>
        <v>0</v>
      </c>
      <c r="K342" s="1674">
        <f>SUM(K330,K334,K340)</f>
        <v>562174</v>
      </c>
      <c r="L342" s="1681">
        <f>SUM(L330,L334,L340,L341)</f>
        <v>636500</v>
      </c>
    </row>
    <row r="343" spans="1:14" ht="12.75" customHeight="1" thickTop="1" x14ac:dyDescent="0.2">
      <c r="A343" s="2278" t="s">
        <v>989</v>
      </c>
      <c r="B343" s="2279"/>
      <c r="C343" s="1673"/>
      <c r="D343" s="1673"/>
      <c r="E343" s="1673"/>
      <c r="F343" s="1673"/>
      <c r="G343" s="1673"/>
      <c r="H343" s="1673"/>
      <c r="I343" s="1673"/>
      <c r="J343" s="1673"/>
      <c r="K343" s="1689">
        <f>'Revenues 9-14'!J268-'Expenditures 15-22'!K342</f>
        <v>-41692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8" t="s">
        <v>960</v>
      </c>
      <c r="B345" s="2269"/>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10000</v>
      </c>
    </row>
    <row r="349" spans="1:14" x14ac:dyDescent="0.2">
      <c r="A349" s="1274" t="s">
        <v>195</v>
      </c>
      <c r="B349" s="503">
        <v>2540</v>
      </c>
      <c r="C349" s="1573"/>
      <c r="D349" s="1573"/>
      <c r="E349" s="1573">
        <v>0</v>
      </c>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10000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10000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1825</v>
      </c>
      <c r="B354" s="557" t="s">
        <v>1817</v>
      </c>
      <c r="C354" s="1673"/>
      <c r="D354" s="1673"/>
      <c r="E354" s="1673"/>
      <c r="F354" s="1673"/>
      <c r="G354" s="1673"/>
      <c r="H354" s="1579"/>
      <c r="I354" s="1716"/>
      <c r="J354" s="1673"/>
      <c r="K354" s="1713">
        <f>H354</f>
        <v>0</v>
      </c>
      <c r="L354" s="1577"/>
    </row>
    <row r="355" spans="1:14" ht="12.75" customHeight="1" x14ac:dyDescent="0.2">
      <c r="A355" s="1283" t="s">
        <v>1826</v>
      </c>
      <c r="B355" s="562" t="s">
        <v>1819</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10000</v>
      </c>
    </row>
    <row r="368" spans="1:14" ht="13.5" thickTop="1" x14ac:dyDescent="0.2">
      <c r="A368" s="2265" t="s">
        <v>989</v>
      </c>
      <c r="B368" s="2266"/>
      <c r="C368" s="1694"/>
      <c r="D368" s="1694"/>
      <c r="E368" s="1677"/>
      <c r="F368" s="1677"/>
      <c r="G368" s="1677"/>
      <c r="H368" s="1677"/>
      <c r="I368" s="1677"/>
      <c r="J368" s="1676"/>
      <c r="K368" s="1672">
        <f>'Revenues 9-14'!K268-'Expenditures 15-22'!K367</f>
        <v>39684</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5" right="0.1" top="0.61" bottom="0.5" header="0.35" footer="0.140000000000000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6ce3111e-7420-4802-b50a-75d4e9a0b980"/>
    <ds:schemaRef ds:uri="d21dc803-237d-4c68-8692-8d731fd29118"/>
    <ds:schemaRef ds:uri="http://purl.org/dc/elements/1.1/"/>
    <ds:schemaRef ds:uri="http://purl.org/dc/dcmitype/"/>
    <ds:schemaRef ds:uri="http://schemas.microsoft.com/sharepoint/v3"/>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'AC Tort 32-33'!Print_Area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2020-11-18T19:12:04Z</cp:lastPrinted>
  <dcterms:created xsi:type="dcterms:W3CDTF">2003-10-29T19:06:34Z</dcterms:created>
  <dcterms:modified xsi:type="dcterms:W3CDTF">2020-12-03T23:15:16Z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