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99E2FD-6ADD-47F8-A2A6-AD0EB42C004C}" xr6:coauthVersionLast="36" xr6:coauthVersionMax="36" xr10:uidLastSave="{00000000-0000-0000-0000-000000000000}"/>
  <bookViews>
    <workbookView xWindow="-28920" yWindow="-1095" windowWidth="29040" windowHeight="15840" tabRatio="959" xr2:uid="{00000000-000D-0000-FFFF-FFFF00000000}"/>
  </bookViews>
  <sheets>
    <sheet name="COVER" sheetId="24" r:id="rId1"/>
    <sheet name="Aud Quest 2" sheetId="28" r:id="rId2"/>
    <sheet name="FP Info 3" sheetId="37" r:id="rId3"/>
    <sheet name="Fin Profile 4" sheetId="118" r:id="rId4"/>
    <sheet name="Assets-Liab 5-6" sheetId="3" r:id="rId5"/>
    <sheet name="Acct Summary 7-8" sheetId="4" r:id="rId6"/>
    <sheet name="Revenues 9-14" sheetId="5" r:id="rId7"/>
    <sheet name="Expenditures 15-22" sheetId="29" r:id="rId8"/>
    <sheet name="Tax Sched 23" sheetId="7" r:id="rId9"/>
    <sheet name="Short-Term Long-Term Debt 24" sheetId="8" r:id="rId10"/>
    <sheet name="Rest Tax Levies-Tort Im 25" sheetId="12" r:id="rId11"/>
    <sheet name="Cap Outlay Deprec 26" sheetId="11" r:id="rId12"/>
    <sheet name="PCTC-OEPP 27-28" sheetId="34" r:id="rId13"/>
    <sheet name="Contracts Paid in CY 29" sheetId="183" r:id="rId14"/>
    <sheet name="ICR Computation 30" sheetId="108" r:id="rId15"/>
    <sheet name="Shared Outsourced Services 31" sheetId="182" r:id="rId16"/>
    <sheet name="AC Tort 33-34" sheetId="184" r:id="rId17"/>
    <sheet name="Itemization 35" sheetId="127" r:id="rId18"/>
    <sheet name="REF 36" sheetId="117" r:id="rId19"/>
    <sheet name="Opinion-Notes 37" sheetId="129" r:id="rId20"/>
    <sheet name="DeficitAFRSum Calc 38" sheetId="146" r:id="rId21"/>
    <sheet name="AFR20" sheetId="106" state="hidden" r:id="rId22"/>
    <sheet name="SF&amp;QC Sec-1 39" sheetId="174" r:id="rId23"/>
    <sheet name="SF&amp;QC Sec-40" sheetId="175" r:id="rId24"/>
    <sheet name="SSPAF 41" sheetId="177" r:id="rId25"/>
    <sheet name="AUDITCHECK" sheetId="36" r:id="rId26"/>
    <sheet name="TOC" sheetId="168" r:id="rId27"/>
    <sheet name="Single Audit Cover" sheetId="169" r:id="rId28"/>
    <sheet name="Single Audit Checklist" sheetId="170" r:id="rId29"/>
    <sheet name="SEFA Reconcile" sheetId="171" r:id="rId30"/>
    <sheet name=" SEFA" sheetId="179" r:id="rId31"/>
    <sheet name="SEFA NOTES" sheetId="173" r:id="rId32"/>
    <sheet name="SF&amp;QC Sec-3" sheetId="176" r:id="rId33"/>
  </sheets>
  <definedNames>
    <definedName name="_xlnm._FilterDatabase" localSheetId="21"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22">'SF&amp;QC Sec-1 39'!$A$1:$J$63</definedName>
    <definedName name="_xlnm.Print_Area" localSheetId="32">'SF&amp;QC Sec-3'!$A$1:$K$48</definedName>
    <definedName name="_xlnm.Print_Area" localSheetId="15">'Shared Outsourced Services 31'!$A$1:$F$43</definedName>
    <definedName name="_xlnm.Print_Area" localSheetId="28">'Single Audit Checklist'!$A$1:$D$124</definedName>
    <definedName name="_xlnm.Print_Area" localSheetId="27">'Single Audit Cover'!$A$1:$L$51</definedName>
    <definedName name="_xlnm.Print_Titles" localSheetId="5">'Acct Summary 7-8'!$A:$B,'Acct Summary 7-8'!$1:$2</definedName>
    <definedName name="_xlnm.Print_Titles" localSheetId="4">'Assets-Liab 5-6'!$A:$B,'Assets-Liab 5-6'!$1:$2</definedName>
    <definedName name="_xlnm.Print_Titles" localSheetId="25">AUDITCHECK!$20:$20</definedName>
    <definedName name="_xlnm.Print_Titles" localSheetId="13">'Contracts Paid in CY 29'!$16:$16</definedName>
    <definedName name="_xlnm.Print_Titles" localSheetId="7">'Expenditures 15-22'!$A:$B,'Expenditures 15-22'!$1:$2</definedName>
    <definedName name="_xlnm.Print_Titles" localSheetId="12">'PCTC-OEPP 27-28'!$1:$5</definedName>
    <definedName name="_xlnm.Print_Titles" localSheetId="6">'Revenues 9-14'!$A:$B,'Revenues 9-14'!$1:$2</definedName>
    <definedName name="_xlnm.Print_Titles" localSheetId="15">'Shared Outsourced Services 31'!$5:$5</definedName>
    <definedName name="_xlnm.Print_Titles" localSheetId="28">'Single Audit Checklist'!$1:$4</definedName>
    <definedName name="SCHADDRS" localSheetId="30">#REF!</definedName>
    <definedName name="SCHADDRS" localSheetId="13">#REF!</definedName>
    <definedName name="SCHADDRS" localSheetId="20">#REF!</definedName>
    <definedName name="SCHADDRS" localSheetId="3">#REF!</definedName>
    <definedName name="SCHADDRS" localSheetId="31">#REF!</definedName>
    <definedName name="SCHADDRS" localSheetId="29">#REF!</definedName>
    <definedName name="SCHADDRS" localSheetId="22">#REF!</definedName>
    <definedName name="SCHADDRS" localSheetId="32">#REF!</definedName>
    <definedName name="SCHADDRS" localSheetId="23">#REF!</definedName>
    <definedName name="SCHADDRS" localSheetId="28">#REF!</definedName>
    <definedName name="SCHADDRS" localSheetId="27">#REF!</definedName>
    <definedName name="SCHADDRS" localSheetId="24">#REF!</definedName>
    <definedName name="SCHADDRS">#REF!</definedName>
    <definedName name="SCHCTY" localSheetId="30">#REF!</definedName>
    <definedName name="SCHCTY" localSheetId="13">#REF!</definedName>
    <definedName name="SCHCTY" localSheetId="20">#REF!</definedName>
    <definedName name="SCHCTY" localSheetId="3">#REF!</definedName>
    <definedName name="SCHCTY" localSheetId="31">#REF!</definedName>
    <definedName name="SCHCTY" localSheetId="29">#REF!</definedName>
    <definedName name="SCHCTY" localSheetId="22">#REF!</definedName>
    <definedName name="SCHCTY" localSheetId="32">#REF!</definedName>
    <definedName name="SCHCTY" localSheetId="23">#REF!</definedName>
    <definedName name="SCHCTY" localSheetId="28">#REF!</definedName>
    <definedName name="SCHCTY" localSheetId="27">#REF!</definedName>
    <definedName name="SCHCTY" localSheetId="24">#REF!</definedName>
    <definedName name="SCHCTY">#REF!</definedName>
    <definedName name="SCHNMBR" localSheetId="30">#REF!</definedName>
    <definedName name="SCHNMBR" localSheetId="13">#REF!</definedName>
    <definedName name="SCHNMBR" localSheetId="20">#REF!</definedName>
    <definedName name="SCHNMBR" localSheetId="3">#REF!</definedName>
    <definedName name="SCHNMBR" localSheetId="31">#REF!</definedName>
    <definedName name="SCHNMBR" localSheetId="29">#REF!</definedName>
    <definedName name="SCHNMBR" localSheetId="22">#REF!</definedName>
    <definedName name="SCHNMBR" localSheetId="32">#REF!</definedName>
    <definedName name="SCHNMBR" localSheetId="23">#REF!</definedName>
    <definedName name="SCHNMBR" localSheetId="28">#REF!</definedName>
    <definedName name="SCHNMBR" localSheetId="27">#REF!</definedName>
    <definedName name="SCHNMBR" localSheetId="24">#REF!</definedName>
    <definedName name="SCHNMBR">#REF!</definedName>
    <definedName name="SCHNME" localSheetId="30">#REF!</definedName>
    <definedName name="SCHNME" localSheetId="13">#REF!</definedName>
    <definedName name="SCHNME" localSheetId="20">#REF!</definedName>
    <definedName name="SCHNME" localSheetId="3">#REF!</definedName>
    <definedName name="SCHNME" localSheetId="31">#REF!</definedName>
    <definedName name="SCHNME" localSheetId="29">#REF!</definedName>
    <definedName name="SCHNME" localSheetId="22">#REF!</definedName>
    <definedName name="SCHNME" localSheetId="32">#REF!</definedName>
    <definedName name="SCHNME" localSheetId="23">#REF!</definedName>
    <definedName name="SCHNME" localSheetId="28">#REF!</definedName>
    <definedName name="SCHNME" localSheetId="27">#REF!</definedName>
    <definedName name="SCHNME" localSheetId="24">#REF!</definedName>
    <definedName name="SCHNME">#REF!</definedName>
    <definedName name="SUPT" localSheetId="30">#REF!</definedName>
    <definedName name="SUPT" localSheetId="13">#REF!</definedName>
    <definedName name="SUPT" localSheetId="20">#REF!</definedName>
    <definedName name="SUPT" localSheetId="3">#REF!</definedName>
    <definedName name="SUPT" localSheetId="31">#REF!</definedName>
    <definedName name="SUPT" localSheetId="29">#REF!</definedName>
    <definedName name="SUPT" localSheetId="22">#REF!</definedName>
    <definedName name="SUPT" localSheetId="32">#REF!</definedName>
    <definedName name="SUPT" localSheetId="23">#REF!</definedName>
    <definedName name="SUPT" localSheetId="28">#REF!</definedName>
    <definedName name="SUPT" localSheetId="27">#REF!</definedName>
    <definedName name="SUPT" localSheetId="2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2" l="1"/>
  <c r="M19" i="3" l="1"/>
  <c r="M18" i="3"/>
  <c r="M17"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2" i="183" l="1"/>
  <c r="F21" i="183"/>
  <c r="F20" i="183"/>
  <c r="F19" i="183"/>
  <c r="E22" i="183"/>
  <c r="E21" i="183"/>
  <c r="E20" i="183"/>
  <c r="E19" i="183"/>
  <c r="E18" i="183"/>
  <c r="F18" i="183" s="1"/>
  <c r="B7885" i="106" l="1"/>
  <c r="D7885" i="106" s="1"/>
  <c r="B7884" i="106"/>
  <c r="D7884" i="106" s="1"/>
  <c r="B7883" i="106"/>
  <c r="B7882" i="106"/>
  <c r="D7883" i="106"/>
  <c r="D7882" i="106"/>
  <c r="B11" i="7" l="1"/>
  <c r="D7836" i="106" l="1"/>
  <c r="J88" i="28" l="1"/>
  <c r="J85" i="28"/>
  <c r="J90" i="28" s="1"/>
  <c r="B7819" i="106" l="1"/>
  <c r="D7819" i="106" s="1"/>
  <c r="B7818" i="106"/>
  <c r="D7818" i="106" s="1"/>
  <c r="D23" i="183" l="1"/>
  <c r="A15" i="183"/>
  <c r="D82" i="36" l="1"/>
  <c r="F23" i="183"/>
  <c r="E2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I210" i="29" l="1"/>
  <c r="B7071" i="106" s="1"/>
  <c r="D7071" i="106" s="1"/>
  <c r="H365" i="29"/>
  <c r="B7242" i="106" s="1"/>
  <c r="D7242" i="106" s="1"/>
  <c r="F50" i="34"/>
  <c r="D69" i="36"/>
  <c r="B2836" i="106"/>
  <c r="D2836" i="106" s="1"/>
  <c r="C129" i="29"/>
  <c r="D24" i="37"/>
  <c r="B4270" i="106" s="1"/>
  <c r="D4270" i="106" s="1"/>
  <c r="L22" i="37"/>
  <c r="H28" i="118"/>
  <c r="H33" i="118"/>
  <c r="H342" i="29"/>
  <c r="F72" i="34"/>
  <c r="F64" i="34"/>
  <c r="B7047" i="106"/>
  <c r="D7047" i="106" s="1"/>
  <c r="F56" i="34"/>
  <c r="B7832" i="106" s="1"/>
  <c r="D7832" i="106" s="1"/>
  <c r="G39" i="108"/>
  <c r="D14" i="4"/>
  <c r="B2570" i="106" s="1"/>
  <c r="D2570" i="106" s="1"/>
  <c r="G26" i="108"/>
  <c r="H15" i="184"/>
  <c r="B6995" i="106"/>
  <c r="D6995" i="106" s="1"/>
  <c r="E34" i="108"/>
  <c r="G30" i="108"/>
  <c r="F37" i="34"/>
  <c r="B7829" i="106" s="1"/>
  <c r="D7829" i="106" s="1"/>
  <c r="F36" i="34"/>
  <c r="B7828" i="106" s="1"/>
  <c r="D7828" i="106" s="1"/>
  <c r="B6289" i="106"/>
  <c r="D6289"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342" i="29" l="1"/>
  <c r="F13" i="34" s="1"/>
  <c r="B3621" i="106"/>
  <c r="D3621" i="106" s="1"/>
  <c r="J16" i="4"/>
  <c r="B6226" i="106" s="1"/>
  <c r="D6226" i="106" s="1"/>
  <c r="H151" i="29"/>
  <c r="B1273" i="106" s="1"/>
  <c r="D1273" i="106" s="1"/>
  <c r="F41" i="108"/>
  <c r="G43" i="108" s="1"/>
  <c r="B5770" i="106"/>
  <c r="D5770" i="106" s="1"/>
  <c r="B5527" i="106"/>
  <c r="D5527" i="106" s="1"/>
  <c r="L16" i="11"/>
  <c r="B2061" i="106" s="1"/>
  <c r="D2061" i="106" s="1"/>
  <c r="B6216" i="106"/>
  <c r="D6216" i="106" s="1"/>
  <c r="D44" i="36"/>
  <c r="E367" i="29"/>
  <c r="B3635" i="106"/>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F77" i="34" l="1"/>
  <c r="B7834" i="106" s="1"/>
  <c r="D7834" i="106" s="1"/>
  <c r="B6223" i="106"/>
  <c r="D6223"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<sst xmlns="http://schemas.openxmlformats.org/spreadsheetml/2006/main" count="5175" uniqueCount="2096">
  <si>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</si>
  <si>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</si>
  <si>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</si>
  <si>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</si>
  <si>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</si>
  <si>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</si>
  <si>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</si>
  <si>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</si>
  <si>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</si>
  <si>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</si>
  <si>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</si>
  <si>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</si>
  <si>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</si>
  <si>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</si>
  <si>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</si>
  <si>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</si>
  <si>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</si>
  <si>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</si>
  <si>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</si>
  <si>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</si>
  <si>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</si>
  <si>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</si>
  <si>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</si>
  <si>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</si>
  <si>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</si>
  <si>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</si>
  <si>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</si>
  <si>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</si>
  <si>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</si>
  <si>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</si>
  <si>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</si>
  <si>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</si>
  <si>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</si>
  <si>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</si>
  <si>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</si>
  <si>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</si>
  <si>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</si>
  <si>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</si>
  <si>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</si>
  <si>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</si>
  <si>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</si>
  <si>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</si>
  <si>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</si>
  <si>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</si>
  <si>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</si>
  <si>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</si>
  <si>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</si>
  <si>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</si>
  <si>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</si>
  <si>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</si>
  <si>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</si>
  <si>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</si>
  <si>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</si>
  <si>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</si>
  <si>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</si>
  <si>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</si>
  <si>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</si>
  <si>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</si>
  <si>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</si>
  <si>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</si>
  <si>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</si>
  <si>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</si>
  <si>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</si>
  <si>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</si>
  <si>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</si>
  <si>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</si>
  <si>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</si>
  <si>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</si>
  <si>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</si>
  <si>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</si>
  <si>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</si>
  <si>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</si>
  <si>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</si>
  <si>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</si>
  <si>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</si>
  <si>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</si>
  <si>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</si>
  <si>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</si>
  <si>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</si>
  <si>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</si>
  <si>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</si>
  <si>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</si>
  <si>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</si>
  <si>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</si>
  <si>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</si>
  <si>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</si>
  <si>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</si>
  <si>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</si>
  <si>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</si>
  <si>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</si>
  <si>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</si>
  <si>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</si>
  <si>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</si>
  <si>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</si>
  <si>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</si>
  <si>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</si>
  <si>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</si>
  <si>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</si>
  <si>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</si>
  <si>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</si>
  <si>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</si>
  <si>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</si>
  <si>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</si>
  <si>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</si>
  <si>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</si>
  <si>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</si>
  <si>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</si>
  <si>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</si>
  <si>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</si>
  <si>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</si>
  <si>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</si>
  <si>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</si>
  <si>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</si>
  <si>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</si>
  <si>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</si>
  <si>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</si>
  <si>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</si>
  <si>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</si>
  <si>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</si>
  <si>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</si>
  <si>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</si>
  <si>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</si>
  <si>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</si>
  <si>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</si>
  <si>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</si>
  <si>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</si>
  <si>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</si>
  <si>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</si>
  <si>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</si>
  <si>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</si>
  <si>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</si>
  <si>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</si>
  <si>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</si>
  <si>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</si>
  <si>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</si>
  <si>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</si>
  <si>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</si>
  <si>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</si>
  <si>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</si>
  <si>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</si>
  <si>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</si>
  <si>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</si>
  <si>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</si>
  <si>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</si>
  <si>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</si>
  <si>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</si>
  <si>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</si>
  <si>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</si>
  <si>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</si>
  <si>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</si>
  <si>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</si>
  <si>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</si>
  <si>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</si>
  <si>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</si>
  <si>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</si>
  <si>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</si>
  <si>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</si>
  <si>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</si>
  <si>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</si>
  <si>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</si>
  <si>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</si>
  <si>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</si>
  <si>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</si>
  <si>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</si>
  <si>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</si>
  <si>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</si>
  <si>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</si>
  <si>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</si>
  <si>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</si>
  <si>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</si>
  <si>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</si>
  <si>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</si>
  <si>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</si>
  <si>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</si>
  <si>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</si>
  <si>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</si>
  <si>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</si>
  <si>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</si>
  <si>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</si>
  <si>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</si>
  <si>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</si>
  <si>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</si>
  <si>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</si>
  <si>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</si>
  <si>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</si>
  <si>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</si>
  <si>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</si>
  <si>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</si>
  <si>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</si>
  <si>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</si>
  <si>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</si>
  <si>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</si>
  <si>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</si>
  <si>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</si>
  <si>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</si>
  <si>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</si>
  <si>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</si>
  <si>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</si>
  <si>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</si>
  <si>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</si>
  <si>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</si>
  <si>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</si>
  <si>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</si>
  <si>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</si>
  <si>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</si>
  <si>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</si>
  <si>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</si>
  <si>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</si>
  <si>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</si>
  <si>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</si>
  <si>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</si>
  <si>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</si>
  <si>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</si>
  <si>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</si>
  <si>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</si>
  <si>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</si>
  <si>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</si>
  <si>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</si>
  <si>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</si>
  <si>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</si>
  <si>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</si>
  <si>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</si>
  <si>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</si>
  <si>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</si>
  <si>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</si>
  <si>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</si>
  <si>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</si>
  <si>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</si>
  <si>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</si>
  <si>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</si>
  <si>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</si>
  <si>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</si>
  <si>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</si>
  <si>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</si>
  <si>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</si>
  <si>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</si>
  <si>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</si>
  <si>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</si>
  <si>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</si>
  <si>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</si>
  <si>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</si>
  <si>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</si>
  <si>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</si>
  <si>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</si>
  <si>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</si>
  <si>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</si>
  <si>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</si>
  <si>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</si>
  <si>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</si>
  <si>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</si>
  <si>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</si>
  <si>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</si>
  <si>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</si>
  <si>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</si>
  <si>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</si>
  <si>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</si>
  <si>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</si>
  <si>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</si>
  <si>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</si>
  <si>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</si>
  <si>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</si>
  <si>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</si>
  <si>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</si>
  <si>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</si>
  <si>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</si>
  <si>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</si>
  <si>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</si>
  <si>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</si>
  <si>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</si>
  <si>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</si>
  <si>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</si>
  <si>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</si>
  <si>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</si>
  <si>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</si>
  <si>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</si>
  <si>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</si>
  <si>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</si>
  <si>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</si>
  <si>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</si>
  <si>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</si>
  <si>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</si>
  <si>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</si>
  <si>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</si>
  <si>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</si>
  <si>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</si>
  <si>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</si>
  <si>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</si>
  <si>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</si>
  <si>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</si>
  <si>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</si>
  <si>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</si>
  <si>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</si>
  <si>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</si>
  <si>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</si>
  <si>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</si>
  <si>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</si>
  <si>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</si>
  <si>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</si>
  <si>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</si>
  <si>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</si>
  <si>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</si>
  <si>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</si>
  <si>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</si>
  <si>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</si>
  <si>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</si>
  <si>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</si>
  <si>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</si>
  <si>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</si>
  <si>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</si>
  <si>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</si>
  <si>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</si>
  <si>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</si>
  <si>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</si>
  <si>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</si>
  <si>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</si>
  <si>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</si>
  <si>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</si>
  <si>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</si>
  <si>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</si>
  <si>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</si>
  <si>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</si>
  <si>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</si>
  <si>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</si>
  <si>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</si>
  <si>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</si>
  <si>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</si>
  <si>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</si>
  <si>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</si>
  <si>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</si>
  <si>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</si>
  <si>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</si>
  <si>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</si>
  <si>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</si>
  <si>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</si>
  <si>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</si>
  <si>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</si>
  <si>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</si>
  <si>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</si>
  <si>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</si>
  <si>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</si>
  <si>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</si>
  <si>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</si>
  <si>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</si>
  <si>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</si>
  <si>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</si>
  <si>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</si>
  <si>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</si>
  <si>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</si>
  <si>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</si>
  <si>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</si>
  <si>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</si>
  <si>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</si>
  <si>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</si>
  <si>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</si>
  <si>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</si>
  <si>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</si>
  <si>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</si>
  <si>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</si>
  <si>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</si>
  <si>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</si>
  <si>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</si>
  <si>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</si>
  <si>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</si>
  <si>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</si>
  <si>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</si>
  <si>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</si>
  <si>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</si>
  <si>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</si>
  <si>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</si>
  <si>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</si>
  <si>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</si>
  <si>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</si>
  <si>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</si>
  <si>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</si>
  <si>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</si>
  <si>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</si>
  <si>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</si>
  <si>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</si>
  <si>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</si>
  <si>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</si>
  <si>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</si>
  <si>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</si>
  <si>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</si>
  <si>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</si>
  <si>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</si>
  <si>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</si>
  <si>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</si>
  <si>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</si>
  <si>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</si>
  <si>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</si>
  <si>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</si>
  <si>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</si>
  <si>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</si>
  <si>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</si>
  <si>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</si>
  <si>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</si>
  <si>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</si>
  <si>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</si>
  <si>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</si>
  <si>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</si>
  <si>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</si>
  <si>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</si>
  <si>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</si>
  <si>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</si>
  <si>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</si>
  <si>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</si>
  <si>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</si>
  <si>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</si>
  <si>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</si>
  <si>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</si>
  <si>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</si>
  <si>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</si>
  <si>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</si>
  <si>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</si>
  <si>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</si>
  <si>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</si>
  <si>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</si>
  <si>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</si>
  <si>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</si>
  <si>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</si>
  <si>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</si>
  <si>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</si>
  <si>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</si>
  <si>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</si>
  <si>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</si>
  <si>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</si>
  <si>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</si>
  <si>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</si>
  <si>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</si>
  <si>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</si>
  <si>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</si>
  <si>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</si>
  <si>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</si>
  <si>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</si>
  <si>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</si>
  <si>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</si>
  <si>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</si>
  <si>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</si>
  <si>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</si>
  <si>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</si>
  <si>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</si>
  <si>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</si>
  <si>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</si>
  <si>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</si>
  <si>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</si>
  <si>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</si>
  <si>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</si>
  <si>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</si>
  <si>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</si>
  <si>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</si>
  <si>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</si>
  <si>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</si>
  <si>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</si>
  <si>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</si>
  <si>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</si>
  <si>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</si>
  <si>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</si>
  <si>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</si>
  <si>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</si>
  <si>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</si>
  <si>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</si>
  <si>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</si>
  <si>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</si>
  <si>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</si>
  <si>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</si>
  <si>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</si>
  <si>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</si>
  <si>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</si>
  <si>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</si>
  <si>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</si>
  <si>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</si>
  <si>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</si>
  <si>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</si>
  <si>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</si>
  <si>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</si>
  <si>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</si>
  <si>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</si>
  <si>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</si>
  <si>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</si>
  <si>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</si>
  <si>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</si>
  <si>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</si>
  <si>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</si>
  <si>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</si>
  <si>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</si>
  <si>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</si>
  <si>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</si>
  <si>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</si>
  <si>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</si>
  <si>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</si>
  <si>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</si>
  <si>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</si>
  <si>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</si>
  <si>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</si>
  <si>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</si>
  <si>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</si>
  <si>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</si>
  <si>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</si>
  <si>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</si>
  <si>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</si>
  <si>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</si>
  <si>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</si>
  <si>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</si>
  <si>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</si>
  <si>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</si>
  <si>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</si>
  <si>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</si>
  <si>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</si>
  <si>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</si>
  <si>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</si>
  <si>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</si>
  <si>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</si>
  <si>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</si>
  <si>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</si>
  <si>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</si>
  <si>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</si>
  <si>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</si>
  <si>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</si>
  <si>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</si>
  <si>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</si>
  <si>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</si>
  <si>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</si>
  <si>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</si>
  <si>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</si>
  <si>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</si>
  <si>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</si>
  <si>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</si>
  <si>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</si>
  <si>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</si>
  <si>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</si>
  <si>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</si>
  <si>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</si>
  <si>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</si>
  <si>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</si>
  <si>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</si>
  <si>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</si>
  <si>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</si>
  <si>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</si>
  <si>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</si>
  <si>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</si>
  <si>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</si>
  <si>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</si>
  <si>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</si>
  <si>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</si>
  <si>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</si>
  <si>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</si>
  <si>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</si>
  <si>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</si>
  <si>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</si>
  <si>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</si>
  <si>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</si>
  <si>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</si>
  <si>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</si>
  <si>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</si>
  <si>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</si>
  <si>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</si>
  <si>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</si>
  <si>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</si>
  <si>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</si>
  <si>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</si>
  <si>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</si>
  <si>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</si>
  <si>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</si>
  <si>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</si>
  <si>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</si>
  <si>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</si>
  <si>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</si>
  <si>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</si>
  <si>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</si>
  <si>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</si>
  <si>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</si>
  <si>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</si>
  <si>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</si>
  <si>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</si>
  <si>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</si>
  <si>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</si>
  <si>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</si>
  <si>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</si>
  <si>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</si>
  <si>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</si>
  <si>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</si>
  <si>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</si>
  <si>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</si>
  <si>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</si>
  <si>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</si>
  <si>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</si>
  <si>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</si>
  <si>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</si>
  <si>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</si>
  <si>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</si>
  <si>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</si>
  <si>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</si>
  <si>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</si>
  <si>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</si>
  <si>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</si>
  <si>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</si>
  <si>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</si>
  <si>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</si>
  <si>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</si>
  <si>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</si>
  <si>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</si>
  <si>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</si>
  <si>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</si>
  <si>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</si>
  <si>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</si>
  <si>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</si>
  <si>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</si>
  <si>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</si>
  <si>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</si>
  <si>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</si>
  <si>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</si>
  <si>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</si>
  <si>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</si>
  <si>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</si>
  <si>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</si>
  <si>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</si>
  <si>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</si>
  <si>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</si>
  <si>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</si>
  <si>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</si>
  <si>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</si>
  <si>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</si>
  <si>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</si>
  <si>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</si>
  <si>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</si>
  <si>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</si>
  <si>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</si>
  <si>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</si>
  <si>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</si>
  <si>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</si>
  <si>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</si>
  <si>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</si>
  <si>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</si>
  <si>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</si>
  <si>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</si>
  <si>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</si>
  <si>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</si>
  <si>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</si>
  <si>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</si>
  <si>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</si>
  <si>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</si>
  <si>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</si>
  <si>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</si>
  <si>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</si>
  <si>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</si>
  <si>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</si>
  <si>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</si>
  <si>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</si>
  <si>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</si>
  <si>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</si>
  <si>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</si>
  <si>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</si>
  <si>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</si>
  <si>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</si>
  <si>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</si>
  <si>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</si>
  <si>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</si>
  <si>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</si>
  <si>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</si>
  <si>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</si>
  <si>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</si>
  <si>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</si>
  <si>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</si>
  <si>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</si>
  <si>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</si>
  <si>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</si>
  <si>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</si>
  <si>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</si>
  <si>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</si>
  <si>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</si>
  <si>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</si>
  <si>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</si>
  <si>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</si>
  <si>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</si>
  <si>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</si>
  <si>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</si>
  <si>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</si>
  <si>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</si>
  <si>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</si>
  <si>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</si>
  <si>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</si>
  <si>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</si>
  <si>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</si>
  <si>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</si>
  <si>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</si>
  <si>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</si>
  <si>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</si>
  <si>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</si>
  <si>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</si>
  <si>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</si>
  <si>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</si>
  <si>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</si>
  <si>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</si>
  <si>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</si>
  <si>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</si>
  <si>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</si>
  <si>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</si>
  <si>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</si>
  <si>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</si>
  <si>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</si>
  <si>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</si>
  <si>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</si>
  <si>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</si>
  <si>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</si>
  <si>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</si>
  <si>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</si>
  <si>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</si>
  <si>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</si>
  <si>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</si>
  <si>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</si>
  <si>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</si>
  <si>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</si>
  <si>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</si>
  <si>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</si>
  <si>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</si>
  <si>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</si>
  <si>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</si>
  <si>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</si>
  <si>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</si>
  <si>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</si>
  <si>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</si>
  <si>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</si>
  <si>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</si>
  <si>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</si>
  <si>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</si>
  <si>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</si>
  <si>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</si>
  <si>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</si>
  <si>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</si>
  <si>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</si>
  <si>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</si>
  <si>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</si>
  <si>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</si>
  <si>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</si>
  <si>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</si>
  <si>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</si>
  <si>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</si>
  <si>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</si>
  <si>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</si>
  <si>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</si>
  <si>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</si>
  <si>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</si>
  <si>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</si>
  <si>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</si>
  <si>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</si>
  <si>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</si>
  <si>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</si>
  <si>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</si>
  <si>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</si>
  <si>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</si>
  <si>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</si>
  <si>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</si>
  <si>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</si>
  <si>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</si>
  <si>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</si>
  <si>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</si>
  <si>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</si>
  <si>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</si>
  <si>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</si>
  <si>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</si>
  <si>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</si>
  <si>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</si>
  <si>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</si>
  <si>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</si>
  <si>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</si>
  <si>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</si>
  <si>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</si>
  <si>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</si>
  <si>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</si>
  <si>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</si>
  <si>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</si>
  <si>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</si>
  <si>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</si>
  <si>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</si>
  <si>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</si>
  <si>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</si>
  <si>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</si>
  <si>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</si>
  <si>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</si>
  <si>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</si>
  <si>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</si>
  <si>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</si>
  <si>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</si>
  <si>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</si>
  <si>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</si>
  <si>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</si>
  <si>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</si>
  <si>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</si>
  <si>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</si>
  <si>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</si>
  <si>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</si>
  <si>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</si>
  <si>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</si>
  <si>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</si>
  <si>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</si>
  <si>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</si>
  <si>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</si>
  <si>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</si>
  <si>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</si>
  <si>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</si>
  <si>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</si>
  <si>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</si>
  <si>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</si>
  <si>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</si>
  <si>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</si>
  <si>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</si>
  <si>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</si>
  <si>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</si>
  <si>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</si>
  <si>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</si>
  <si>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</si>
  <si>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</si>
  <si>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</si>
  <si>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</si>
  <si>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</si>
  <si>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</si>
  <si>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</si>
  <si>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</si>
  <si>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</si>
  <si>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</si>
  <si>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</si>
  <si>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</si>
  <si>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</si>
  <si>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</si>
  <si>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</si>
  <si>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</si>
  <si>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</si>
  <si>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</si>
  <si>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</si>
  <si>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</si>
  <si>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</si>
  <si>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</si>
  <si>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</si>
  <si>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</si>
  <si>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</si>
  <si>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</si>
  <si>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</si>
  <si>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</si>
  <si>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</si>
  <si>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</si>
  <si>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</si>
  <si>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</si>
  <si>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</si>
  <si>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</si>
  <si>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</si>
  <si>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</si>
  <si>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</si>
  <si>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</si>
  <si>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</si>
  <si>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</si>
  <si>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</si>
  <si>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</si>
  <si>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</si>
  <si>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</si>
  <si>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</si>
  <si>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</si>
  <si>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</si>
  <si>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</si>
  <si>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</si>
  <si>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</si>
  <si>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</si>
  <si>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</si>
  <si>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</si>
  <si>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</si>
  <si>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</si>
  <si>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</si>
  <si>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</si>
  <si>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</si>
  <si>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</si>
  <si>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</si>
  <si>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</si>
  <si>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</si>
  <si>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</si>
  <si>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</si>
  <si>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</si>
  <si>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</si>
  <si>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</si>
  <si>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</si>
  <si>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</si>
  <si>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</si>
  <si>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</si>
  <si>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</si>
  <si>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</si>
  <si>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</si>
  <si>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</si>
  <si>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</si>
  <si>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</si>
  <si>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</si>
  <si>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</si>
  <si>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</si>
  <si>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</si>
  <si>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</si>
  <si>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</si>
  <si>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</si>
  <si>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</si>
  <si>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</si>
  <si>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</si>
  <si>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</si>
  <si>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</si>
  <si>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</si>
  <si>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</si>
  <si>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</si>
  <si>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</si>
  <si>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</si>
  <si>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</si>
  <si>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</si>
  <si>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</si>
  <si>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</si>
  <si>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</si>
  <si>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</si>
  <si>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</si>
  <si>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</si>
  <si>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</si>
  <si>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</si>
  <si>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</si>
  <si>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</si>
  <si>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</si>
  <si>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</si>
  <si>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</si>
  <si>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</si>
  <si>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</si>
  <si>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</si>
  <si>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</si>
  <si>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</si>
  <si>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</si>
  <si>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</si>
  <si>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</si>
  <si>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</si>
  <si>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</si>
  <si>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</si>
  <si>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</si>
  <si>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</si>
  <si>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</si>
  <si>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</si>
  <si>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</si>
  <si>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</si>
  <si>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</si>
  <si>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</si>
  <si>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</si>
  <si>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</si>
  <si>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</si>
  <si>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</si>
  <si>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</si>
  <si>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</si>
  <si>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</si>
  <si>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</si>
  <si>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</si>
  <si>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</si>
  <si>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</si>
  <si>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</si>
  <si>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</si>
  <si>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</si>
  <si>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</si>
  <si>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</si>
  <si>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</si>
  <si>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</si>
  <si>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</si>
  <si>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</si>
  <si>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</si>
  <si>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</si>
  <si>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</si>
  <si>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</si>
  <si>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</si>
  <si>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</si>
  <si>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</si>
  <si>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</si>
  <si>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</si>
  <si>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</si>
  <si>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</si>
  <si>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</si>
  <si>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</si>
  <si>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</si>
  <si>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</si>
  <si>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</si>
  <si>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</si>
  <si>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</si>
  <si>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</si>
  <si>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</si>
  <si>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</si>
  <si>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</si>
  <si>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</si>
  <si>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</si>
  <si>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</si>
  <si>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</si>
  <si>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</si>
  <si>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</si>
  <si>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</si>
  <si>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</si>
  <si>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</si>
  <si>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</si>
  <si>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</si>
  <si>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</si>
  <si>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</si>
  <si>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</si>
  <si>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</si>
  <si>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</si>
  <si>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</si>
  <si>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</si>
  <si>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</si>
  <si>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</si>
  <si>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</si>
  <si>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</si>
  <si>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</si>
  <si>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</si>
  <si>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</si>
  <si>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</si>
  <si>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</si>
  <si>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</si>
  <si>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</si>
  <si>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</si>
  <si>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</si>
  <si>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</si>
  <si>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</si>
  <si>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</si>
  <si>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</si>
  <si>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</si>
  <si>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</si>
  <si>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</si>
  <si>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</si>
  <si>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</si>
  <si>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</si>
  <si>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</si>
  <si>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</si>
  <si>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</si>
  <si>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</si>
  <si>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</si>
  <si>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</si>
  <si>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</si>
  <si>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</si>
  <si>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</si>
  <si>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</si>
  <si>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</si>
  <si>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</si>
  <si>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</si>
  <si>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</si>
  <si>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</si>
  <si>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</si>
  <si>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</si>
  <si>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</si>
  <si>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</si>
  <si>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</si>
  <si>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</si>
  <si>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</si>
  <si>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</si>
  <si>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</si>
  <si>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</si>
  <si>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</si>
  <si>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</si>
  <si>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</si>
  <si>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</si>
  <si>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</si>
  <si>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</si>
  <si>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</si>
  <si>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</si>
  <si>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</si>
  <si>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</si>
  <si>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</si>
  <si>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</si>
  <si>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</si>
  <si>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</si>
  <si>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</si>
  <si>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</si>
  <si>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</si>
  <si>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</si>
  <si>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</si>
  <si>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</si>
  <si>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</si>
  <si>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</si>
  <si>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</si>
  <si>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</si>
  <si>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</si>
  <si>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</si>
  <si>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</si>
  <si>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</si>
  <si>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</si>
  <si>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</si>
  <si>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</si>
  <si>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</si>
  <si>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</si>
  <si>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</si>
  <si>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</si>
  <si>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</si>
  <si>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</si>
  <si>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</si>
  <si>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</si>
  <si>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</si>
  <si>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</si>
  <si>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</si>
  <si>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</si>
  <si>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</si>
  <si>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</si>
  <si>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</si>
  <si>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</si>
  <si>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</si>
  <si>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</si>
  <si>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</si>
  <si>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</si>
  <si>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</si>
  <si>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</si>
  <si>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</si>
  <si>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</si>
  <si>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</si>
  <si>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</si>
  <si>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</si>
  <si>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</si>
  <si>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</si>
  <si>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</si>
  <si>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</si>
  <si>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</si>
  <si>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</si>
  <si>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</si>
  <si>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</si>
  <si>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</si>
  <si>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</si>
  <si>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</si>
  <si>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</si>
  <si>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</si>
  <si>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</si>
  <si>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</si>
  <si>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</si>
  <si>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</si>
  <si>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</si>
  <si>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</si>
  <si>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</si>
  <si>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</si>
  <si>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</si>
  <si>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</si>
  <si>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</si>
  <si>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</si>
  <si>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</si>
  <si>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</si>
  <si>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</si>
  <si>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</si>
  <si>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</si>
  <si>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</si>
  <si>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</si>
  <si>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</si>
  <si>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</si>
  <si>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</si>
  <si>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</si>
  <si>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</si>
  <si>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</si>
  <si>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</si>
  <si>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</si>
  <si>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</si>
  <si>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</si>
  <si>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</si>
  <si>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</si>
  <si>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</si>
  <si>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</si>
  <si>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</si>
  <si>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</si>
  <si>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</si>
  <si>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</si>
  <si>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</si>
  <si>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</si>
  <si>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</si>
  <si>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</si>
  <si>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</si>
  <si>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</si>
  <si>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</si>
  <si>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</si>
  <si>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</si>
  <si>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</si>
  <si>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</si>
  <si>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</si>
  <si>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</si>
  <si>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</si>
  <si>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</si>
  <si>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</si>
  <si>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</si>
  <si>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</si>
  <si>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</si>
  <si>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</si>
  <si>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</si>
  <si>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</si>
  <si>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</si>
  <si>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</si>
  <si>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</si>
  <si>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</si>
  <si>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</si>
  <si>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</si>
  <si>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</si>
  <si>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</si>
  <si>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</si>
  <si>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</si>
  <si>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</si>
  <si>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</si>
  <si>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</si>
  <si>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</si>
  <si>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</si>
  <si>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</si>
  <si>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</si>
  <si>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</si>
  <si>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</si>
  <si>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</si>
  <si>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</si>
  <si>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</si>
  <si>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</si>
  <si>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</si>
  <si>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</si>
  <si>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</si>
  <si>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</si>
  <si>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</si>
  <si>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</si>
  <si>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</si>
  <si>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</si>
  <si>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</si>
  <si>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</si>
  <si>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</si>
  <si>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</si>
  <si>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</si>
  <si>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</si>
  <si>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</si>
  <si>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</si>
  <si>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</si>
  <si>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</si>
  <si>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</si>
  <si>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</si>
  <si>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</si>
  <si>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</si>
  <si>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</si>
  <si>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</si>
  <si>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</si>
  <si>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</si>
  <si>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</si>
  <si>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</si>
  <si>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</si>
  <si>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</si>
  <si>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</si>
  <si>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</si>
  <si>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</si>
  <si>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</si>
  <si>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</si>
  <si>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</si>
  <si>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</si>
  <si>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</si>
  <si>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</si>
  <si>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</si>
  <si>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</si>
  <si>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</si>
  <si>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</si>
  <si>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</si>
  <si>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</si>
  <si>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</si>
  <si>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</si>
  <si>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</si>
  <si>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</si>
  <si>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</si>
  <si>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</si>
  <si>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</si>
  <si>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</si>
  <si>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</si>
  <si>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</si>
  <si>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</si>
  <si>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</si>
  <si>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</si>
  <si>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</si>
  <si>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</si>
  <si>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</si>
  <si>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</si>
  <si>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</si>
  <si>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</si>
  <si>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</si>
  <si>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</si>
  <si>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</si>
  <si>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</si>
  <si>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</si>
  <si>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</si>
  <si>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</si>
  <si>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</si>
  <si>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</si>
  <si>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</si>
  <si>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</si>
  <si>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</si>
  <si>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</si>
  <si>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</si>
  <si>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</si>
  <si>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</si>
  <si>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</si>
  <si>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</si>
  <si>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</si>
  <si>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</si>
  <si>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</si>
  <si>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</si>
  <si>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</si>
  <si>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</si>
  <si>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</si>
  <si>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</si>
  <si>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</si>
  <si>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</si>
  <si>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</si>
  <si>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</si>
  <si>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</si>
  <si>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</si>
  <si>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</si>
  <si>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</si>
  <si>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</si>
  <si>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</si>
  <si>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</si>
  <si>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</si>
  <si>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</si>
  <si>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</si>
  <si>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</si>
  <si>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</si>
  <si>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</si>
  <si>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</si>
  <si>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</si>
  <si>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</si>
  <si>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</si>
  <si>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</si>
  <si>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</si>
  <si>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</si>
  <si>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</si>
  <si>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</si>
  <si>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</si>
  <si>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</si>
  <si>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</si>
  <si>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</si>
  <si>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</si>
  <si>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</si>
  <si>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</si>
  <si>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</si>
  <si>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</si>
  <si>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</si>
  <si>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</si>
  <si>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</si>
  <si>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</si>
  <si>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</si>
  <si>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</si>
  <si>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</si>
  <si>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</si>
  <si>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</si>
  <si>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</si>
  <si>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</si>
  <si>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</si>
  <si>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</si>
  <si>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</si>
  <si>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</si>
  <si>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</si>
  <si>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</si>
  <si>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</si>
  <si>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</si>
  <si>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</si>
  <si>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</si>
  <si>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</si>
  <si>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</si>
  <si>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</si>
  <si>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</si>
  <si>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</si>
  <si>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</si>
  <si>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</si>
  <si>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</si>
  <si>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</si>
  <si>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</si>
  <si>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</si>
  <si>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</si>
  <si>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</si>
  <si>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</si>
  <si>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</si>
  <si>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</si>
  <si>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</si>
  <si>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</si>
  <si>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</si>
  <si>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</si>
  <si>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</si>
  <si>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</si>
  <si>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</si>
  <si>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</si>
  <si>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</si>
  <si>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</si>
  <si>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</si>
  <si>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</si>
  <si>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</si>
  <si>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</si>
  <si>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</si>
  <si>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</si>
  <si>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</si>
  <si>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</si>
  <si>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</si>
  <si>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</si>
  <si>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</si>
  <si>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</si>
  <si>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</si>
  <si>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</si>
  <si>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</si>
  <si>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</si>
  <si>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</si>
  <si>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</si>
  <si>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</si>
  <si>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</si>
  <si>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</si>
  <si>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</si>
  <si>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</si>
  <si>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</si>
  <si>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</si>
  <si>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</si>
  <si>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</si>
  <si>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</si>
  <si>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</si>
  <si>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</si>
  <si>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</si>
  <si>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</si>
  <si>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</si>
  <si>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</si>
  <si>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</si>
  <si>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</si>
  <si>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</si>
  <si>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</si>
  <si>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</si>
  <si>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</si>
  <si>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</si>
  <si>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</si>
  <si>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</si>
  <si>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</si>
  <si>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</si>
  <si>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</si>
  <si>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</si>
  <si>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</si>
  <si>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</si>
  <si>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</si>
  <si>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</si>
  <si>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</si>
  <si>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</si>
  <si>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</si>
  <si>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</si>
  <si>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</si>
  <si>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</si>
  <si>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</si>
  <si>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</si>
  <si>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</si>
  <si>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</si>
  <si>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</si>
  <si>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</si>
  <si>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</si>
  <si>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</si>
  <si>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</si>
  <si>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</si>
  <si>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</si>
  <si>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</si>
  <si>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</si>
  <si>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</si>
  <si>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</si>
  <si>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</si>
  <si>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</si>
  <si>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</si>
  <si>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</si>
  <si>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</si>
  <si>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</si>
  <si>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</si>
  <si>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</si>
  <si>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</si>
  <si>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</si>
  <si>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</si>
  <si>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</si>
  <si>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</si>
  <si>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</si>
  <si>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</si>
  <si>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</si>
  <si>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</si>
  <si>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</si>
  <si>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</si>
  <si>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</si>
  <si>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</si>
  <si>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</si>
  <si>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</si>
  <si>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</si>
  <si>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</si>
  <si>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</si>
  <si>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</si>
  <si>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</si>
  <si>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</si>
  <si>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</si>
  <si>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</si>
  <si>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</si>
  <si>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</si>
  <si>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</si>
  <si>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</si>
  <si>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</si>
  <si>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</si>
  <si>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</si>
  <si>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</si>
  <si>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</si>
  <si>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</si>
  <si>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</si>
  <si>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</si>
  <si>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</si>
  <si>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</si>
  <si>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</si>
  <si>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</si>
  <si>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</si>
  <si>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</si>
  <si>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</si>
  <si>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</si>
  <si>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</si>
  <si>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</si>
  <si>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</si>
  <si>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</si>
  <si>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</si>
  <si>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</si>
  <si>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</si>
  <si>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</si>
  <si>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</si>
  <si>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</si>
  <si>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</si>
  <si>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</si>
  <si>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</si>
  <si>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</si>
  <si>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</si>
  <si>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</si>
  <si>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</si>
  <si>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</si>
  <si>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</si>
  <si>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</si>
  <si>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</si>
  <si>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</si>
  <si>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</si>
  <si>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</si>
  <si>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</si>
  <si>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</si>
  <si>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</si>
  <si>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</si>
  <si>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</si>
  <si>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</si>
  <si>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</si>
  <si>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</si>
  <si>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</si>
  <si>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</si>
  <si>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</si>
  <si>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</si>
  <si>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</si>
  <si>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</si>
  <si>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</si>
  <si>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</si>
  <si>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</si>
  <si>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</si>
  <si>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</si>
  <si>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</si>
  <si>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</si>
  <si>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</si>
  <si>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</si>
  <si>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</si>
  <si>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</si>
  <si>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</si>
  <si>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</si>
  <si>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</si>
  <si>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</si>
  <si>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</si>
  <si>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</si>
  <si>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</si>
  <si>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</si>
  <si>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</si>
  <si>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</si>
  <si>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</si>
  <si>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</si>
  <si>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</si>
  <si>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</si>
  <si>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</si>
  <si>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</si>
  <si>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</si>
  <si>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</si>
  <si>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</si>
  <si>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</si>
  <si>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</si>
  <si>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</si>
  <si>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</si>
  <si>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</si>
  <si>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</si>
  <si>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</si>
  <si>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</si>
  <si>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</si>
  <si>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</si>
  <si>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</si>
  <si>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</si>
  <si>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</si>
  <si>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</si>
  <si>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</si>
  <si>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</si>
  <si>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</si>
  <si>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</si>
  <si>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</si>
  <si>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</si>
  <si>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</si>
  <si>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</si>
  <si>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</si>
  <si>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</si>
  <si>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</si>
  <si>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</si>
  <si>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</si>
  <si>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</si>
  <si>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</si>
  <si>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</si>
  <si>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</si>
  <si>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</si>
  <si>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</si>
  <si>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</si>
  <si>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</si>
  <si>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</si>
  <si>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</si>
  <si>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</si>
  <si>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</si>
  <si>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</si>
  <si>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</si>
  <si>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</si>
  <si>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</si>
  <si>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</si>
  <si>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</si>
  <si>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</si>
  <si>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</si>
  <si>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</si>
  <si>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</si>
  <si>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</si>
  <si>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</si>
  <si>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</si>
  <si>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</si>
  <si>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</si>
  <si>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</si>
  <si>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</si>
  <si>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</si>
  <si>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</si>
  <si>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</si>
  <si>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</si>
  <si>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</si>
  <si>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</si>
  <si>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</si>
  <si>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</si>
  <si>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</si>
  <si>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</si>
  <si>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</si>
  <si>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</si>
  <si>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</si>
  <si>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</si>
  <si>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</si>
  <si>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</si>
  <si>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</si>
  <si>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</si>
  <si>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</si>
  <si>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</si>
  <si>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</si>
  <si>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</si>
  <si>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</si>
  <si>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</si>
  <si>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</si>
  <si>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</si>
  <si>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</si>
  <si>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</si>
  <si>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</si>
  <si>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</si>
  <si>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</si>
  <si>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</si>
  <si>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</si>
  <si>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</si>
  <si>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</si>
  <si>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</si>
  <si>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</si>
  <si>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</si>
  <si>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</si>
  <si>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</si>
  <si>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</si>
  <si>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</si>
  <si>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</si>
  <si>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</si>
  <si>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</si>
  <si>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</si>
  <si>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</si>
  <si>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</si>
  <si>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</si>
  <si>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</si>
  <si>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</si>
  <si>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</si>
  <si>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</si>
  <si>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</si>
  <si>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</si>
  <si>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</si>
  <si>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</si>
  <si>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</si>
  <si>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</si>
  <si>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</si>
  <si>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</si>
  <si>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</si>
  <si>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</si>
  <si>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</si>
  <si>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</si>
  <si>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</si>
  <si>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</si>
  <si>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</si>
  <si>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</si>
  <si>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</si>
  <si>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</si>
  <si>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</si>
  <si>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</si>
  <si>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</si>
  <si>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</si>
  <si>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</si>
  <si>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</si>
  <si>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</si>
  <si>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</si>
  <si>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</si>
  <si>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</si>
  <si>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</si>
  <si>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</si>
  <si>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</si>
  <si>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</si>
  <si>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</si>
  <si>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</si>
  <si>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</si>
  <si>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</si>
  <si>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</si>
  <si>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</si>
  <si>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</si>
  <si>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</si>
  <si>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</si>
  <si>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</si>
  <si>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</si>
  <si>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</si>
  <si>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</si>
  <si>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</si>
  <si>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</si>
  <si>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</si>
  <si>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</si>
  <si>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</si>
  <si>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</si>
  <si>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</si>
  <si>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</si>
  <si>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</si>
  <si>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</si>
  <si>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</si>
  <si>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</si>
  <si>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</si>
  <si>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</si>
  <si>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</si>
  <si>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</si>
  <si>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</si>
  <si>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</si>
  <si>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</si>
  <si>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</si>
  <si>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</si>
  <si>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</si>
  <si>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</si>
  <si>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</si>
  <si>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</si>
  <si>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</si>
  <si>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</si>
  <si>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</si>
  <si>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</si>
  <si>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</si>
  <si>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</si>
  <si>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</si>
  <si>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</si>
  <si>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</si>
  <si>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</si>
  <si>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</si>
  <si>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</si>
  <si>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</si>
  <si>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</si>
  <si>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</si>
  <si>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</si>
  <si>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</si>
  <si>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</si>
  <si>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</si>
  <si>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</si>
  <si>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</si>
  <si>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</si>
  <si>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</si>
  <si>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</si>
  <si>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</si>
  <si>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</si>
  <si>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</si>
  <si>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</si>
  <si>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</si>
  <si>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</si>
  <si>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</si>
  <si>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</si>
  <si>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</si>
  <si>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</si>
  <si>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</si>
  <si>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</si>
  <si>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</si>
  <si>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</si>
  <si>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</si>
  <si>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</si>
  <si>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</si>
  <si>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</si>
  <si>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</si>
  <si>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</si>
  <si>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</si>
  <si>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</si>
  <si>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</si>
  <si>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</si>
  <si>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</si>
  <si>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</si>
  <si>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</si>
  <si>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</si>
  <si>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</si>
  <si>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</si>
  <si>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</si>
  <si>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</si>
  <si>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</si>
  <si>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</si>
  <si>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</si>
  <si>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</si>
  <si>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</si>
  <si>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</si>
  <si>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</si>
  <si>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</si>
  <si>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</si>
  <si>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</si>
  <si>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</si>
  <si>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</si>
  <si>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</si>
  <si>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</si>
  <si>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</si>
  <si>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</si>
  <si>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</si>
  <si>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</si>
  <si>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</si>
  <si>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</si>
  <si>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</si>
  <si>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</si>
  <si>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</si>
  <si>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</si>
  <si>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</si>
  <si>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</si>
  <si>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</si>
  <si>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</si>
  <si>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</si>
  <si>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</si>
  <si>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</si>
  <si>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</si>
  <si>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</si>
  <si>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</si>
  <si>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</si>
  <si>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</si>
  <si>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</si>
  <si>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</si>
  <si>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</si>
  <si>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</si>
  <si>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</si>
  <si>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</si>
  <si>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</si>
  <si>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</si>
  <si>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</si>
  <si>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</si>
  <si>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</si>
  <si>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</si>
  <si>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</si>
  <si>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</si>
  <si>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</si>
  <si>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</si>
  <si>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</si>
  <si>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</si>
  <si>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</si>
  <si>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</si>
  <si>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</si>
  <si>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</si>
  <si>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</si>
  <si>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</si>
  <si>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</si>
  <si>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</si>
  <si>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</si>
  <si>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</si>
  <si>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</si>
  <si>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</si>
  <si>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</si>
  <si>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</si>
  <si>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</si>
  <si>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</si>
  <si>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</si>
  <si>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</si>
  <si>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</si>
  <si>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</si>
  <si>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</si>
  <si>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</si>
  <si>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</si>
  <si>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</si>
  <si>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</si>
  <si>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</si>
  <si>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</si>
  <si>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</si>
  <si>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</si>
  <si>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</si>
  <si>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</si>
  <si>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</si>
  <si>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</si>
  <si>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</si>
  <si>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</si>
  <si>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</si>
  <si>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</si>
  <si>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</si>
  <si>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</si>
  <si>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</si>
  <si>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</si>
  <si>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</si>
  <si>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</si>
  <si>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</si>
  <si>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</si>
  <si>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</si>
  <si>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</si>
  <si>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</si>
  <si>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</si>
  <si>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</si>
  <si>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</si>
  <si>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</si>
  <si>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</si>
  <si>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</si>
  <si>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</si>
  <si>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</si>
  <si>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</si>
  <si>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</si>
  <si>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</si>
  <si>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</si>
  <si>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</si>
  <si>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</si>
  <si>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</si>
  <si>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</si>
  <si>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</si>
  <si>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</si>
  <si>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</si>
  <si>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</si>
  <si>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</si>
  <si>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</si>
  <si>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</si>
  <si>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</si>
  <si>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</si>
  <si>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</si>
  <si>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</si>
  <si>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</si>
  <si>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</si>
  <si>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</si>
  <si>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</si>
  <si>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</si>
  <si>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</si>
  <si>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</si>
  <si>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</si>
  <si>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</si>
  <si>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</si>
  <si>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</si>
  <si>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</si>
  <si>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</si>
  <si>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</si>
  <si>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</si>
  <si>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</si>
  <si>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</si>
  <si>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</si>
  <si>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</si>
  <si>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</si>
  <si>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</si>
  <si>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</si>
  <si>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</si>
  <si>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</si>
  <si>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</si>
  <si>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</si>
  <si>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</si>
  <si>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</si>
  <si>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</si>
  <si>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</si>
  <si>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</si>
  <si>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</si>
  <si>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</si>
  <si>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</si>
  <si>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</si>
  <si>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</si>
  <si>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</si>
  <si>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</si>
  <si>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</si>
  <si>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</si>
  <si>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</si>
  <si>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</si>
  <si>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</si>
  <si>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</si>
  <si>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</si>
  <si>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</si>
  <si>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</si>
  <si>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</si>
  <si>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</si>
  <si>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</si>
  <si>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</si>
  <si>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</si>
  <si>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</si>
  <si>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</si>
  <si>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</si>
  <si>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</si>
  <si>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</si>
  <si>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</si>
  <si>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</si>
  <si>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</si>
  <si>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</si>
  <si>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</si>
  <si>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</si>
  <si>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</si>
  <si>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</si>
  <si>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</si>
  <si>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</si>
  <si>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</si>
  <si>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</si>
  <si>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</si>
  <si>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</si>
  <si>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</si>
  <si>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</si>
  <si>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</si>
  <si>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</si>
  <si>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</si>
  <si>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</si>
  <si>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</si>
  <si>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</si>
  <si>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</si>
  <si>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</si>
  <si>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</si>
  <si>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</si>
  <si>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</si>
  <si>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</si>
  <si>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</si>
  <si>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</si>
  <si>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</si>
  <si>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</si>
  <si>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</si>
  <si>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</si>
  <si>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</si>
  <si>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</si>
  <si>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</si>
  <si>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</si>
  <si>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</si>
  <si>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</si>
  <si>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</si>
  <si>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</si>
  <si>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</si>
  <si>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</si>
  <si>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</si>
  <si>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</si>
  <si>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</si>
  <si>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</si>
  <si>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</si>
  <si>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</si>
  <si>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</si>
  <si>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</si>
  <si>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</si>
  <si>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</si>
  <si>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</si>
  <si>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</si>
  <si>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</si>
  <si>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</si>
  <si>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</si>
  <si>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</si>
  <si>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</si>
  <si>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</si>
  <si>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</si>
  <si>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</si>
  <si>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</si>
  <si>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Emling &amp; Hoffman, P.C.</t>
  </si>
  <si>
    <t>As discussed in Note A in the Notes to the Basic Financial Statements, detailed property records are not presently maintained; consequently, we are unable to express an opinion on the General Fixed Assets Account Group.</t>
  </si>
  <si>
    <t>Segregation of duties.</t>
  </si>
  <si>
    <t>There are limited segregation of duties over cash receipts and disbursements, receiving and purchasing, recording of transactions and reconciliation of bank accounts.  The School District employs too few individuals to perform all of the previously mentioned functions separately.</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</si>
  <si>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</si>
  <si>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</si>
  <si>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</si>
  <si>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arrangements may not permit an adequate segregation of duties, it is important that the personnel and management are aware of this condition.</t>
  </si>
  <si>
    <t>The School District is aware of this condition.  They will review their staffing arrangements, assignment of duties, and employee bonding.</t>
  </si>
  <si>
    <t>2019-001</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</si>
  <si>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</si>
  <si>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The School District is aware of this condition.  However, due to budget restraints, the School District cannot hire more personnel.  The School District will continue to review their staffing arrangements, assignment of duties, and employee bonding.</t>
  </si>
  <si>
    <t>2019-002</t>
  </si>
  <si>
    <t>Personnel of the School District do not currently possess the skills necessary to draft financial statements and footnotes in accordance with the regulatory basis of accounting.</t>
  </si>
  <si>
    <t>Because the Illinois State Board of Education requires the School District's auditor to prepare the Annual Financial Report, we no longer feel this finding is relevant.</t>
  </si>
  <si>
    <t>Jackson</t>
  </si>
  <si>
    <t>311 Hurst Rd</t>
  </si>
  <si>
    <t>DeSoto</t>
  </si>
  <si>
    <t>nwilson@desoto86.org</t>
  </si>
  <si>
    <t>Nathaniel Wilson</t>
  </si>
  <si>
    <t>618-867-2317</t>
  </si>
  <si>
    <t>618-867-3233</t>
  </si>
  <si>
    <t>Emling&amp; Hoffman, P.C.</t>
  </si>
  <si>
    <t>Donald L Hoffman</t>
  </si>
  <si>
    <t>105 E Main St</t>
  </si>
  <si>
    <t>Du Quoin</t>
  </si>
  <si>
    <t>IL</t>
  </si>
  <si>
    <t>618-542-4747</t>
  </si>
  <si>
    <t>618-542-6141</t>
  </si>
  <si>
    <t>065-012078</t>
  </si>
  <si>
    <t>donhoffman@emlingcpa.com</t>
  </si>
  <si>
    <t>Cheryl Graff</t>
  </si>
  <si>
    <t>cgraff@roe30.org</t>
  </si>
  <si>
    <t>618-867-7290</t>
  </si>
  <si>
    <t>618-867-7296</t>
  </si>
  <si>
    <t>Part C - Other Issues - #20:  Finding 2020-001 is related to a lack of segregation of duties.</t>
  </si>
  <si>
    <t>2015 Bond Issue</t>
  </si>
  <si>
    <t>Nexterra Energy Services</t>
  </si>
  <si>
    <t>ED-Operations &amp; Maintenance of Plant Services-Supplies &amp; Materials</t>
  </si>
  <si>
    <t>Prairie State Insurance Cooperative</t>
  </si>
  <si>
    <t>Gilbert, Huffman, Prosser, Hewson &amp; Barke LTD</t>
  </si>
  <si>
    <t>Tri County Special Education District</t>
  </si>
  <si>
    <t>10-1719 Admissions - Other:  Concession Sales $5,928.</t>
  </si>
  <si>
    <t>10-1829 Sales - Other:  Agenda Books $14.</t>
  </si>
  <si>
    <t>10-3999 Other State Grants:  Library Per Capita Grant $750.</t>
  </si>
  <si>
    <t>10-2900 Other Support Services: Clothing for Homeless $393.</t>
  </si>
  <si>
    <t>10-4190 Other Payments to In-State Gov't Units:  School Resource Officer $18,952.</t>
  </si>
  <si>
    <t>Desoto Cons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</si>
</sst>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4" fillId="0" borderId="0" xfId="3" applyNumberFormat="1" applyFont="1" applyAlignment="1" applyProtection="1">
      <alignment horizontal="center" vertical="center"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D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D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3</xdr:row>
          <xdr:rowOff>0</xdr:rowOff>
        </xdr:from>
        <xdr:to>
          <xdr:col>1</xdr:col>
          <xdr:colOff>1952625</xdr:colOff>
          <xdr:row>7</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3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85725</xdr:rowOff>
        </xdr:from>
        <xdr:to>
          <xdr:col>1</xdr:col>
          <xdr:colOff>914400</xdr:colOff>
          <xdr:row>11</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3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7</xdr:row>
          <xdr:rowOff>95250</xdr:rowOff>
        </xdr:from>
        <xdr:to>
          <xdr:col>1</xdr:col>
          <xdr:colOff>1943100</xdr:colOff>
          <xdr:row>11</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3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7</xdr:row>
          <xdr:rowOff>104775</xdr:rowOff>
        </xdr:from>
        <xdr:to>
          <xdr:col>1</xdr:col>
          <xdr:colOff>2962275</xdr:colOff>
          <xdr:row>11</xdr:row>
          <xdr:rowOff>142875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3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2</xdr:row>
          <xdr:rowOff>152400</xdr:rowOff>
        </xdr:from>
        <xdr:to>
          <xdr:col>1</xdr:col>
          <xdr:colOff>2952750</xdr:colOff>
          <xdr:row>7</xdr:row>
          <xdr:rowOff>28575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3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28576</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7.bin"/><Relationship Id="rId4" Type="http://schemas.openxmlformats.org/officeDocument/2006/relationships/hyperlink" Target="https://www.isbe.net/Documents/Accounting-Rules-Part-100.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2002</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2047</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2047</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30039086003</v>
      </c>
      <c r="B13" s="2100"/>
      <c r="C13" s="2100"/>
      <c r="D13" s="2100"/>
      <c r="E13" s="2100"/>
      <c r="F13" s="2100"/>
      <c r="G13" s="2100"/>
      <c r="H13" s="2101"/>
      <c r="I13" s="31"/>
      <c r="J13" s="30"/>
      <c r="K13" s="28"/>
      <c r="L13" s="30"/>
      <c r="M13" s="30"/>
      <c r="N13" s="30"/>
      <c r="O13" s="30"/>
      <c r="P13" s="30"/>
      <c r="Q13" s="30"/>
      <c r="R13" s="30"/>
      <c r="S13" s="30"/>
      <c r="T13" s="2105" t="s">
        <v>2070</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2" t="s">
        <v>2063</v>
      </c>
      <c r="B15" s="2103"/>
      <c r="C15" s="2103"/>
      <c r="D15" s="2103"/>
      <c r="E15" s="2103"/>
      <c r="F15" s="2103"/>
      <c r="G15" s="2103"/>
      <c r="H15" s="2104"/>
      <c r="T15" s="2109" t="s">
        <v>2071</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2095</v>
      </c>
      <c r="B17" s="2073"/>
      <c r="C17" s="2073"/>
      <c r="D17" s="2073"/>
      <c r="E17" s="2073"/>
      <c r="F17" s="2073"/>
      <c r="G17" s="2073"/>
      <c r="H17" s="2098"/>
      <c r="T17" s="2116" t="s">
        <v>2072</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2064</v>
      </c>
      <c r="B19" s="2058"/>
      <c r="C19" s="2058"/>
      <c r="D19" s="2058"/>
      <c r="E19" s="2058"/>
      <c r="F19" s="2058"/>
      <c r="G19" s="2058"/>
      <c r="H19" s="2038"/>
      <c r="I19" s="30"/>
      <c r="J19" s="96"/>
      <c r="K19" s="40"/>
      <c r="L19" s="38"/>
      <c r="M19" s="109" t="s">
        <v>312</v>
      </c>
      <c r="P19" s="27"/>
      <c r="Q19" s="27"/>
      <c r="R19" s="27"/>
      <c r="S19" s="31"/>
      <c r="T19" s="2102" t="s">
        <v>2073</v>
      </c>
      <c r="U19" s="2037"/>
      <c r="V19" s="2037"/>
      <c r="W19" s="2038"/>
      <c r="X19" s="2114" t="s">
        <v>2074</v>
      </c>
      <c r="Y19" s="2115"/>
      <c r="Z19" s="2112">
        <v>62832</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2065</v>
      </c>
      <c r="B21" s="2037"/>
      <c r="C21" s="2037"/>
      <c r="D21" s="2037"/>
      <c r="E21" s="2037"/>
      <c r="F21" s="2037"/>
      <c r="G21" s="2037"/>
      <c r="H21" s="2038"/>
      <c r="I21" s="2092" t="s">
        <v>673</v>
      </c>
      <c r="J21" s="2087"/>
      <c r="K21" s="2087"/>
      <c r="L21" s="2087"/>
      <c r="M21" s="2087"/>
      <c r="N21" s="2087"/>
      <c r="O21" s="2087"/>
      <c r="P21" s="2087"/>
      <c r="Q21" s="2087"/>
      <c r="R21" s="2087"/>
      <c r="S21" s="2093"/>
      <c r="T21" s="2127" t="s">
        <v>2075</v>
      </c>
      <c r="U21" s="2128"/>
      <c r="V21" s="2128"/>
      <c r="W21" s="2128"/>
      <c r="X21" s="2133" t="s">
        <v>2076</v>
      </c>
      <c r="Y21" s="2134"/>
      <c r="Z21" s="2134"/>
      <c r="AA21" s="2135"/>
    </row>
    <row r="22" spans="1:27" ht="13.5" customHeight="1" x14ac:dyDescent="0.2">
      <c r="A22" s="84" t="s">
        <v>528</v>
      </c>
      <c r="B22" s="56"/>
      <c r="C22" s="56"/>
      <c r="D22" s="56"/>
      <c r="E22" s="56"/>
      <c r="F22" s="56"/>
      <c r="G22" s="56"/>
      <c r="H22" s="57"/>
      <c r="I22" s="2094" t="s">
        <v>1415</v>
      </c>
      <c r="J22" s="2095"/>
      <c r="K22" s="2095"/>
      <c r="L22" s="2095"/>
      <c r="M22" s="2095"/>
      <c r="N22" s="2095"/>
      <c r="O22" s="2095"/>
      <c r="P22" s="2095"/>
      <c r="Q22" s="2095"/>
      <c r="R22" s="2095"/>
      <c r="S22" s="2096"/>
      <c r="T22" s="82" t="s">
        <v>1502</v>
      </c>
      <c r="U22" s="48"/>
      <c r="V22" s="69"/>
      <c r="W22" s="48"/>
      <c r="X22" s="155" t="s">
        <v>1309</v>
      </c>
      <c r="Z22" s="43"/>
      <c r="AA22" s="44"/>
    </row>
    <row r="23" spans="1:27" ht="13.5" customHeight="1" x14ac:dyDescent="0.2">
      <c r="A23" s="2089" t="s">
        <v>2066</v>
      </c>
      <c r="B23" s="2090"/>
      <c r="C23" s="2090"/>
      <c r="D23" s="2090"/>
      <c r="E23" s="2090"/>
      <c r="F23" s="2090"/>
      <c r="G23" s="2090"/>
      <c r="H23" s="2091"/>
      <c r="T23" s="2072" t="s">
        <v>2077</v>
      </c>
      <c r="U23" s="2126"/>
      <c r="V23" s="2126"/>
      <c r="W23" s="2126"/>
      <c r="X23" s="2130">
        <v>44469</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62924</v>
      </c>
      <c r="B25" s="2037"/>
      <c r="C25" s="2037"/>
      <c r="D25" s="2037"/>
      <c r="E25" s="2037"/>
      <c r="F25" s="2037"/>
      <c r="G25" s="2037"/>
      <c r="H25" s="2038"/>
      <c r="I25" s="110"/>
      <c r="J25" s="2061"/>
      <c r="K25" s="2061"/>
      <c r="L25" s="2061"/>
      <c r="M25" s="2061"/>
      <c r="N25" s="2061"/>
      <c r="O25" s="2061"/>
      <c r="P25" s="2061"/>
      <c r="Q25" s="2061"/>
      <c r="R25" s="2061"/>
      <c r="S25" s="2062"/>
      <c r="T25" s="2123" t="s">
        <v>2078</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7" t="s">
        <v>1497</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2047</v>
      </c>
      <c r="M29" s="40" t="s">
        <v>99</v>
      </c>
      <c r="N29" s="32" t="s">
        <v>1509</v>
      </c>
      <c r="O29" s="32"/>
      <c r="P29" s="32"/>
      <c r="Q29" s="32"/>
      <c r="R29" s="32"/>
      <c r="S29" s="120"/>
      <c r="T29" s="6"/>
      <c r="U29" s="6"/>
      <c r="V29" s="6"/>
      <c r="W29" s="6"/>
      <c r="X29" s="6"/>
      <c r="Y29" s="6"/>
      <c r="Z29" s="6"/>
      <c r="AA29" s="129"/>
    </row>
    <row r="30" spans="1:27" ht="13.5" customHeight="1" x14ac:dyDescent="0.2">
      <c r="A30" s="149"/>
      <c r="B30" s="133" t="s">
        <v>2047</v>
      </c>
      <c r="C30" s="121" t="s">
        <v>1156</v>
      </c>
      <c r="D30" s="28"/>
      <c r="E30" s="28"/>
      <c r="F30" s="136"/>
      <c r="G30" s="111"/>
      <c r="H30" s="111"/>
      <c r="I30" s="51"/>
      <c r="J30" s="99"/>
      <c r="K30" s="28" t="s">
        <v>572</v>
      </c>
      <c r="L30" s="144" t="s">
        <v>2047</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2047</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144" t="s">
        <v>2047</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2067</v>
      </c>
      <c r="B38" s="2073"/>
      <c r="C38" s="2073"/>
      <c r="D38" s="2073"/>
      <c r="E38" s="2073"/>
      <c r="F38" s="2037"/>
      <c r="G38" s="2037"/>
      <c r="H38" s="2038"/>
      <c r="I38" s="2065"/>
      <c r="J38" s="2066"/>
      <c r="K38" s="2066"/>
      <c r="L38" s="2066"/>
      <c r="M38" s="2066"/>
      <c r="N38" s="2066"/>
      <c r="O38" s="2066"/>
      <c r="P38" s="2067"/>
      <c r="Q38" s="2067"/>
      <c r="R38" s="2067"/>
      <c r="S38" s="2068"/>
      <c r="T38" s="2109" t="s">
        <v>2079</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2066</v>
      </c>
      <c r="B40" s="2051"/>
      <c r="C40" s="2052"/>
      <c r="D40" s="2052"/>
      <c r="E40" s="2052"/>
      <c r="F40" s="2053"/>
      <c r="G40" s="2053"/>
      <c r="H40" s="2054"/>
      <c r="I40" s="2075"/>
      <c r="J40" s="2076"/>
      <c r="K40" s="2076"/>
      <c r="L40" s="2076"/>
      <c r="M40" s="2076"/>
      <c r="N40" s="2076"/>
      <c r="O40" s="2076"/>
      <c r="P40" s="2076"/>
      <c r="Q40" s="2076"/>
      <c r="R40" s="2076"/>
      <c r="S40" s="2077"/>
      <c r="T40" s="2075" t="s">
        <v>2080</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2068</v>
      </c>
      <c r="B42" s="2056"/>
      <c r="C42" s="2057"/>
      <c r="D42" s="2055" t="s">
        <v>2069</v>
      </c>
      <c r="E42" s="2056"/>
      <c r="F42" s="2056"/>
      <c r="G42" s="2056"/>
      <c r="H42" s="2057"/>
      <c r="I42" s="2039"/>
      <c r="J42" s="2040"/>
      <c r="K42" s="2040"/>
      <c r="L42" s="2040"/>
      <c r="M42" s="2040"/>
      <c r="N42" s="2040"/>
      <c r="O42" s="2041"/>
      <c r="P42" s="2074"/>
      <c r="Q42" s="2040"/>
      <c r="R42" s="2040"/>
      <c r="S42" s="2041"/>
      <c r="T42" s="2039" t="s">
        <v>2081</v>
      </c>
      <c r="U42" s="2040"/>
      <c r="V42" s="2040"/>
      <c r="W42" s="2041"/>
      <c r="X42" s="2074" t="s">
        <v>2082</v>
      </c>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5" orientation="landscape" useFirstPageNumber="1" r:id="rId3"/>
  <headerFooter alignWithMargins="0">
    <oddFooter>&amp;C&amp;"Times New Roman,Regular"&amp;11Page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3"/>
      <c r="C1" s="585"/>
    </row>
    <row r="2" spans="1:7" ht="33.75" x14ac:dyDescent="0.2">
      <c r="A2" s="2310" t="s">
        <v>1781</v>
      </c>
      <c r="B2" s="231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2" t="s">
        <v>1106</v>
      </c>
      <c r="B3" s="2313"/>
      <c r="C3" s="2306"/>
      <c r="D3" s="2307"/>
      <c r="E3" s="2307"/>
      <c r="F3" s="2308"/>
    </row>
    <row r="4" spans="1:7" ht="12.75" customHeight="1" thickBot="1" x14ac:dyDescent="0.25">
      <c r="A4" s="2300" t="s">
        <v>626</v>
      </c>
      <c r="B4" s="2301"/>
      <c r="C4" s="1655">
        <v>0</v>
      </c>
      <c r="D4" s="1655">
        <v>0</v>
      </c>
      <c r="E4" s="1655">
        <v>0</v>
      </c>
      <c r="F4" s="1731">
        <f>SUM(C4+D4)-E4</f>
        <v>0</v>
      </c>
    </row>
    <row r="5" spans="1:7" ht="15.75" customHeight="1" thickTop="1" x14ac:dyDescent="0.2">
      <c r="A5" s="2304" t="s">
        <v>1103</v>
      </c>
      <c r="B5" s="2299"/>
      <c r="C5" s="2293"/>
      <c r="D5" s="2294"/>
      <c r="E5" s="2294"/>
      <c r="F5" s="2295"/>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296" t="s">
        <v>627</v>
      </c>
      <c r="B15" s="2297"/>
      <c r="C15" s="1731">
        <f>SUM(C6:C14)</f>
        <v>0</v>
      </c>
      <c r="D15" s="1731">
        <f>SUM(D6:D14)</f>
        <v>0</v>
      </c>
      <c r="E15" s="1731">
        <f>SUM(E6:E14)</f>
        <v>0</v>
      </c>
      <c r="F15" s="1731">
        <f>SUM(F6:F14)</f>
        <v>0</v>
      </c>
      <c r="G15" s="473"/>
    </row>
    <row r="16" spans="1:7" s="197" customFormat="1" ht="15.75" customHeight="1" thickTop="1" x14ac:dyDescent="0.2">
      <c r="A16" s="2309" t="s">
        <v>1104</v>
      </c>
      <c r="B16" s="2299"/>
      <c r="C16" s="2293"/>
      <c r="D16" s="2294"/>
      <c r="E16" s="2294"/>
      <c r="F16" s="2295"/>
    </row>
    <row r="17" spans="1:11" ht="12.75" customHeight="1" thickBot="1" x14ac:dyDescent="0.25">
      <c r="A17" s="2291" t="s">
        <v>64</v>
      </c>
      <c r="B17" s="2292"/>
      <c r="C17" s="1732">
        <v>0</v>
      </c>
      <c r="D17" s="1663">
        <v>0</v>
      </c>
      <c r="E17" s="1732">
        <v>0</v>
      </c>
      <c r="F17" s="1731">
        <f>SUM(C17+D17)-E17</f>
        <v>0</v>
      </c>
    </row>
    <row r="18" spans="1:11" ht="12.75" customHeight="1" thickTop="1" thickBot="1" x14ac:dyDescent="0.25">
      <c r="A18" s="2291" t="s">
        <v>6</v>
      </c>
      <c r="B18" s="2292"/>
      <c r="C18" s="1732">
        <v>0</v>
      </c>
      <c r="D18" s="1663">
        <v>0</v>
      </c>
      <c r="E18" s="1732">
        <v>0</v>
      </c>
      <c r="F18" s="1731">
        <f>SUM(C18+D18)-E18</f>
        <v>0</v>
      </c>
    </row>
    <row r="19" spans="1:11" ht="12.75" customHeight="1" thickTop="1" thickBot="1" x14ac:dyDescent="0.25">
      <c r="A19" s="2291" t="s">
        <v>385</v>
      </c>
      <c r="B19" s="2292"/>
      <c r="C19" s="1732">
        <v>0</v>
      </c>
      <c r="D19" s="1663">
        <v>0</v>
      </c>
      <c r="E19" s="1732">
        <v>0</v>
      </c>
      <c r="F19" s="1731">
        <f>SUM(C19+D19)-E19</f>
        <v>0</v>
      </c>
    </row>
    <row r="20" spans="1:11" ht="12.75" customHeight="1" thickTop="1" thickBot="1" x14ac:dyDescent="0.25">
      <c r="A20" s="2291" t="s">
        <v>445</v>
      </c>
      <c r="B20" s="2292"/>
      <c r="C20" s="1732">
        <v>0</v>
      </c>
      <c r="D20" s="1663">
        <v>0</v>
      </c>
      <c r="E20" s="1732">
        <v>0</v>
      </c>
      <c r="F20" s="1731">
        <f>SUM(C20+D20)-E20</f>
        <v>0</v>
      </c>
    </row>
    <row r="21" spans="1:11" ht="14.25" thickTop="1" thickBot="1" x14ac:dyDescent="0.25">
      <c r="A21" s="2296" t="s">
        <v>628</v>
      </c>
      <c r="B21" s="2297"/>
      <c r="C21" s="1731">
        <f>SUM(C17:C20)</f>
        <v>0</v>
      </c>
      <c r="D21" s="1731">
        <f>SUM(D17:D20)</f>
        <v>0</v>
      </c>
      <c r="E21" s="1731">
        <f>SUM(E17:E20)</f>
        <v>0</v>
      </c>
      <c r="F21" s="1731">
        <f>SUM(F17:F20)</f>
        <v>0</v>
      </c>
      <c r="G21" s="473"/>
    </row>
    <row r="22" spans="1:11" ht="15.75" customHeight="1" thickTop="1" x14ac:dyDescent="0.2">
      <c r="A22" s="2298" t="s">
        <v>1105</v>
      </c>
      <c r="B22" s="2299"/>
      <c r="C22" s="2293"/>
      <c r="D22" s="2294"/>
      <c r="E22" s="2294"/>
      <c r="F22" s="2295"/>
    </row>
    <row r="23" spans="1:11" ht="13.5" thickBot="1" x14ac:dyDescent="0.25">
      <c r="A23" s="2300" t="s">
        <v>629</v>
      </c>
      <c r="B23" s="2301"/>
      <c r="C23" s="1655">
        <v>0</v>
      </c>
      <c r="D23" s="1655">
        <v>0</v>
      </c>
      <c r="E23" s="1655">
        <v>0</v>
      </c>
      <c r="F23" s="1731">
        <f>SUM(C23+D23)-E23</f>
        <v>0</v>
      </c>
      <c r="G23" s="473"/>
    </row>
    <row r="24" spans="1:11" ht="15.75" customHeight="1" thickTop="1" x14ac:dyDescent="0.2">
      <c r="A24" s="2298" t="s">
        <v>2005</v>
      </c>
      <c r="B24" s="2299"/>
      <c r="C24" s="2293"/>
      <c r="D24" s="2294"/>
      <c r="E24" s="2294"/>
      <c r="F24" s="2295"/>
    </row>
    <row r="25" spans="1:11" ht="13.5" thickBot="1" x14ac:dyDescent="0.25">
      <c r="A25" s="2300" t="s">
        <v>2006</v>
      </c>
      <c r="B25" s="2301"/>
      <c r="C25" s="1655">
        <v>0</v>
      </c>
      <c r="D25" s="1655">
        <v>0</v>
      </c>
      <c r="E25" s="1655">
        <v>0</v>
      </c>
      <c r="F25" s="1731">
        <f>SUM(C25+D25)-E25</f>
        <v>0</v>
      </c>
      <c r="G25" s="473"/>
    </row>
    <row r="26" spans="1:11" ht="15.75" customHeight="1" thickTop="1" x14ac:dyDescent="0.2">
      <c r="A26" s="2304" t="s">
        <v>652</v>
      </c>
      <c r="B26" s="2299"/>
      <c r="C26" s="589"/>
      <c r="D26" s="589"/>
      <c r="E26" s="589"/>
      <c r="F26" s="590"/>
    </row>
    <row r="27" spans="1:11" ht="13.5" thickBot="1" x14ac:dyDescent="0.25">
      <c r="A27" s="2296" t="s">
        <v>1063</v>
      </c>
      <c r="B27" s="2297"/>
      <c r="C27" s="1663">
        <v>0</v>
      </c>
      <c r="D27" s="1663">
        <v>0</v>
      </c>
      <c r="E27" s="1663">
        <v>0</v>
      </c>
      <c r="F27" s="1731">
        <f>SUM(C27+D27)-E27</f>
        <v>0</v>
      </c>
      <c r="G27" s="473"/>
    </row>
    <row r="28" spans="1:11" ht="7.5" customHeight="1" thickTop="1" x14ac:dyDescent="0.2">
      <c r="A28" s="489"/>
    </row>
    <row r="29" spans="1:11" ht="23.25" customHeight="1" x14ac:dyDescent="0.2">
      <c r="A29" s="2302" t="s">
        <v>578</v>
      </c>
      <c r="B29" s="2303"/>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2084</v>
      </c>
      <c r="B31" s="595">
        <v>42185</v>
      </c>
      <c r="C31" s="1733">
        <v>500000</v>
      </c>
      <c r="D31" s="1734">
        <v>1</v>
      </c>
      <c r="E31" s="1733">
        <v>283900</v>
      </c>
      <c r="F31" s="1733">
        <v>0</v>
      </c>
      <c r="G31" s="1733">
        <v>0</v>
      </c>
      <c r="H31" s="1733">
        <v>140000</v>
      </c>
      <c r="I31" s="1735">
        <f>((E31+F31)-H31)+G31</f>
        <v>143900</v>
      </c>
      <c r="J31" s="1733">
        <v>122706</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500000</v>
      </c>
      <c r="D49" s="1741"/>
      <c r="E49" s="1735">
        <f t="shared" ref="E49:J49" si="2">SUM(E31:E48)</f>
        <v>283900</v>
      </c>
      <c r="F49" s="1735">
        <f t="shared" si="2"/>
        <v>0</v>
      </c>
      <c r="G49" s="1735">
        <f t="shared" si="2"/>
        <v>0</v>
      </c>
      <c r="H49" s="1735">
        <f t="shared" si="2"/>
        <v>140000</v>
      </c>
      <c r="I49" s="1735">
        <f t="shared" si="2"/>
        <v>143900</v>
      </c>
      <c r="J49" s="1735">
        <f t="shared" si="2"/>
        <v>122706</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c r="G52" s="2288"/>
      <c r="H52" s="596"/>
      <c r="I52" s="596"/>
      <c r="J52" s="600"/>
    </row>
    <row r="53" spans="1:11" ht="11.25" customHeight="1" x14ac:dyDescent="0.2">
      <c r="A53" s="604" t="s">
        <v>907</v>
      </c>
      <c r="B53" s="605" t="s">
        <v>945</v>
      </c>
      <c r="C53" s="600"/>
      <c r="D53" s="597"/>
      <c r="E53" s="603" t="s">
        <v>494</v>
      </c>
      <c r="F53" s="2289"/>
      <c r="G53" s="2290"/>
      <c r="H53" s="596"/>
      <c r="I53" s="596"/>
      <c r="J53" s="600"/>
    </row>
    <row r="54" spans="1:11" ht="11.25" customHeight="1" x14ac:dyDescent="0.2">
      <c r="A54" s="606" t="s">
        <v>908</v>
      </c>
      <c r="B54" s="601" t="s">
        <v>946</v>
      </c>
      <c r="C54" s="600"/>
      <c r="D54" s="597"/>
      <c r="E54" s="603" t="s">
        <v>495</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5" firstPageNumber="25" orientation="landscape" useFirstPageNumber="1" r:id="rId1"/>
  <headerFooter alignWithMargins="0">
    <oddFooter>&amp;C&amp;"Times New Roman,Regular"&amp;11Page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42" sqref="G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851</v>
      </c>
      <c r="B1" s="2315"/>
      <c r="C1" s="2315"/>
      <c r="D1" s="2315"/>
      <c r="E1" s="2315"/>
      <c r="F1" s="2315"/>
      <c r="G1" s="2316"/>
      <c r="H1" s="1297"/>
      <c r="I1" s="614"/>
      <c r="J1" s="400"/>
    </row>
    <row r="2" spans="1:11" ht="26.25" x14ac:dyDescent="0.2">
      <c r="A2" s="2333" t="s">
        <v>1661</v>
      </c>
      <c r="B2" s="2334"/>
      <c r="C2" s="2334"/>
      <c r="D2" s="2334"/>
      <c r="E2" s="2335"/>
      <c r="F2" s="615" t="s">
        <v>898</v>
      </c>
      <c r="G2" s="616" t="s">
        <v>1658</v>
      </c>
      <c r="H2" s="616" t="s">
        <v>407</v>
      </c>
      <c r="I2" s="616" t="s">
        <v>1150</v>
      </c>
      <c r="J2" s="616" t="s">
        <v>1791</v>
      </c>
      <c r="K2" s="616" t="s">
        <v>137</v>
      </c>
    </row>
    <row r="3" spans="1:11" x14ac:dyDescent="0.2">
      <c r="A3" s="2336" t="str">
        <f>"Cash Basis Fund Balance as of July 1, "&amp;'AFR20'!E2-1</f>
        <v>Cash Basis Fund Balance as of July 1, 2019</v>
      </c>
      <c r="B3" s="2337"/>
      <c r="C3" s="2337"/>
      <c r="D3" s="2337"/>
      <c r="E3" s="2338"/>
      <c r="F3" s="617"/>
      <c r="G3" s="1743">
        <v>0</v>
      </c>
      <c r="H3" s="1743">
        <v>0</v>
      </c>
      <c r="I3" s="1743">
        <v>0</v>
      </c>
      <c r="J3" s="1744">
        <v>0</v>
      </c>
      <c r="K3" s="1744">
        <v>0</v>
      </c>
    </row>
    <row r="4" spans="1:11" x14ac:dyDescent="0.2">
      <c r="A4" s="2339" t="s">
        <v>366</v>
      </c>
      <c r="B4" s="2340"/>
      <c r="C4" s="2340"/>
      <c r="D4" s="2340"/>
      <c r="E4" s="2286"/>
      <c r="F4" s="620"/>
      <c r="G4" s="1745"/>
      <c r="H4" s="1746"/>
      <c r="I4" s="1745"/>
      <c r="J4" s="1747"/>
      <c r="K4" s="1747"/>
    </row>
    <row r="5" spans="1:11" x14ac:dyDescent="0.2">
      <c r="A5" s="2317" t="s">
        <v>1062</v>
      </c>
      <c r="B5" s="2318"/>
      <c r="C5" s="2318"/>
      <c r="D5" s="2318"/>
      <c r="E5" s="2319"/>
      <c r="F5" s="622" t="s">
        <v>843</v>
      </c>
      <c r="G5" s="1748"/>
      <c r="H5" s="1743">
        <v>3933</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v>0</v>
      </c>
    </row>
    <row r="8" spans="1:11" x14ac:dyDescent="0.2">
      <c r="A8" s="629" t="s">
        <v>342</v>
      </c>
      <c r="B8" s="630"/>
      <c r="C8" s="630"/>
      <c r="D8" s="630"/>
      <c r="E8" s="631"/>
      <c r="F8" s="622" t="s">
        <v>846</v>
      </c>
      <c r="G8" s="1752"/>
      <c r="H8" s="1752"/>
      <c r="I8" s="1752"/>
      <c r="J8" s="1744">
        <v>147903</v>
      </c>
      <c r="K8" s="1747"/>
    </row>
    <row r="9" spans="1:11" x14ac:dyDescent="0.2">
      <c r="A9" s="629" t="s">
        <v>137</v>
      </c>
      <c r="B9" s="630"/>
      <c r="C9" s="630"/>
      <c r="D9" s="630"/>
      <c r="E9" s="631"/>
      <c r="F9" s="628" t="s">
        <v>848</v>
      </c>
      <c r="G9" s="1752"/>
      <c r="H9" s="1748"/>
      <c r="I9" s="1748"/>
      <c r="J9" s="1751"/>
      <c r="K9" s="1744">
        <v>0</v>
      </c>
    </row>
    <row r="10" spans="1:11" x14ac:dyDescent="0.2">
      <c r="A10" s="2317" t="s">
        <v>1792</v>
      </c>
      <c r="B10" s="2318"/>
      <c r="C10" s="2318"/>
      <c r="D10" s="2318"/>
      <c r="E10" s="2320"/>
      <c r="F10" s="633" t="s">
        <v>857</v>
      </c>
      <c r="G10" s="1752"/>
      <c r="H10" s="1753">
        <v>0</v>
      </c>
      <c r="I10" s="1743">
        <v>0</v>
      </c>
      <c r="J10" s="1744">
        <v>0</v>
      </c>
      <c r="K10" s="1744">
        <v>0</v>
      </c>
    </row>
    <row r="11" spans="1:11" x14ac:dyDescent="0.2">
      <c r="A11" s="2317" t="s">
        <v>159</v>
      </c>
      <c r="B11" s="2318"/>
      <c r="C11" s="2318"/>
      <c r="D11" s="2318"/>
      <c r="E11" s="2319"/>
      <c r="F11" s="622" t="s">
        <v>847</v>
      </c>
      <c r="G11" s="1748"/>
      <c r="H11" s="1743">
        <v>0</v>
      </c>
      <c r="I11" s="1743">
        <v>0</v>
      </c>
      <c r="J11" s="1744">
        <v>0</v>
      </c>
      <c r="K11" s="1750"/>
    </row>
    <row r="12" spans="1:11" ht="13.5" thickBot="1" x14ac:dyDescent="0.25">
      <c r="A12" s="2344" t="s">
        <v>899</v>
      </c>
      <c r="B12" s="2345"/>
      <c r="C12" s="2345"/>
      <c r="D12" s="2345"/>
      <c r="E12" s="2346"/>
      <c r="F12" s="1432"/>
      <c r="G12" s="1754">
        <f>SUM(G5:G11)</f>
        <v>0</v>
      </c>
      <c r="H12" s="1754">
        <f>SUM(H5:H11)</f>
        <v>3933</v>
      </c>
      <c r="I12" s="1754">
        <f>SUM(I5:I11)</f>
        <v>0</v>
      </c>
      <c r="J12" s="1754">
        <f>SUM(J5:J11)</f>
        <v>147903</v>
      </c>
      <c r="K12" s="1754">
        <f>SUM(K5:K11)</f>
        <v>0</v>
      </c>
    </row>
    <row r="13" spans="1:11" ht="13.5" thickTop="1" x14ac:dyDescent="0.2">
      <c r="A13" s="2341" t="s">
        <v>367</v>
      </c>
      <c r="B13" s="2342"/>
      <c r="C13" s="2342"/>
      <c r="D13" s="2342"/>
      <c r="E13" s="2343"/>
      <c r="F13" s="634"/>
      <c r="G13" s="1755"/>
      <c r="H13" s="1756"/>
      <c r="I13" s="1757"/>
      <c r="J13" s="1757"/>
      <c r="K13" s="1757"/>
    </row>
    <row r="14" spans="1:11" x14ac:dyDescent="0.2">
      <c r="A14" s="2324" t="s">
        <v>453</v>
      </c>
      <c r="B14" s="2324"/>
      <c r="C14" s="2324"/>
      <c r="D14" s="2324"/>
      <c r="E14" s="2325"/>
      <c r="F14" s="635" t="s">
        <v>849</v>
      </c>
      <c r="G14" s="1752"/>
      <c r="H14" s="1743">
        <v>3933</v>
      </c>
      <c r="I14" s="1748"/>
      <c r="J14" s="1750"/>
      <c r="K14" s="1744">
        <v>0</v>
      </c>
    </row>
    <row r="15" spans="1:11" x14ac:dyDescent="0.2">
      <c r="A15" s="2318" t="s">
        <v>4</v>
      </c>
      <c r="B15" s="2318"/>
      <c r="C15" s="2318"/>
      <c r="D15" s="2318"/>
      <c r="E15" s="2319"/>
      <c r="F15" s="635" t="s">
        <v>850</v>
      </c>
      <c r="G15" s="1748"/>
      <c r="H15" s="1743">
        <v>0</v>
      </c>
      <c r="I15" s="1743">
        <v>0</v>
      </c>
      <c r="J15" s="1744">
        <v>99454</v>
      </c>
      <c r="K15" s="1744">
        <v>0</v>
      </c>
    </row>
    <row r="16" spans="1:11" x14ac:dyDescent="0.2">
      <c r="A16" s="2318" t="s">
        <v>295</v>
      </c>
      <c r="B16" s="2318"/>
      <c r="C16" s="2318"/>
      <c r="D16" s="2318"/>
      <c r="E16" s="2319"/>
      <c r="F16" s="635" t="s">
        <v>917</v>
      </c>
      <c r="G16" s="1749">
        <v>0</v>
      </c>
      <c r="H16" s="1745"/>
      <c r="I16" s="1745"/>
      <c r="J16" s="1747"/>
      <c r="K16" s="1747"/>
    </row>
    <row r="17" spans="1:15" x14ac:dyDescent="0.2">
      <c r="A17" s="2351" t="s">
        <v>929</v>
      </c>
      <c r="B17" s="2351"/>
      <c r="C17" s="2351"/>
      <c r="D17" s="2351"/>
      <c r="E17" s="2352"/>
      <c r="F17" s="636"/>
      <c r="G17" s="1758"/>
      <c r="H17" s="1759"/>
      <c r="I17" s="1759"/>
      <c r="J17" s="1760"/>
      <c r="K17" s="1761"/>
    </row>
    <row r="18" spans="1:15" x14ac:dyDescent="0.2">
      <c r="A18" s="2328" t="s">
        <v>365</v>
      </c>
      <c r="B18" s="2329"/>
      <c r="C18" s="2329"/>
      <c r="D18" s="2329"/>
      <c r="E18" s="2330"/>
      <c r="F18" s="635" t="s">
        <v>926</v>
      </c>
      <c r="G18" s="1752"/>
      <c r="H18" s="1752"/>
      <c r="I18" s="1752"/>
      <c r="J18" s="1744">
        <v>5585</v>
      </c>
      <c r="K18" s="1762"/>
    </row>
    <row r="19" spans="1:15" ht="21.75" customHeight="1" x14ac:dyDescent="0.2">
      <c r="A19" s="2326" t="s">
        <v>1788</v>
      </c>
      <c r="B19" s="2326"/>
      <c r="C19" s="2326"/>
      <c r="D19" s="2326"/>
      <c r="E19" s="2327"/>
      <c r="F19" s="635" t="s">
        <v>927</v>
      </c>
      <c r="G19" s="1752"/>
      <c r="H19" s="1752"/>
      <c r="I19" s="1752"/>
      <c r="J19" s="1744">
        <v>42864</v>
      </c>
      <c r="K19" s="1762"/>
    </row>
    <row r="20" spans="1:15" x14ac:dyDescent="0.2">
      <c r="A20" s="2328" t="s">
        <v>1793</v>
      </c>
      <c r="B20" s="2329"/>
      <c r="C20" s="2329"/>
      <c r="D20" s="2329"/>
      <c r="E20" s="2330"/>
      <c r="F20" s="635" t="s">
        <v>928</v>
      </c>
      <c r="G20" s="1752"/>
      <c r="H20" s="1752"/>
      <c r="I20" s="1752"/>
      <c r="J20" s="1744"/>
      <c r="K20" s="1762"/>
    </row>
    <row r="21" spans="1:15" ht="13.5" thickBot="1" x14ac:dyDescent="0.25">
      <c r="A21" s="2347" t="s">
        <v>633</v>
      </c>
      <c r="B21" s="2347"/>
      <c r="C21" s="2347"/>
      <c r="D21" s="2347"/>
      <c r="E21" s="2347"/>
      <c r="F21" s="1433"/>
      <c r="G21" s="1759"/>
      <c r="H21" s="1763"/>
      <c r="I21" s="1763"/>
      <c r="J21" s="1764">
        <f>SUM(J18:J20)</f>
        <v>48449</v>
      </c>
      <c r="K21" s="1760"/>
    </row>
    <row r="22" spans="1:15" ht="13.5" thickTop="1" x14ac:dyDescent="0.2">
      <c r="A22" s="2318" t="s">
        <v>1794</v>
      </c>
      <c r="B22" s="2318"/>
      <c r="C22" s="2318"/>
      <c r="D22" s="2318"/>
      <c r="E22" s="2319"/>
      <c r="F22" s="635" t="s">
        <v>857</v>
      </c>
      <c r="G22" s="1752"/>
      <c r="H22" s="1743">
        <v>0</v>
      </c>
      <c r="I22" s="1743">
        <v>0</v>
      </c>
      <c r="J22" s="1765">
        <v>0</v>
      </c>
      <c r="K22" s="1744">
        <v>0</v>
      </c>
    </row>
    <row r="23" spans="1:15" ht="13.5" thickBot="1" x14ac:dyDescent="0.25">
      <c r="A23" s="2348" t="s">
        <v>900</v>
      </c>
      <c r="B23" s="2347"/>
      <c r="C23" s="2347"/>
      <c r="D23" s="2347"/>
      <c r="E23" s="2347"/>
      <c r="F23" s="1435"/>
      <c r="G23" s="1754">
        <f>SUM(G14:G16,G21,G22)</f>
        <v>0</v>
      </c>
      <c r="H23" s="1754">
        <f>SUM(H14:H16,H21,H22)</f>
        <v>3933</v>
      </c>
      <c r="I23" s="1754">
        <f>SUM(I14:I16,I21,I22)</f>
        <v>0</v>
      </c>
      <c r="J23" s="1754">
        <f>SUM(J14:J16,J21,J22)</f>
        <v>147903</v>
      </c>
      <c r="K23" s="1754">
        <f>SUM(K14:K16,K21,K22)</f>
        <v>0</v>
      </c>
      <c r="M23" s="1845"/>
      <c r="N23" s="1845"/>
      <c r="O23" s="1845"/>
    </row>
    <row r="24" spans="1:15" ht="14.25" thickTop="1" thickBot="1" x14ac:dyDescent="0.25">
      <c r="A24" s="2349" t="str">
        <f>"Ending Cash Basis Fund Balance as of June 30, "&amp;'AFR20'!E2</f>
        <v>Ending Cash Basis Fund Balance as of June 30, 2020</v>
      </c>
      <c r="B24" s="2350"/>
      <c r="C24" s="2350"/>
      <c r="D24" s="2350"/>
      <c r="E24" s="2350"/>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v>0</v>
      </c>
      <c r="H31" s="2321"/>
      <c r="I31" s="2322"/>
      <c r="J31" s="2322"/>
      <c r="K31" s="2322"/>
    </row>
    <row r="32" spans="1:15" x14ac:dyDescent="0.2">
      <c r="A32" s="649"/>
      <c r="B32" s="232"/>
      <c r="C32" s="232"/>
      <c r="D32" s="232"/>
      <c r="E32" s="645"/>
      <c r="F32" s="651" t="s">
        <v>537</v>
      </c>
      <c r="G32" s="618">
        <v>0</v>
      </c>
      <c r="H32" s="2323"/>
      <c r="I32" s="2322"/>
      <c r="J32" s="2322"/>
      <c r="K32" s="2322"/>
    </row>
    <row r="33" spans="1:11" ht="1.5" customHeight="1" x14ac:dyDescent="0.2">
      <c r="A33" s="652" t="s">
        <v>1161</v>
      </c>
      <c r="B33" s="341"/>
      <c r="C33" s="341"/>
      <c r="D33" s="341"/>
      <c r="E33" s="341"/>
      <c r="F33" s="341"/>
      <c r="G33" s="653"/>
      <c r="H33" s="2323"/>
      <c r="I33" s="2322"/>
      <c r="J33" s="2322"/>
      <c r="K33" s="2322"/>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0</v>
      </c>
    </row>
    <row r="37" spans="1:11" x14ac:dyDescent="0.2">
      <c r="A37" s="660" t="s">
        <v>890</v>
      </c>
      <c r="B37" s="658"/>
      <c r="C37" s="658"/>
      <c r="D37" s="658"/>
      <c r="E37" s="658"/>
      <c r="F37" s="659"/>
      <c r="G37" s="619">
        <v>0</v>
      </c>
    </row>
    <row r="38" spans="1:11" x14ac:dyDescent="0.2">
      <c r="A38" s="660" t="s">
        <v>986</v>
      </c>
      <c r="B38" s="658"/>
      <c r="C38" s="658"/>
      <c r="D38" s="658"/>
      <c r="E38" s="658"/>
      <c r="F38" s="659"/>
      <c r="G38" s="619">
        <f>42818+400</f>
        <v>43218</v>
      </c>
    </row>
    <row r="39" spans="1:11" x14ac:dyDescent="0.2">
      <c r="A39" s="660" t="s">
        <v>987</v>
      </c>
      <c r="B39" s="658"/>
      <c r="C39" s="658"/>
      <c r="D39" s="658"/>
      <c r="E39" s="658"/>
      <c r="F39" s="659"/>
      <c r="G39" s="619">
        <v>0</v>
      </c>
    </row>
    <row r="40" spans="1:11" x14ac:dyDescent="0.2">
      <c r="A40" s="660" t="s">
        <v>988</v>
      </c>
      <c r="B40" s="658"/>
      <c r="C40" s="658"/>
      <c r="D40" s="658"/>
      <c r="E40" s="658"/>
      <c r="F40" s="659"/>
      <c r="G40" s="619">
        <v>0</v>
      </c>
    </row>
    <row r="41" spans="1:11" x14ac:dyDescent="0.2">
      <c r="A41" s="2318" t="s">
        <v>538</v>
      </c>
      <c r="B41" s="2331"/>
      <c r="C41" s="2331"/>
      <c r="D41" s="2331"/>
      <c r="E41" s="2331"/>
      <c r="F41" s="2332"/>
      <c r="G41" s="619">
        <v>159955</v>
      </c>
    </row>
    <row r="42" spans="1:11" x14ac:dyDescent="0.2">
      <c r="A42" s="660" t="s">
        <v>964</v>
      </c>
      <c r="B42" s="658"/>
      <c r="C42" s="658"/>
      <c r="D42" s="658"/>
      <c r="E42" s="658"/>
      <c r="F42" s="659"/>
      <c r="G42" s="619">
        <v>0</v>
      </c>
    </row>
    <row r="43" spans="1:11" x14ac:dyDescent="0.2">
      <c r="A43" s="660" t="s">
        <v>965</v>
      </c>
      <c r="B43" s="658"/>
      <c r="C43" s="658"/>
      <c r="D43" s="658"/>
      <c r="E43" s="658"/>
      <c r="F43" s="659"/>
      <c r="G43" s="619">
        <v>0</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pageMargins left="0.35" right="0.17" top="0.57999999999999996" bottom="0.4" header="0.21" footer="0.2"/>
  <pageSetup scale="85" firstPageNumber="26" orientation="landscape" useFirstPageNumber="1" r:id="rId1"/>
  <headerFooter>
    <oddFooter>&amp;C&amp;"Times New Roman,Regular"&amp;11Page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B1"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1874</v>
      </c>
      <c r="B1" s="2356"/>
      <c r="C1" s="2357"/>
      <c r="D1" s="666"/>
      <c r="E1" s="667"/>
      <c r="F1" s="667"/>
      <c r="G1" s="668"/>
      <c r="H1" s="669"/>
      <c r="I1" s="670"/>
      <c r="J1" s="2353"/>
      <c r="K1" s="2354"/>
      <c r="L1" s="2354"/>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60500</v>
      </c>
      <c r="D5" s="1769">
        <v>0</v>
      </c>
      <c r="E5" s="1769">
        <v>0</v>
      </c>
      <c r="F5" s="1764">
        <f>(C5+D5)-E5</f>
        <v>60500</v>
      </c>
      <c r="G5" s="676"/>
      <c r="H5" s="680"/>
      <c r="I5" s="680"/>
      <c r="J5" s="680"/>
      <c r="K5" s="637"/>
      <c r="L5" s="1441">
        <f>F5-K5</f>
        <v>60500</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4020750</v>
      </c>
      <c r="D8" s="1770">
        <v>0</v>
      </c>
      <c r="E8" s="1770">
        <v>0</v>
      </c>
      <c r="F8" s="1764">
        <f>(C8+D8)-E8</f>
        <v>4020750</v>
      </c>
      <c r="G8" s="681">
        <v>50</v>
      </c>
      <c r="H8" s="619">
        <v>2136909</v>
      </c>
      <c r="I8" s="619">
        <v>80415</v>
      </c>
      <c r="J8" s="619">
        <v>0</v>
      </c>
      <c r="K8" s="1441">
        <f>(H8+I8)-J8</f>
        <v>2217324</v>
      </c>
      <c r="L8" s="1441">
        <f>F8-K8</f>
        <v>1803426</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698235</v>
      </c>
      <c r="D10" s="1771">
        <v>97179</v>
      </c>
      <c r="E10" s="1771">
        <v>0</v>
      </c>
      <c r="F10" s="1772">
        <f>(C10+D10)-E10</f>
        <v>795414</v>
      </c>
      <c r="G10" s="681">
        <v>20</v>
      </c>
      <c r="H10" s="683">
        <v>286136</v>
      </c>
      <c r="I10" s="683">
        <v>31726</v>
      </c>
      <c r="J10" s="683">
        <v>0</v>
      </c>
      <c r="K10" s="1441">
        <f>(H10+I10)-J10</f>
        <v>317862</v>
      </c>
      <c r="L10" s="1441">
        <f>F10-K10</f>
        <v>477552</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265200</v>
      </c>
      <c r="D12" s="1770">
        <v>51057</v>
      </c>
      <c r="E12" s="1770">
        <v>0</v>
      </c>
      <c r="F12" s="1764">
        <f>(C12+D12)-E12</f>
        <v>316257</v>
      </c>
      <c r="G12" s="681">
        <v>10</v>
      </c>
      <c r="H12" s="619">
        <v>212532</v>
      </c>
      <c r="I12" s="619">
        <v>12368</v>
      </c>
      <c r="J12" s="619">
        <v>0</v>
      </c>
      <c r="K12" s="1441">
        <f>(H12+I12)-J12</f>
        <v>224900</v>
      </c>
      <c r="L12" s="1441">
        <f>F12-K12</f>
        <v>91357</v>
      </c>
    </row>
    <row r="13" spans="1:14" ht="14.25" thickTop="1" thickBot="1" x14ac:dyDescent="0.25">
      <c r="A13" s="684" t="s">
        <v>1114</v>
      </c>
      <c r="B13" s="679">
        <v>252</v>
      </c>
      <c r="C13" s="1770">
        <v>267583</v>
      </c>
      <c r="D13" s="1770">
        <v>0</v>
      </c>
      <c r="E13" s="1770">
        <v>0</v>
      </c>
      <c r="F13" s="1764">
        <f>(C13+D13)-E13</f>
        <v>267583</v>
      </c>
      <c r="G13" s="681">
        <v>5</v>
      </c>
      <c r="H13" s="619">
        <v>267583</v>
      </c>
      <c r="I13" s="619">
        <v>0</v>
      </c>
      <c r="J13" s="619">
        <v>0</v>
      </c>
      <c r="K13" s="1441">
        <f>(H13+I13)-J13</f>
        <v>267583</v>
      </c>
      <c r="L13" s="1441">
        <f>F13-K13</f>
        <v>0</v>
      </c>
    </row>
    <row r="14" spans="1:14" ht="14.25" thickTop="1" thickBot="1" x14ac:dyDescent="0.25">
      <c r="A14" s="684" t="s">
        <v>1115</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525</v>
      </c>
      <c r="B15" s="1364">
        <v>260</v>
      </c>
      <c r="C15" s="1770">
        <v>0</v>
      </c>
      <c r="D15" s="1770">
        <v>0</v>
      </c>
      <c r="E15" s="1770">
        <v>0</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5312268</v>
      </c>
      <c r="D16" s="1764">
        <f>SUM(D3,D5:D6,D8:D10,D12:D15)</f>
        <v>148236</v>
      </c>
      <c r="E16" s="1764">
        <f>SUM(E3,E5:E6,E8:E10,E12:E15)</f>
        <v>0</v>
      </c>
      <c r="F16" s="1764">
        <f>SUM(F3,F5:F6,F8:F10,F12:F15)</f>
        <v>5460504</v>
      </c>
      <c r="G16" s="681"/>
      <c r="H16" s="1434">
        <f>SUM(H3,H6,H8:H10,H12:H14,)</f>
        <v>2903160</v>
      </c>
      <c r="I16" s="1434">
        <f>SUM(I3,I6,I8:I10,I12:I14,)</f>
        <v>124509</v>
      </c>
      <c r="J16" s="1434">
        <f>SUM(J3,J6,J8:J10,J12:J14,)</f>
        <v>0</v>
      </c>
      <c r="K16" s="1434">
        <f>(H16+I16)-J16</f>
        <v>3027669</v>
      </c>
      <c r="L16" s="1434">
        <f>F16-K16</f>
        <v>2432835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124509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Footer>&amp;C&amp;"Times New Roman,Regular"&amp;11Page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1097</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1791985</v>
      </c>
      <c r="G8" s="701"/>
    </row>
    <row r="9" spans="1:9" x14ac:dyDescent="0.2">
      <c r="A9" s="705" t="s">
        <v>457</v>
      </c>
      <c r="B9" s="706" t="s">
        <v>1847</v>
      </c>
      <c r="C9" s="707"/>
      <c r="D9" s="705" t="s">
        <v>498</v>
      </c>
      <c r="E9" s="704"/>
      <c r="F9" s="1774">
        <f>'Expenditures 15-22'!K151</f>
        <v>78072</v>
      </c>
      <c r="G9" s="708"/>
    </row>
    <row r="10" spans="1:9" x14ac:dyDescent="0.2">
      <c r="A10" s="705" t="s">
        <v>496</v>
      </c>
      <c r="B10" s="706" t="s">
        <v>1848</v>
      </c>
      <c r="C10" s="707"/>
      <c r="D10" s="705" t="s">
        <v>498</v>
      </c>
      <c r="E10" s="704"/>
      <c r="F10" s="1774">
        <f>'Expenditures 15-22'!K174</f>
        <v>145585</v>
      </c>
      <c r="G10" s="708"/>
    </row>
    <row r="11" spans="1:9" x14ac:dyDescent="0.2">
      <c r="A11" s="705" t="s">
        <v>458</v>
      </c>
      <c r="B11" s="706" t="s">
        <v>1849</v>
      </c>
      <c r="C11" s="707"/>
      <c r="D11" s="705" t="s">
        <v>498</v>
      </c>
      <c r="E11" s="704"/>
      <c r="F11" s="1774">
        <f>'Expenditures 15-22'!K210</f>
        <v>63535</v>
      </c>
      <c r="G11" s="708"/>
    </row>
    <row r="12" spans="1:9" x14ac:dyDescent="0.2">
      <c r="A12" s="705" t="s">
        <v>459</v>
      </c>
      <c r="B12" s="706" t="s">
        <v>1850</v>
      </c>
      <c r="C12" s="707"/>
      <c r="D12" s="705" t="s">
        <v>498</v>
      </c>
      <c r="E12" s="704"/>
      <c r="F12" s="1774">
        <f>'Expenditures 15-22'!K295</f>
        <v>136800</v>
      </c>
      <c r="G12" s="708"/>
    </row>
    <row r="13" spans="1:9" x14ac:dyDescent="0.2">
      <c r="A13" s="705" t="s">
        <v>106</v>
      </c>
      <c r="B13" s="706" t="s">
        <v>1851</v>
      </c>
      <c r="C13" s="707"/>
      <c r="D13" s="705" t="s">
        <v>498</v>
      </c>
      <c r="E13" s="704"/>
      <c r="F13" s="1774">
        <f>'Expenditures 15-22'!K342</f>
        <v>203173</v>
      </c>
      <c r="G13" s="709"/>
    </row>
    <row r="14" spans="1:9" ht="12" customHeight="1" thickBot="1" x14ac:dyDescent="0.25">
      <c r="A14" s="1442"/>
      <c r="B14" s="1443"/>
      <c r="C14" s="1444"/>
      <c r="D14" s="1445" t="s">
        <v>498</v>
      </c>
      <c r="E14" s="1446" t="s">
        <v>952</v>
      </c>
      <c r="F14" s="1775">
        <f>SUM(F8:F13)</f>
        <v>2419150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1905</v>
      </c>
      <c r="C30" s="716">
        <f>'Revenues 9-14'!B150</f>
        <v>3499</v>
      </c>
      <c r="D30" s="717" t="str">
        <f>'Revenues 9-14'!A150</f>
        <v>Adult Ed - Other (Describe &amp; Itemize)</v>
      </c>
      <c r="E30" s="704"/>
      <c r="F30" s="1782">
        <f>('Revenues 9-14'!D150+'Revenues 9-14'!F150)</f>
        <v>0</v>
      </c>
      <c r="G30" s="701"/>
    </row>
    <row r="31" spans="1:7" x14ac:dyDescent="0.2">
      <c r="A31" s="705" t="s">
        <v>1090</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1908</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215</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1628</v>
      </c>
      <c r="G52" s="701"/>
    </row>
    <row r="53" spans="1:7" x14ac:dyDescent="0.2">
      <c r="A53" s="705" t="s">
        <v>456</v>
      </c>
      <c r="B53" s="705" t="s">
        <v>1461</v>
      </c>
      <c r="C53" s="724">
        <f>'Expenditures 15-22'!B102</f>
        <v>4000</v>
      </c>
      <c r="D53" s="723" t="str">
        <f>'Expenditures 15-22'!A102</f>
        <v>Total Payments to Other Govt Units</v>
      </c>
      <c r="E53" s="704"/>
      <c r="F53" s="1781">
        <f>'Expenditures 15-22'!K102</f>
        <v>122108</v>
      </c>
      <c r="G53" s="701"/>
    </row>
    <row r="54" spans="1:7" x14ac:dyDescent="0.2">
      <c r="A54" s="705" t="s">
        <v>456</v>
      </c>
      <c r="B54" s="705" t="s">
        <v>1462</v>
      </c>
      <c r="C54" s="724" t="s">
        <v>975</v>
      </c>
      <c r="D54" s="720" t="s">
        <v>1088</v>
      </c>
      <c r="E54" s="704"/>
      <c r="F54" s="1781">
        <f>'Expenditures 15-22'!G114</f>
        <v>28611</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1">
        <f>'Expenditures 15-22'!K139</f>
        <v>0</v>
      </c>
      <c r="G57" s="701"/>
    </row>
    <row r="58" spans="1:7" x14ac:dyDescent="0.2">
      <c r="A58" s="705" t="s">
        <v>457</v>
      </c>
      <c r="B58" s="705" t="s">
        <v>1853</v>
      </c>
      <c r="C58" s="721" t="s">
        <v>975</v>
      </c>
      <c r="D58" s="720" t="s">
        <v>1088</v>
      </c>
      <c r="E58" s="704"/>
      <c r="F58" s="1783">
        <f>'Expenditures 15-22'!G151</f>
        <v>664</v>
      </c>
      <c r="G58" s="701"/>
    </row>
    <row r="59" spans="1:7" x14ac:dyDescent="0.2">
      <c r="A59" s="728" t="s">
        <v>457</v>
      </c>
      <c r="B59" s="692" t="s">
        <v>1854</v>
      </c>
      <c r="C59" s="729" t="s">
        <v>975</v>
      </c>
      <c r="D59" s="692" t="s">
        <v>288</v>
      </c>
      <c r="F59" s="1784">
        <f>'Expenditures 15-22'!I151</f>
        <v>0</v>
      </c>
      <c r="G59" s="701"/>
    </row>
    <row r="60" spans="1:7" x14ac:dyDescent="0.2">
      <c r="A60" s="728" t="s">
        <v>496</v>
      </c>
      <c r="B60" s="692" t="s">
        <v>1855</v>
      </c>
      <c r="C60" s="729">
        <v>4000</v>
      </c>
      <c r="D60" s="692" t="s">
        <v>309</v>
      </c>
      <c r="F60" s="1782">
        <f>'Expenditures 15-22'!K160</f>
        <v>0</v>
      </c>
      <c r="G60" s="701"/>
    </row>
    <row r="61" spans="1:7" x14ac:dyDescent="0.2">
      <c r="A61" s="730" t="s">
        <v>496</v>
      </c>
      <c r="B61" s="730" t="s">
        <v>1856</v>
      </c>
      <c r="C61" s="731" t="str">
        <f>'Expenditures 15-22'!B170</f>
        <v>5300</v>
      </c>
      <c r="D61" s="732" t="s">
        <v>308</v>
      </c>
      <c r="E61" s="715"/>
      <c r="F61" s="1781">
        <f>'Expenditures 15-22'!K170</f>
        <v>140000</v>
      </c>
      <c r="G61" s="701"/>
    </row>
    <row r="62" spans="1:7" x14ac:dyDescent="0.2">
      <c r="A62" s="705" t="s">
        <v>458</v>
      </c>
      <c r="B62" s="705" t="s">
        <v>1857</v>
      </c>
      <c r="C62" s="721">
        <f>'Expenditures 15-22'!B185</f>
        <v>3000</v>
      </c>
      <c r="D62" s="712" t="s">
        <v>446</v>
      </c>
      <c r="E62" s="704"/>
      <c r="F62" s="1781">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1859</v>
      </c>
      <c r="C64" s="731" t="str">
        <f>'Expenditures 15-22'!B206</f>
        <v>5300</v>
      </c>
      <c r="D64" s="727" t="s">
        <v>308</v>
      </c>
      <c r="E64" s="704"/>
      <c r="F64" s="1781">
        <f>'Expenditures 15-22'!K206</f>
        <v>0</v>
      </c>
      <c r="G64" s="701"/>
    </row>
    <row r="65" spans="1:9" x14ac:dyDescent="0.2">
      <c r="A65" s="705" t="s">
        <v>458</v>
      </c>
      <c r="B65" s="705" t="s">
        <v>1860</v>
      </c>
      <c r="C65" s="721" t="s">
        <v>975</v>
      </c>
      <c r="D65" s="720" t="s">
        <v>1088</v>
      </c>
      <c r="E65" s="704"/>
      <c r="F65" s="1781">
        <f>'Expenditures 15-22'!G210</f>
        <v>0</v>
      </c>
      <c r="G65" s="701"/>
    </row>
    <row r="66" spans="1:9" x14ac:dyDescent="0.2">
      <c r="A66" s="705" t="s">
        <v>458</v>
      </c>
      <c r="B66" s="705" t="s">
        <v>1861</v>
      </c>
      <c r="C66" s="721" t="s">
        <v>975</v>
      </c>
      <c r="D66" s="720" t="s">
        <v>288</v>
      </c>
      <c r="E66" s="704"/>
      <c r="F66" s="1781">
        <f>'Expenditures 15-22'!I210</f>
        <v>0</v>
      </c>
      <c r="G66" s="701"/>
    </row>
    <row r="67" spans="1:9" x14ac:dyDescent="0.2">
      <c r="A67" s="705" t="s">
        <v>459</v>
      </c>
      <c r="B67" s="705" t="s">
        <v>1862</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1864</v>
      </c>
      <c r="C70" s="721">
        <f>'Expenditures 15-22'!B221</f>
        <v>1300</v>
      </c>
      <c r="D70" s="722" t="str">
        <f>'Expenditures 15-22'!A221</f>
        <v>Adult/Continuing Education Programs</v>
      </c>
      <c r="E70" s="704"/>
      <c r="F70" s="1781">
        <f>'Expenditures 15-22'!K221</f>
        <v>0</v>
      </c>
      <c r="G70" s="701"/>
    </row>
    <row r="71" spans="1:9" x14ac:dyDescent="0.2">
      <c r="A71" s="705" t="s">
        <v>459</v>
      </c>
      <c r="B71" s="705" t="s">
        <v>1865</v>
      </c>
      <c r="C71" s="721">
        <f>'Expenditures 15-22'!B224</f>
        <v>1600</v>
      </c>
      <c r="D71" s="722" t="str">
        <f>'Expenditures 15-22'!A224</f>
        <v>Summer School Programs</v>
      </c>
      <c r="E71" s="704"/>
      <c r="F71" s="1781">
        <f>'Expenditures 15-22'!K224</f>
        <v>0</v>
      </c>
      <c r="G71" s="701"/>
    </row>
    <row r="72" spans="1:9" x14ac:dyDescent="0.2">
      <c r="A72" s="705" t="s">
        <v>459</v>
      </c>
      <c r="B72" s="705" t="s">
        <v>1866</v>
      </c>
      <c r="C72" s="721">
        <f>'Expenditures 15-22'!B280</f>
        <v>3000</v>
      </c>
      <c r="D72" s="712" t="s">
        <v>446</v>
      </c>
      <c r="E72" s="704"/>
      <c r="F72" s="1781">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1868</v>
      </c>
      <c r="C74" s="721" t="s">
        <v>855</v>
      </c>
      <c r="D74" s="722" t="s">
        <v>1473</v>
      </c>
      <c r="E74" s="704"/>
      <c r="F74" s="1785">
        <f>'Expenditures 15-22'!K334</f>
        <v>0</v>
      </c>
      <c r="G74" s="701"/>
    </row>
    <row r="75" spans="1:9" x14ac:dyDescent="0.2">
      <c r="A75" s="705" t="s">
        <v>2007</v>
      </c>
      <c r="B75" s="705" t="s">
        <v>2008</v>
      </c>
      <c r="C75" s="721" t="s">
        <v>975</v>
      </c>
      <c r="D75" s="722" t="s">
        <v>1088</v>
      </c>
      <c r="E75" s="704"/>
      <c r="F75" s="1785">
        <f>'Expenditures 15-22'!G342</f>
        <v>0</v>
      </c>
      <c r="G75" s="701"/>
    </row>
    <row r="76" spans="1:9" ht="10.5" customHeight="1" x14ac:dyDescent="0.2">
      <c r="A76" s="701" t="s">
        <v>433</v>
      </c>
      <c r="B76" s="705" t="s">
        <v>2009</v>
      </c>
      <c r="C76" s="711" t="s">
        <v>975</v>
      </c>
      <c r="D76" s="701" t="s">
        <v>288</v>
      </c>
      <c r="E76" s="704"/>
      <c r="F76" s="1785">
        <f>'Expenditures 15-22'!I342</f>
        <v>0</v>
      </c>
      <c r="G76" s="703"/>
    </row>
    <row r="77" spans="1:9" ht="12" thickBot="1" x14ac:dyDescent="0.25">
      <c r="A77" s="1442"/>
      <c r="B77" s="1447"/>
      <c r="C77" s="1444"/>
      <c r="D77" s="1448" t="s">
        <v>2010</v>
      </c>
      <c r="E77" s="1446" t="s">
        <v>952</v>
      </c>
      <c r="F77" s="1786">
        <f>SUM(F18:F76)</f>
        <v>293226</v>
      </c>
      <c r="G77" s="701"/>
    </row>
    <row r="78" spans="1:9" s="728" customFormat="1" ht="12" customHeight="1" thickTop="1" thickBot="1" x14ac:dyDescent="0.25">
      <c r="A78" s="1449"/>
      <c r="B78" s="1447"/>
      <c r="C78" s="1444"/>
      <c r="D78" s="1448" t="s">
        <v>2011</v>
      </c>
      <c r="E78" s="1446"/>
      <c r="F78" s="1787">
        <f>(F14-F77)</f>
        <v>2125924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175.44900000000001</v>
      </c>
      <c r="G79" s="733"/>
      <c r="H79" s="705"/>
      <c r="I79" s="705"/>
    </row>
    <row r="80" spans="1:9" s="728" customFormat="1" ht="12" customHeight="1" thickBot="1" x14ac:dyDescent="0.25">
      <c r="A80" s="1451"/>
      <c r="B80" s="1447"/>
      <c r="C80" s="1444"/>
      <c r="D80" s="1448" t="s">
        <v>2012</v>
      </c>
      <c r="E80" s="1446" t="s">
        <v>952</v>
      </c>
      <c r="F80" s="1789">
        <f>IF(F79&gt;0,F78/F79," Complete Line 79")</f>
        <v>12117.048259038238</v>
      </c>
      <c r="G80" s="705"/>
    </row>
    <row r="81" spans="1:7" s="728" customFormat="1" ht="8.25" customHeight="1" thickTop="1" x14ac:dyDescent="0.2">
      <c r="A81" s="734"/>
      <c r="B81" s="705"/>
      <c r="C81" s="707"/>
      <c r="D81" s="735"/>
      <c r="E81" s="704"/>
      <c r="F81" s="1790"/>
      <c r="G81" s="705"/>
    </row>
    <row r="82" spans="1:7" s="728" customFormat="1" ht="12" thickBot="1" x14ac:dyDescent="0.25">
      <c r="A82" s="2358" t="s">
        <v>1098</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18002</v>
      </c>
      <c r="G95" s="745"/>
    </row>
    <row r="96" spans="1:7" x14ac:dyDescent="0.2">
      <c r="A96" s="741" t="s">
        <v>139</v>
      </c>
      <c r="B96" s="741" t="s">
        <v>174</v>
      </c>
      <c r="C96" s="743">
        <v>1700</v>
      </c>
      <c r="D96" s="751" t="str">
        <f>'Revenues 9-14'!A82</f>
        <v>Total District/School Activity Income</v>
      </c>
      <c r="E96" s="739"/>
      <c r="F96" s="1792">
        <f>SUM('Revenues 9-14'!C82,'Revenues 9-14'!D82)</f>
        <v>11132</v>
      </c>
      <c r="G96" s="745"/>
    </row>
    <row r="97" spans="1:7" x14ac:dyDescent="0.2">
      <c r="A97" s="741" t="s">
        <v>456</v>
      </c>
      <c r="B97" s="741" t="s">
        <v>175</v>
      </c>
      <c r="C97" s="743">
        <f>'Revenues 9-14'!B84</f>
        <v>1811</v>
      </c>
      <c r="D97" s="744" t="str">
        <f>'Revenues 9-14'!A84</f>
        <v>Rentals - Regular Textbooks</v>
      </c>
      <c r="E97" s="739"/>
      <c r="F97" s="1792">
        <f>'Revenues 9-14'!C84</f>
        <v>2430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14</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210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1909</v>
      </c>
      <c r="C106" s="746">
        <v>3100</v>
      </c>
      <c r="D106" s="752" t="str">
        <f>'Revenues 9-14'!A132</f>
        <v>Total Special Education</v>
      </c>
      <c r="E106" s="739"/>
      <c r="F106" s="1792">
        <f>SUM('Revenues 9-14'!C132:D132,'Revenues 9-14'!F132)</f>
        <v>25927</v>
      </c>
      <c r="G106" s="745"/>
    </row>
    <row r="107" spans="1:7" x14ac:dyDescent="0.2">
      <c r="A107" s="741" t="s">
        <v>668</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1911</v>
      </c>
      <c r="C108" s="753">
        <v>3300</v>
      </c>
      <c r="D108" s="744" t="str">
        <f>'Revenues 9-14'!A145</f>
        <v>Total Bilingual Ed</v>
      </c>
      <c r="E108" s="739"/>
      <c r="F108" s="1792">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2">
        <f>'Revenues 9-14'!C146</f>
        <v>1030</v>
      </c>
      <c r="G109" s="745"/>
    </row>
    <row r="110" spans="1:7" x14ac:dyDescent="0.2">
      <c r="A110" s="741" t="s">
        <v>668</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663</v>
      </c>
      <c r="B112" s="741" t="s">
        <v>1915</v>
      </c>
      <c r="C112" s="755">
        <v>3500</v>
      </c>
      <c r="D112" s="744" t="str">
        <f>'Revenues 9-14'!A155</f>
        <v>Total Transportation</v>
      </c>
      <c r="E112" s="739"/>
      <c r="F112" s="1792">
        <f>SUM('Revenues 9-14'!C155,'Revenues 9-14'!D155,'Revenues 9-14'!F155,'Revenues 9-14'!G155)</f>
        <v>67519</v>
      </c>
      <c r="G112" s="745"/>
    </row>
    <row r="113" spans="1:7" x14ac:dyDescent="0.2">
      <c r="A113" s="741" t="s">
        <v>456</v>
      </c>
      <c r="B113" s="741" t="s">
        <v>1916</v>
      </c>
      <c r="C113" s="753">
        <f>'Revenues 9-14'!B156</f>
        <v>3610</v>
      </c>
      <c r="D113" s="744" t="str">
        <f>'Revenues 9-14'!A156</f>
        <v>Learning Improvement - Change Grants</v>
      </c>
      <c r="E113" s="739"/>
      <c r="F113" s="1792">
        <f>'Revenues 9-14'!C156</f>
        <v>0</v>
      </c>
      <c r="G113" s="745"/>
    </row>
    <row r="114" spans="1:7" x14ac:dyDescent="0.2">
      <c r="A114" s="741" t="s">
        <v>663</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1">
        <f>SUM('Revenues 9-14'!C163:G163)</f>
        <v>0</v>
      </c>
      <c r="G119" s="745"/>
    </row>
    <row r="120" spans="1:7" x14ac:dyDescent="0.2">
      <c r="A120" s="756" t="s">
        <v>501</v>
      </c>
      <c r="B120" s="756" t="s">
        <v>1923</v>
      </c>
      <c r="C120" s="757">
        <f>'Revenues 9-14'!B164</f>
        <v>3815</v>
      </c>
      <c r="D120" s="758" t="str">
        <f>'Revenues 9-14'!A164</f>
        <v>State Charter Schools</v>
      </c>
      <c r="E120" s="739"/>
      <c r="F120" s="1791">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1925</v>
      </c>
      <c r="C122" s="761">
        <f>'Revenues 9-14'!B168</f>
        <v>3999</v>
      </c>
      <c r="D122" s="762" t="s">
        <v>540</v>
      </c>
      <c r="E122" s="764"/>
      <c r="F122" s="1792">
        <f>SUM('Revenues 9-14'!C168:G168,'Revenues 9-14'!J168)</f>
        <v>750</v>
      </c>
      <c r="G122" s="763"/>
    </row>
    <row r="123" spans="1:7" x14ac:dyDescent="0.2">
      <c r="A123" s="760" t="s">
        <v>456</v>
      </c>
      <c r="B123" s="760" t="s">
        <v>1926</v>
      </c>
      <c r="C123" s="765">
        <f>'Revenues 9-14'!B177</f>
        <v>4045</v>
      </c>
      <c r="D123" s="762" t="str">
        <f>'Revenues 9-14'!A177 &amp; " (Subtract)"</f>
        <v>Head Start (Subtract)</v>
      </c>
      <c r="E123" s="739"/>
      <c r="F123" s="1792">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1928</v>
      </c>
      <c r="C125" s="765">
        <v>4100</v>
      </c>
      <c r="D125" s="766" t="str">
        <f>'Revenues 9-14'!A188</f>
        <v>Total Title V</v>
      </c>
      <c r="E125" s="739"/>
      <c r="F125" s="1792">
        <f>SUM('Revenues 9-14'!C188,'Revenues 9-14'!D188,'Revenues 9-14'!F188,'Revenues 9-14'!G188)</f>
        <v>10336</v>
      </c>
      <c r="G125" s="763"/>
    </row>
    <row r="126" spans="1:7" x14ac:dyDescent="0.2">
      <c r="A126" s="760" t="s">
        <v>659</v>
      </c>
      <c r="B126" s="760" t="s">
        <v>1929</v>
      </c>
      <c r="C126" s="765">
        <v>4200</v>
      </c>
      <c r="D126" s="762" t="str">
        <f>'Revenues 9-14'!A198</f>
        <v>Total Food Service</v>
      </c>
      <c r="E126" s="739"/>
      <c r="F126" s="1792">
        <f>SUM('Revenues 9-14'!C198,'Revenues 9-14'!G198)</f>
        <v>98299</v>
      </c>
      <c r="G126" s="763"/>
    </row>
    <row r="127" spans="1:7" x14ac:dyDescent="0.2">
      <c r="A127" s="760" t="s">
        <v>663</v>
      </c>
      <c r="B127" s="760" t="s">
        <v>1930</v>
      </c>
      <c r="C127" s="765">
        <v>4300</v>
      </c>
      <c r="D127" s="766" t="str">
        <f>'Revenues 9-14'!A204</f>
        <v>Total Title I</v>
      </c>
      <c r="E127" s="739"/>
      <c r="F127" s="1792">
        <f>SUM('Revenues 9-14'!C204,'Revenues 9-14'!D204,'Revenues 9-14'!F204,'Revenues 9-14'!G204)</f>
        <v>160300</v>
      </c>
      <c r="G127" s="763"/>
    </row>
    <row r="128" spans="1:7" x14ac:dyDescent="0.2">
      <c r="A128" s="760" t="s">
        <v>663</v>
      </c>
      <c r="B128" s="760" t="s">
        <v>1931</v>
      </c>
      <c r="C128" s="765">
        <v>4400</v>
      </c>
      <c r="D128" s="766" t="str">
        <f>'Revenues 9-14'!A209</f>
        <v>Total Title IV</v>
      </c>
      <c r="E128" s="739"/>
      <c r="F128" s="1792">
        <f>SUM('Revenues 9-14'!C209,'Revenues 9-14'!D209,'Revenues 9-14'!F209,'Revenues 9-14'!G209)</f>
        <v>15003</v>
      </c>
      <c r="G128" s="763"/>
    </row>
    <row r="129" spans="1:7" x14ac:dyDescent="0.2">
      <c r="A129" s="760" t="s">
        <v>663</v>
      </c>
      <c r="B129" s="760" t="s">
        <v>1932</v>
      </c>
      <c r="C129" s="765">
        <f>'Revenues 9-14'!B213</f>
        <v>4620</v>
      </c>
      <c r="D129" s="766" t="str">
        <f>'Revenues 9-14'!A213</f>
        <v>Fed - Spec Education - IDEA - Flow Through</v>
      </c>
      <c r="E129" s="739"/>
      <c r="F129" s="1792">
        <f>SUM('Revenues 9-14'!C213:D213,'Revenues 9-14'!F213:G213)</f>
        <v>48816</v>
      </c>
      <c r="G129" s="763"/>
    </row>
    <row r="130" spans="1:7" x14ac:dyDescent="0.2">
      <c r="A130" s="760" t="s">
        <v>663</v>
      </c>
      <c r="B130" s="760" t="s">
        <v>1933</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1950</v>
      </c>
      <c r="C158" s="773" t="s">
        <v>836</v>
      </c>
      <c r="D158" s="774" t="s">
        <v>772</v>
      </c>
      <c r="E158" s="775"/>
      <c r="F158" s="1792">
        <f>SUM(F134:F157)</f>
        <v>0</v>
      </c>
      <c r="G158" s="738"/>
    </row>
    <row r="159" spans="1:7" s="703" customFormat="1" x14ac:dyDescent="0.2">
      <c r="A159" s="771" t="s">
        <v>456</v>
      </c>
      <c r="B159" s="772" t="s">
        <v>1951</v>
      </c>
      <c r="C159" s="773" t="s">
        <v>1413</v>
      </c>
      <c r="D159" s="774" t="s">
        <v>1414</v>
      </c>
      <c r="E159" s="775"/>
      <c r="F159" s="1792">
        <f>SUM('Revenues 9-14'!C253)</f>
        <v>0</v>
      </c>
      <c r="G159" s="738"/>
    </row>
    <row r="160" spans="1:7" s="703" customFormat="1" x14ac:dyDescent="0.2">
      <c r="A160" s="771" t="s">
        <v>497</v>
      </c>
      <c r="B160" s="772" t="s">
        <v>1952</v>
      </c>
      <c r="C160" s="773" t="s">
        <v>1452</v>
      </c>
      <c r="D160" s="774" t="s">
        <v>1453</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2">
        <f>SUM('Revenues 9-14'!C263:D263,'Revenues 9-14'!F263:G263)</f>
        <v>3437</v>
      </c>
      <c r="G169" s="780">
        <v>6320</v>
      </c>
    </row>
    <row r="170" spans="1:7" x14ac:dyDescent="0.2">
      <c r="A170" s="760" t="s">
        <v>663</v>
      </c>
      <c r="B170" s="760" t="s">
        <v>1960</v>
      </c>
      <c r="C170" s="765">
        <f>'Revenues 9-14'!B264</f>
        <v>4992</v>
      </c>
      <c r="D170" s="766" t="str">
        <f>'Revenues 9-14'!A264</f>
        <v>Medicaid Matching Funds - Fee-for-Service Program</v>
      </c>
      <c r="E170" s="739"/>
      <c r="F170" s="1792">
        <f>SUM('Revenues 9-14'!C264:D264,'Revenues 9-14'!F264:G264)</f>
        <v>20464</v>
      </c>
      <c r="G170" s="780"/>
    </row>
    <row r="171" spans="1:7" x14ac:dyDescent="0.2">
      <c r="A171" s="781" t="s">
        <v>663</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1884</v>
      </c>
      <c r="C172" s="1530">
        <v>3100</v>
      </c>
      <c r="D172" s="1531" t="s">
        <v>1886</v>
      </c>
      <c r="E172" s="739"/>
      <c r="F172" s="1793">
        <v>79017</v>
      </c>
      <c r="G172" s="760"/>
    </row>
    <row r="173" spans="1:7" x14ac:dyDescent="0.2">
      <c r="A173" s="1528" t="s">
        <v>659</v>
      </c>
      <c r="B173" s="1529" t="s">
        <v>1884</v>
      </c>
      <c r="C173" s="1530">
        <v>3300</v>
      </c>
      <c r="D173" s="1531" t="s">
        <v>1887</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952</v>
      </c>
      <c r="F175" s="1795">
        <f>SUM(F85:F133,F158:F173)</f>
        <v>612686</v>
      </c>
    </row>
    <row r="176" spans="1:7" ht="12" customHeight="1" x14ac:dyDescent="0.2">
      <c r="A176" s="1442"/>
      <c r="B176" s="1452"/>
      <c r="C176" s="1453"/>
      <c r="D176" s="1454" t="s">
        <v>2013</v>
      </c>
      <c r="E176" s="1455"/>
      <c r="F176" s="1792">
        <f>'PCTC-OEPP 27-28'!F78-F175</f>
        <v>1513238</v>
      </c>
    </row>
    <row r="177" spans="1:9" ht="12" customHeight="1" x14ac:dyDescent="0.2">
      <c r="A177" s="1442"/>
      <c r="B177" s="1452"/>
      <c r="C177" s="1453"/>
      <c r="D177" s="1454" t="s">
        <v>1796</v>
      </c>
      <c r="E177" s="1455"/>
      <c r="F177" s="1792">
        <f>'Cap Outlay Deprec 26'!I18</f>
        <v>124509</v>
      </c>
    </row>
    <row r="178" spans="1:9" ht="12" customHeight="1" x14ac:dyDescent="0.2">
      <c r="A178" s="1442"/>
      <c r="B178" s="1452"/>
      <c r="C178" s="1453"/>
      <c r="D178" s="1454" t="s">
        <v>2014</v>
      </c>
      <c r="E178" s="1455"/>
      <c r="F178" s="1792">
        <f>F176+F177</f>
        <v>1637747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175.44900000000001</v>
      </c>
      <c r="G179" s="763"/>
      <c r="I179" s="701"/>
    </row>
    <row r="180" spans="1:9" ht="12" customHeight="1" thickBot="1" x14ac:dyDescent="0.25">
      <c r="A180" s="1442"/>
      <c r="B180" s="1456"/>
      <c r="C180" s="1453"/>
      <c r="D180" s="1454" t="s">
        <v>2016</v>
      </c>
      <c r="E180" s="1455" t="s">
        <v>1531</v>
      </c>
      <c r="F180" s="1797">
        <f>F178/F179</f>
        <v>9334.6043579615725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8" orientation="portrait" useFirstPageNumber="1" r:id="rId2"/>
  <headerFooter alignWithMargins="0">
    <oddFooter>&amp;C&amp;"Times New Roman,Regular"&amp;11Page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3"/>
  <sheetViews>
    <sheetView showGridLines="0" zoomScaleNormal="100" workbookViewId="0">
      <selection activeCell="E23" sqref="E23"/>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1"/>
  </cols>
  <sheetData>
    <row r="1" spans="1:6" ht="15" customHeight="1" x14ac:dyDescent="0.25">
      <c r="A1" s="1858" t="s">
        <v>1807</v>
      </c>
      <c r="B1" s="1859"/>
      <c r="C1" s="1860"/>
      <c r="D1" s="1860"/>
      <c r="E1" s="1860"/>
      <c r="F1" s="1860"/>
    </row>
    <row r="2" spans="1:6" x14ac:dyDescent="0.25">
      <c r="A2" s="1862"/>
      <c r="B2" s="1863"/>
      <c r="C2" s="1908" t="s">
        <v>2002</v>
      </c>
      <c r="D2" s="1862"/>
      <c r="E2" s="1862"/>
      <c r="F2" s="1862"/>
    </row>
    <row r="3" spans="1:6" ht="5.25" customHeight="1" x14ac:dyDescent="0.25">
      <c r="A3" s="1864"/>
      <c r="B3" s="1865"/>
      <c r="C3" s="1864"/>
      <c r="D3" s="1864"/>
      <c r="E3" s="1864"/>
      <c r="F3" s="1864"/>
    </row>
    <row r="4" spans="1:6" ht="18.75" customHeight="1" x14ac:dyDescent="0.25">
      <c r="A4" s="2372" t="s">
        <v>1797</v>
      </c>
      <c r="B4" s="2373"/>
      <c r="C4" s="2373"/>
      <c r="D4" s="2373"/>
      <c r="E4" s="2373"/>
      <c r="F4" s="2374"/>
    </row>
    <row r="5" spans="1:6" x14ac:dyDescent="0.25">
      <c r="A5" s="2375"/>
      <c r="B5" s="2376"/>
      <c r="C5" s="2376"/>
      <c r="D5" s="2376"/>
      <c r="E5" s="2376"/>
      <c r="F5" s="2377"/>
    </row>
    <row r="6" spans="1:6" ht="18.75" x14ac:dyDescent="0.25">
      <c r="A6" s="1866" t="s">
        <v>1798</v>
      </c>
      <c r="B6" s="1867"/>
      <c r="C6" s="1868"/>
      <c r="D6" s="1868"/>
      <c r="E6" s="1868"/>
      <c r="F6" s="1869"/>
    </row>
    <row r="7" spans="1:6" ht="47.25" customHeight="1" x14ac:dyDescent="0.25">
      <c r="A7" s="2378" t="s">
        <v>1984</v>
      </c>
      <c r="B7" s="2379"/>
      <c r="C7" s="2379"/>
      <c r="D7" s="2379"/>
      <c r="E7" s="2379"/>
      <c r="F7" s="2380"/>
    </row>
    <row r="8" spans="1:6" ht="20.25" customHeight="1" x14ac:dyDescent="0.25">
      <c r="A8" s="1898" t="s">
        <v>1986</v>
      </c>
      <c r="B8" s="1899"/>
      <c r="C8" s="1899"/>
      <c r="D8" s="1899"/>
      <c r="E8" s="1870"/>
      <c r="F8" s="1871"/>
    </row>
    <row r="9" spans="1:6" ht="18" customHeight="1" x14ac:dyDescent="0.25">
      <c r="A9" s="1872" t="s">
        <v>1983</v>
      </c>
      <c r="B9" s="1874"/>
      <c r="C9" s="1874"/>
      <c r="D9" s="1874"/>
      <c r="E9" s="1870"/>
      <c r="F9" s="1871"/>
    </row>
    <row r="10" spans="1:6" ht="15.75" customHeight="1" x14ac:dyDescent="0.25">
      <c r="A10" s="2381" t="s">
        <v>1980</v>
      </c>
      <c r="B10" s="2382"/>
      <c r="C10" s="2382"/>
      <c r="D10" s="2382"/>
      <c r="E10" s="2382"/>
      <c r="F10" s="2383"/>
    </row>
    <row r="11" spans="1:6" ht="33" customHeight="1" x14ac:dyDescent="0.25">
      <c r="A11" s="2378" t="s">
        <v>1985</v>
      </c>
      <c r="B11" s="2379"/>
      <c r="C11" s="2379"/>
      <c r="D11" s="2379"/>
      <c r="E11" s="2379"/>
      <c r="F11" s="2380"/>
    </row>
    <row r="12" spans="1:6" ht="15" customHeight="1" x14ac:dyDescent="0.25">
      <c r="A12" s="1872" t="s">
        <v>1981</v>
      </c>
      <c r="B12" s="1873"/>
      <c r="C12" s="1874"/>
      <c r="D12" s="1874"/>
      <c r="E12" s="1874"/>
      <c r="F12" s="1875"/>
    </row>
    <row r="13" spans="1:6" ht="17.25" customHeight="1" x14ac:dyDescent="0.25">
      <c r="A13" s="2378" t="s">
        <v>1982</v>
      </c>
      <c r="B13" s="2379"/>
      <c r="C13" s="2379"/>
      <c r="D13" s="2379"/>
      <c r="E13" s="2379"/>
      <c r="F13" s="2380"/>
    </row>
    <row r="14" spans="1:6" ht="15" customHeight="1" x14ac:dyDescent="0.25">
      <c r="A14" s="1872" t="s">
        <v>1800</v>
      </c>
      <c r="B14" s="1873"/>
      <c r="C14" s="1874"/>
      <c r="D14" s="1874"/>
      <c r="E14" s="1874"/>
      <c r="F14" s="1875"/>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6" t="s">
        <v>1801</v>
      </c>
      <c r="B16" s="1877" t="s">
        <v>1802</v>
      </c>
      <c r="C16" s="1876" t="s">
        <v>1803</v>
      </c>
      <c r="D16" s="1878" t="s">
        <v>1804</v>
      </c>
      <c r="E16" s="1878" t="s">
        <v>1805</v>
      </c>
      <c r="F16" s="1878" t="s">
        <v>1806</v>
      </c>
    </row>
    <row r="17" spans="1:6" x14ac:dyDescent="0.25">
      <c r="A17" s="1879"/>
      <c r="B17" s="1903"/>
      <c r="C17" s="1880"/>
      <c r="D17" s="1881"/>
      <c r="E17" s="1881"/>
      <c r="F17" s="1882"/>
    </row>
    <row r="18" spans="1:6" ht="30" x14ac:dyDescent="0.25">
      <c r="A18" s="2034" t="s">
        <v>2086</v>
      </c>
      <c r="B18" s="1904">
        <v>102540400</v>
      </c>
      <c r="C18" s="2035" t="s">
        <v>2085</v>
      </c>
      <c r="D18" s="1883">
        <v>46056</v>
      </c>
      <c r="E18" s="1902" t="str">
        <f t="shared" ref="E18:E22" si="0">IF(D18&lt;25000,D18,"25,000")</f>
        <v>25,000</v>
      </c>
      <c r="F18" s="1902">
        <f t="shared" ref="F18:F22" si="1">IF(D18&gt;=25000,(D18-E18),"0")</f>
        <v>21056</v>
      </c>
    </row>
    <row r="19" spans="1:6" x14ac:dyDescent="0.25">
      <c r="A19" s="1884"/>
      <c r="B19" s="1904"/>
      <c r="C19" s="1885"/>
      <c r="D19" s="1883"/>
      <c r="E19" s="1902">
        <f t="shared" si="0"/>
        <v>0</v>
      </c>
      <c r="F19" s="1902" t="str">
        <f t="shared" si="1"/>
        <v>0</v>
      </c>
    </row>
    <row r="20" spans="1:6" x14ac:dyDescent="0.25">
      <c r="A20" s="1884"/>
      <c r="B20" s="1904"/>
      <c r="C20" s="1885"/>
      <c r="D20" s="1883"/>
      <c r="E20" s="1902">
        <f t="shared" si="0"/>
        <v>0</v>
      </c>
      <c r="F20" s="1902" t="str">
        <f t="shared" si="1"/>
        <v>0</v>
      </c>
    </row>
    <row r="21" spans="1:6" x14ac:dyDescent="0.25">
      <c r="A21" s="1884"/>
      <c r="B21" s="1904"/>
      <c r="C21" s="1885"/>
      <c r="D21" s="1883"/>
      <c r="E21" s="1902">
        <f t="shared" si="0"/>
        <v>0</v>
      </c>
      <c r="F21" s="1902" t="str">
        <f t="shared" si="1"/>
        <v>0</v>
      </c>
    </row>
    <row r="22" spans="1:6" x14ac:dyDescent="0.25">
      <c r="A22" s="1884"/>
      <c r="B22" s="1905"/>
      <c r="C22" s="1885"/>
      <c r="D22" s="1883"/>
      <c r="E22" s="1902">
        <f t="shared" si="0"/>
        <v>0</v>
      </c>
      <c r="F22" s="1902" t="str">
        <f t="shared" si="1"/>
        <v>0</v>
      </c>
    </row>
    <row r="23" spans="1:6" x14ac:dyDescent="0.25">
      <c r="A23" s="1886" t="s">
        <v>155</v>
      </c>
      <c r="B23" s="1906"/>
      <c r="C23" s="1887"/>
      <c r="D23" s="1888">
        <f>SUM(D18:D22)</f>
        <v>46056</v>
      </c>
      <c r="E23" s="1889">
        <f>SUM(E18:E22)</f>
        <v>0</v>
      </c>
      <c r="F23" s="1890">
        <f>SUM(F18:F22)</f>
        <v>21056</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1663</v>
      </c>
      <c r="B5" s="2385"/>
      <c r="C5" s="2385"/>
      <c r="D5" s="2385"/>
      <c r="E5" s="2385"/>
      <c r="F5" s="2385"/>
      <c r="G5" s="238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1893</v>
      </c>
      <c r="B10" s="803"/>
      <c r="C10" s="807"/>
      <c r="D10" s="804"/>
      <c r="E10" s="1799">
        <v>84742</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800">
        <v>8882</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1147636</v>
      </c>
      <c r="F19" s="1801"/>
      <c r="G19" s="1803">
        <f>'Expenditures 15-22'!K33-SUM('Expenditures 15-22'!G33,'Expenditures 15-22'!I33)+'Expenditures 15-22'!D229</f>
        <v>1147636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63756</v>
      </c>
      <c r="F21" s="1804"/>
      <c r="G21" s="1807">
        <f>'Expenditures 15-22'!K42-SUM('Expenditures 15-22'!G42,'Expenditures 15-22'!I42)+'Expenditures 15-22'!K120-SUM('Expenditures 15-22'!G120,'Expenditures 15-22'!I120)+'Expenditures 15-22'!K180-SUM('Expenditures 15-22'!G180,'Expenditures 15-22'!I180)+'Expenditures 15-22'!D238</f>
        <v>63756</v>
      </c>
      <c r="H21" s="817"/>
      <c r="I21" s="157"/>
    </row>
    <row r="22" spans="1:9" s="542" customFormat="1" ht="12" customHeight="1" x14ac:dyDescent="0.2">
      <c r="A22" s="824" t="s">
        <v>560</v>
      </c>
      <c r="B22" s="825"/>
      <c r="C22" s="823">
        <v>2200</v>
      </c>
      <c r="D22" s="1804"/>
      <c r="E22" s="1806">
        <f>'Expenditures 15-22'!K47-SUM('Expenditures 15-22'!G47,'Expenditures 15-22'!I47)+'Expenditures 15-22'!D243</f>
        <v>41891</v>
      </c>
      <c r="F22" s="1804"/>
      <c r="G22" s="1807">
        <f>'Expenditures 15-22'!K47-SUM('Expenditures 15-22'!G47,'Expenditures 15-22'!I47)+'Expenditures 15-22'!D243</f>
        <v>41891</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425740</v>
      </c>
      <c r="F23" s="1804"/>
      <c r="G23" s="1806">
        <f>'Expenditures 15-22'!K53-SUM('Expenditures 15-22'!G53,'Expenditures 15-22'!I53)+'Expenditures 15-22'!D257+'Expenditures 15-22'!K330-SUM('Expenditures 15-22'!G330,'Expenditures 15-22'!I330)</f>
        <v>425740</v>
      </c>
      <c r="H23" s="817"/>
      <c r="I23" s="157"/>
    </row>
    <row r="24" spans="1:9" s="542" customFormat="1" ht="12" customHeight="1" x14ac:dyDescent="0.2">
      <c r="A24" s="824" t="s">
        <v>562</v>
      </c>
      <c r="B24" s="825"/>
      <c r="C24" s="823">
        <v>2400</v>
      </c>
      <c r="D24" s="1804"/>
      <c r="E24" s="1806">
        <f>'Expenditures 15-22'!K57-SUM('Expenditures 15-22'!G57,'Expenditures 15-22'!I57)+'Expenditures 15-22'!D261</f>
        <v>386</v>
      </c>
      <c r="F24" s="1804"/>
      <c r="G24" s="1807">
        <f>'Expenditures 15-22'!K57-SUM('Expenditures 15-22'!G57,'Expenditures 15-22'!I57)+'Expenditures 15-22'!D261</f>
        <v>386</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72662</v>
      </c>
      <c r="E27" s="1806">
        <f>E8</f>
        <v>0</v>
      </c>
      <c r="F27" s="1806">
        <f>'Expenditures 15-22'!K60-SUM('Expenditures 15-22'!G60,'Expenditures 15-22'!I60)+'Expenditures 15-22'!D264-E8</f>
        <v>72662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149376</v>
      </c>
      <c r="F28" s="1808">
        <f>'Expenditures 15-22'!K61-SUM('Expenditures 15-22'!G61,'Expenditures 15-22'!I61)+'Expenditures 15-22'!K124-SUM('Expenditures 15-22'!G124,'Expenditures 15-22'!I124)+'Expenditures 15-22'!D266-E9</f>
        <v>149376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70096</v>
      </c>
      <c r="F29" s="1804"/>
      <c r="G29" s="1807">
        <f>'Expenditures 15-22'!K62-SUM('Expenditures 15-22'!G62,'Expenditures 15-22'!I62)+'Expenditures 15-22'!K125-SUM('Expenditures 15-22'!G125,'Expenditures 15-22'!I125)+'Expenditures 15-22'!K182-SUM('Expenditures 15-22'!G182,'Expenditures 15-22'!I182)+'Expenditures 15-22'!D267</f>
        <v>70096</v>
      </c>
      <c r="H29" s="815"/>
    </row>
    <row r="30" spans="1:9" ht="12" customHeight="1" x14ac:dyDescent="0.2">
      <c r="A30" s="824" t="s">
        <v>100</v>
      </c>
      <c r="B30" s="827"/>
      <c r="C30" s="823">
        <v>2560</v>
      </c>
      <c r="D30" s="1804"/>
      <c r="E30" s="1806">
        <f>'Expenditures 15-22'!K63-SUM('Expenditures 15-22'!G63,'Expenditures 15-22'!I63)+'Expenditures 15-22'!D268-E10</f>
        <v>63876</v>
      </c>
      <c r="F30" s="1804"/>
      <c r="G30" s="1806">
        <f>'Expenditures 15-22'!K63-SUM('Expenditures 15-22'!G63,'Expenditures 15-22'!I63)+'Expenditures 15-22'!D268-E10</f>
        <v>63876</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393</v>
      </c>
      <c r="F38" s="1804"/>
      <c r="G38" s="1806">
        <f>'Expenditures 15-22'!K73-SUM('Expenditures 15-22'!G73,'Expenditures 15-22'!I73)+'Expenditures 15-22'!K128-SUM('Expenditures 15-22'!G128,'Expenditures 15-22'!I128)+'Expenditures 15-22'!K183-SUM('Expenditures 15-22'!G183,'Expenditures 15-22'!I183)+'Expenditures 15-22'!D278</f>
        <v>393</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1628</v>
      </c>
      <c r="F39" s="1804"/>
      <c r="G39" s="1806">
        <f>'Expenditures 15-22'!K75-SUM('Expenditures 15-22'!G75,'Expenditures 15-22'!I75)+'Expenditures 15-22'!K130-SUM('Expenditures 15-22'!G130,'Expenditures 15-22'!I130)+'Expenditures 15-22'!K185-SUM('Expenditures 15-22'!G185,'Expenditures 15-22'!I185)+'Expenditures 15-22'!D280</f>
        <v>1628</v>
      </c>
    </row>
    <row r="40" spans="1:7" ht="12" customHeight="1" x14ac:dyDescent="0.2">
      <c r="A40" s="820" t="s">
        <v>1799</v>
      </c>
      <c r="B40" s="821"/>
      <c r="C40" s="823"/>
      <c r="D40" s="1804"/>
      <c r="E40" s="1808">
        <f>-'Contracts Paid in CY 29'!F23</f>
        <v>-21056</v>
      </c>
      <c r="F40" s="1804"/>
      <c r="G40" s="1808">
        <f>-'Contracts Paid in CY 29'!F23</f>
        <v>-21056</v>
      </c>
    </row>
    <row r="41" spans="1:7" ht="12" customHeight="1" x14ac:dyDescent="0.2">
      <c r="A41" s="828" t="s">
        <v>155</v>
      </c>
      <c r="B41" s="829"/>
      <c r="C41" s="830"/>
      <c r="D41" s="1808">
        <f>SUM(D19:D39)</f>
        <v>72662</v>
      </c>
      <c r="E41" s="1808">
        <f>SUM(E19:E40)</f>
        <v>1943722</v>
      </c>
      <c r="F41" s="1808">
        <f>SUM(F19:F39)</f>
        <v>222038</v>
      </c>
      <c r="G41" s="1808">
        <f>SUM(G19:G40)</f>
        <v>1794346</v>
      </c>
    </row>
    <row r="42" spans="1:7" x14ac:dyDescent="0.2">
      <c r="A42" s="817"/>
      <c r="B42" s="157"/>
      <c r="C42" s="831"/>
      <c r="D42" s="2387" t="s">
        <v>519</v>
      </c>
      <c r="E42" s="2388"/>
      <c r="F42" s="832" t="s">
        <v>520</v>
      </c>
      <c r="G42" s="833"/>
    </row>
    <row r="43" spans="1:7" ht="12" customHeight="1" x14ac:dyDescent="0.2">
      <c r="A43" s="817"/>
      <c r="B43" s="157"/>
      <c r="C43" s="831"/>
      <c r="D43" s="1457" t="s">
        <v>470</v>
      </c>
      <c r="E43" s="1809">
        <f>D41</f>
        <v>72662</v>
      </c>
      <c r="F43" s="1457" t="s">
        <v>470</v>
      </c>
      <c r="G43" s="1809">
        <f>F41</f>
        <v>222038</v>
      </c>
    </row>
    <row r="44" spans="1:7" ht="12" customHeight="1" x14ac:dyDescent="0.2">
      <c r="A44" s="817"/>
      <c r="B44" s="157"/>
      <c r="C44" s="831"/>
      <c r="D44" s="1457" t="s">
        <v>471</v>
      </c>
      <c r="E44" s="1809">
        <f>E41</f>
        <v>1943722</v>
      </c>
      <c r="F44" s="1457" t="s">
        <v>471</v>
      </c>
      <c r="G44" s="1809">
        <f>G41</f>
        <v>1794346</v>
      </c>
    </row>
    <row r="45" spans="1:7" ht="12" customHeight="1" x14ac:dyDescent="0.2">
      <c r="A45" s="817"/>
      <c r="B45" s="157"/>
      <c r="C45" s="157"/>
      <c r="D45" s="1458" t="s">
        <v>999</v>
      </c>
      <c r="E45" s="1810">
        <f>(E43/E44)</f>
        <v>3.7382917927563715E-2</v>
      </c>
      <c r="F45" s="1458" t="s">
        <v>999</v>
      </c>
      <c r="G45" s="1810">
        <f>(G43/G44)</f>
        <v>0.12374313538191631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7" firstPageNumber="31" orientation="landscape" useFirstPageNumber="1" r:id="rId1"/>
  <headerFooter alignWithMargins="0">
    <oddFooter>&amp;C&amp;"Times New Roman,Regular"&amp;11Page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H11" sqref="H1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10" width="4" style="1506" bestFit="1" customWidth="1"/>
    <col min="11" max="11" width="9" style="1506" customWidth="1"/>
    <col min="12" max="16384" width="9.140625" style="1476"/>
  </cols>
  <sheetData>
    <row r="1" spans="1:15" x14ac:dyDescent="0.2">
      <c r="A1" s="2406" t="s">
        <v>1365</v>
      </c>
      <c r="B1" s="2406"/>
      <c r="C1" s="2406"/>
      <c r="D1" s="2406"/>
      <c r="E1" s="2406"/>
      <c r="F1" s="2406"/>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7" t="s">
        <v>1532</v>
      </c>
      <c r="B5" s="2408"/>
      <c r="C5" s="2409"/>
      <c r="D5" s="2409"/>
      <c r="E5" s="2409"/>
      <c r="F5" s="2409"/>
      <c r="G5" s="1506"/>
      <c r="L5" s="1506"/>
      <c r="M5" s="1854"/>
      <c r="N5" s="1854"/>
      <c r="O5" s="1854"/>
    </row>
    <row r="6" spans="1:15" ht="12" customHeight="1" x14ac:dyDescent="0.25">
      <c r="A6" s="1479"/>
      <c r="B6" s="1480"/>
      <c r="C6" s="2410" t="str">
        <f>COVER!A17</f>
        <v>Desoto Cons SD 86</v>
      </c>
      <c r="D6" s="2410"/>
      <c r="E6" s="2410"/>
      <c r="F6" s="1481"/>
      <c r="G6" s="1506"/>
      <c r="L6" s="1506"/>
      <c r="M6" s="1854"/>
      <c r="N6" s="1854"/>
      <c r="O6" s="1854"/>
    </row>
    <row r="7" spans="1:15" ht="11.25" customHeight="1" thickBot="1" x14ac:dyDescent="0.3">
      <c r="A7" s="1479"/>
      <c r="B7" s="1480"/>
      <c r="C7" s="2411">
        <f>COVER!A13</f>
        <v>30039086003</v>
      </c>
      <c r="D7" s="2411"/>
      <c r="E7" s="2411"/>
      <c r="F7" s="1481"/>
      <c r="G7" s="1506"/>
      <c r="L7" s="1506"/>
      <c r="M7" s="1854"/>
      <c r="N7" s="1854"/>
      <c r="O7" s="1854"/>
    </row>
    <row r="8" spans="1:15" ht="25.5" customHeight="1" thickBot="1" x14ac:dyDescent="0.25">
      <c r="A8" s="1518" t="s">
        <v>1873</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t="s">
        <v>2047</v>
      </c>
      <c r="D19" s="1494" t="s">
        <v>2047</v>
      </c>
      <c r="E19" s="1497" t="s">
        <v>2047</v>
      </c>
      <c r="F19" s="1496" t="s">
        <v>2087</v>
      </c>
      <c r="G19" s="1506"/>
      <c r="H19" s="1506">
        <f t="shared" si="0"/>
        <v>5</v>
      </c>
      <c r="I19" s="1506">
        <f t="shared" si="1"/>
        <v>5</v>
      </c>
      <c r="J19" s="1506">
        <f t="shared" si="2"/>
        <v>5</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t="s">
        <v>2047</v>
      </c>
      <c r="D21" s="1494" t="s">
        <v>2047</v>
      </c>
      <c r="E21" s="1497" t="s">
        <v>2047</v>
      </c>
      <c r="F21" s="1496" t="s">
        <v>2088</v>
      </c>
      <c r="G21" s="1506"/>
      <c r="H21" s="1506">
        <f t="shared" si="0"/>
        <v>5</v>
      </c>
      <c r="I21" s="1506">
        <f t="shared" si="1"/>
        <v>5</v>
      </c>
      <c r="J21" s="1506">
        <f t="shared" si="2"/>
        <v>5</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2047</v>
      </c>
      <c r="D26" s="1494" t="s">
        <v>2047</v>
      </c>
      <c r="E26" s="1497" t="s">
        <v>2047</v>
      </c>
      <c r="F26" s="1496" t="s">
        <v>2089</v>
      </c>
      <c r="G26" s="1506"/>
      <c r="H26" s="1506">
        <f t="shared" si="0"/>
        <v>5</v>
      </c>
      <c r="I26" s="1506">
        <f t="shared" si="1"/>
        <v>5</v>
      </c>
      <c r="J26" s="1506">
        <f t="shared" si="2"/>
        <v>5</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15</v>
      </c>
      <c r="K34" s="1506">
        <f>SUM(H34:J34)</f>
        <v>45</v>
      </c>
      <c r="L34" s="1506"/>
      <c r="M34" s="1854"/>
      <c r="N34" s="1854"/>
      <c r="O34" s="1854"/>
    </row>
    <row r="35" spans="1:15" ht="12" customHeight="1" x14ac:dyDescent="0.2">
      <c r="A35" s="1499" t="s">
        <v>1378</v>
      </c>
      <c r="B35" s="1500"/>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501"/>
      <c r="B39" s="1501"/>
      <c r="C39" s="1501"/>
      <c r="D39" s="1501"/>
      <c r="E39" s="1501"/>
      <c r="F39" s="1501"/>
    </row>
    <row r="40" spans="1:15" s="1498" customFormat="1" ht="12" customHeight="1" x14ac:dyDescent="0.25">
      <c r="A40" s="1502" t="s">
        <v>1377</v>
      </c>
      <c r="B40" s="1503"/>
      <c r="C40" s="2401"/>
      <c r="D40" s="2401"/>
      <c r="E40" s="2401"/>
      <c r="F40" s="2402"/>
      <c r="H40" s="1507"/>
      <c r="I40" s="1507"/>
      <c r="J40" s="1507"/>
      <c r="K40" s="1507"/>
    </row>
    <row r="41" spans="1:15" s="1498" customFormat="1" ht="12" customHeight="1" x14ac:dyDescent="0.25">
      <c r="A41" s="2403"/>
      <c r="B41" s="2404"/>
      <c r="C41" s="2404"/>
      <c r="D41" s="2404"/>
      <c r="E41" s="2404"/>
      <c r="F41" s="2405"/>
      <c r="H41" s="1507"/>
      <c r="I41" s="1507"/>
      <c r="J41" s="1507"/>
      <c r="K41" s="1507"/>
    </row>
    <row r="42" spans="1:15" s="1498" customFormat="1" ht="12" customHeight="1" x14ac:dyDescent="0.25">
      <c r="A42" s="2403"/>
      <c r="B42" s="2404"/>
      <c r="C42" s="2404"/>
      <c r="D42" s="2404"/>
      <c r="E42" s="2404"/>
      <c r="F42" s="2405"/>
      <c r="H42" s="1507"/>
      <c r="I42" s="1507"/>
      <c r="J42" s="1507"/>
      <c r="K42" s="1507"/>
    </row>
    <row r="43" spans="1:15" s="1498" customFormat="1" ht="15" x14ac:dyDescent="0.25">
      <c r="A43" s="2392"/>
      <c r="B43" s="2393"/>
      <c r="C43" s="2393"/>
      <c r="D43" s="2393"/>
      <c r="E43" s="2393"/>
      <c r="F43" s="2394"/>
      <c r="H43" s="1507"/>
      <c r="I43" s="1507"/>
      <c r="J43" s="1507"/>
      <c r="K43" s="1507"/>
    </row>
    <row r="44" spans="1:15" s="1498" customFormat="1" ht="12" hidden="1" customHeight="1" x14ac:dyDescent="0.25">
      <c r="A44" s="2392"/>
      <c r="B44" s="2393"/>
      <c r="C44" s="2393"/>
      <c r="D44" s="2393"/>
      <c r="E44" s="2393"/>
      <c r="F44" s="239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86" firstPageNumber="32" orientation="landscape" useFirstPageNumber="1" r:id="rId1"/>
  <headerFooter>
    <oddFooter>&amp;C&amp;"Times New Roman,Regular"&amp;11Page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G66" sqref="G66"/>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2001</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6"/>
      <c r="C6" s="1376"/>
      <c r="D6" s="1376"/>
      <c r="E6" s="1377"/>
      <c r="F6" s="1917"/>
      <c r="G6" s="1918"/>
      <c r="H6" s="838"/>
      <c r="I6" s="1919" t="s">
        <v>1021</v>
      </c>
      <c r="J6" s="2432" t="str">
        <f>COVER!A17</f>
        <v>Desoto Cons SD 86</v>
      </c>
      <c r="K6" s="2432"/>
      <c r="L6" s="2446"/>
      <c r="M6" s="838"/>
      <c r="N6" s="1993"/>
    </row>
    <row r="7" spans="1:14" x14ac:dyDescent="0.2">
      <c r="A7" s="2447" t="s">
        <v>864</v>
      </c>
      <c r="B7" s="2448"/>
      <c r="C7" s="2448"/>
      <c r="D7" s="2448"/>
      <c r="E7" s="2449"/>
      <c r="F7" s="839"/>
      <c r="G7" s="838"/>
      <c r="H7" s="838"/>
      <c r="I7" s="1919" t="s">
        <v>369</v>
      </c>
      <c r="J7" s="2434">
        <f>COVER!A13</f>
        <v>30039086003</v>
      </c>
      <c r="K7" s="2434"/>
      <c r="L7" s="2434"/>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2017</v>
      </c>
      <c r="F9" s="1856"/>
      <c r="G9" s="1856"/>
      <c r="H9" s="1856"/>
      <c r="I9" s="1924" t="s">
        <v>2018</v>
      </c>
      <c r="J9" s="1856"/>
      <c r="K9" s="1856"/>
      <c r="L9" s="1857"/>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50" t="s">
        <v>478</v>
      </c>
      <c r="B11" s="2451"/>
      <c r="C11" s="2452"/>
      <c r="D11" s="1932" t="s">
        <v>866</v>
      </c>
      <c r="E11" s="1932" t="s">
        <v>64</v>
      </c>
      <c r="F11" s="1932" t="s">
        <v>6</v>
      </c>
      <c r="G11" s="1933" t="s">
        <v>2019</v>
      </c>
      <c r="H11" s="1934" t="s">
        <v>155</v>
      </c>
      <c r="I11" s="1932" t="s">
        <v>64</v>
      </c>
      <c r="J11" s="1932" t="s">
        <v>6</v>
      </c>
      <c r="K11" s="1933" t="s">
        <v>2000</v>
      </c>
      <c r="L11" s="1934" t="s">
        <v>155</v>
      </c>
      <c r="M11" s="838"/>
      <c r="N11" s="1993"/>
    </row>
    <row r="12" spans="1:14" x14ac:dyDescent="0.2">
      <c r="A12" s="1998">
        <v>1</v>
      </c>
      <c r="B12" s="1935" t="s">
        <v>813</v>
      </c>
      <c r="C12" s="842"/>
      <c r="D12" s="1936">
        <v>2320</v>
      </c>
      <c r="E12" s="1939">
        <f>'Expenditures 15-22'!K50</f>
        <v>156009</v>
      </c>
      <c r="F12" s="1937"/>
      <c r="G12" s="1963">
        <f>G68</f>
        <v>13838</v>
      </c>
      <c r="H12" s="1939">
        <f t="shared" ref="H12:H18" si="0">SUM(E12:G12)</f>
        <v>169847</v>
      </c>
      <c r="I12" s="1938">
        <v>148950</v>
      </c>
      <c r="J12" s="1937"/>
      <c r="K12" s="1938">
        <v>0</v>
      </c>
      <c r="L12" s="1939">
        <f t="shared" ref="L12:L18" si="1">SUM(I12:K12)</f>
        <v>148950</v>
      </c>
      <c r="M12" s="838"/>
      <c r="N12" s="1993"/>
    </row>
    <row r="13" spans="1:14" x14ac:dyDescent="0.2">
      <c r="A13" s="1998">
        <v>2</v>
      </c>
      <c r="B13" s="1935" t="s">
        <v>42</v>
      </c>
      <c r="C13" s="842"/>
      <c r="D13" s="1936">
        <v>2330</v>
      </c>
      <c r="E13" s="1939">
        <f>'Expenditures 15-22'!K51</f>
        <v>0</v>
      </c>
      <c r="F13" s="1937"/>
      <c r="G13" s="1963">
        <f>H68</f>
        <v>0</v>
      </c>
      <c r="H13" s="1939">
        <f t="shared" si="0"/>
        <v>0</v>
      </c>
      <c r="I13" s="1938">
        <v>0</v>
      </c>
      <c r="J13" s="1937"/>
      <c r="K13" s="1938">
        <v>0</v>
      </c>
      <c r="L13" s="1939">
        <f t="shared" si="1"/>
        <v>0</v>
      </c>
      <c r="M13" s="838"/>
      <c r="N13" s="1993"/>
    </row>
    <row r="14" spans="1:14" x14ac:dyDescent="0.2">
      <c r="A14" s="1998">
        <v>3</v>
      </c>
      <c r="B14" s="1935" t="s">
        <v>43</v>
      </c>
      <c r="C14" s="842"/>
      <c r="D14" s="1940">
        <v>2490</v>
      </c>
      <c r="E14" s="1939">
        <f>'Expenditures 15-22'!K56</f>
        <v>0</v>
      </c>
      <c r="F14" s="1937"/>
      <c r="G14" s="1963">
        <f>I68</f>
        <v>0</v>
      </c>
      <c r="H14" s="1939">
        <f t="shared" si="0"/>
        <v>0</v>
      </c>
      <c r="I14" s="1938">
        <v>0</v>
      </c>
      <c r="J14" s="1937"/>
      <c r="K14" s="1938">
        <v>0</v>
      </c>
      <c r="L14" s="1939">
        <f t="shared" si="1"/>
        <v>0</v>
      </c>
      <c r="M14" s="838"/>
      <c r="N14" s="1993"/>
    </row>
    <row r="15" spans="1:14" x14ac:dyDescent="0.2">
      <c r="A15" s="1998">
        <v>4</v>
      </c>
      <c r="B15" s="1935" t="s">
        <v>1061</v>
      </c>
      <c r="C15" s="842"/>
      <c r="D15" s="1936">
        <v>2510</v>
      </c>
      <c r="E15" s="1939">
        <f>'Expenditures 15-22'!K59</f>
        <v>0</v>
      </c>
      <c r="F15" s="1939">
        <f>'Expenditures 15-22'!K122</f>
        <v>0</v>
      </c>
      <c r="G15" s="1963">
        <f>J68</f>
        <v>0</v>
      </c>
      <c r="H15" s="1939">
        <f t="shared" si="0"/>
        <v>0</v>
      </c>
      <c r="I15" s="1938">
        <v>0</v>
      </c>
      <c r="J15" s="1938">
        <v>0</v>
      </c>
      <c r="K15" s="1938">
        <v>0</v>
      </c>
      <c r="L15" s="1939">
        <f t="shared" si="1"/>
        <v>0</v>
      </c>
      <c r="M15" s="838"/>
      <c r="N15" s="1993"/>
    </row>
    <row r="16" spans="1:14" x14ac:dyDescent="0.2">
      <c r="A16" s="1998">
        <v>5</v>
      </c>
      <c r="B16" s="1935" t="s">
        <v>101</v>
      </c>
      <c r="C16" s="842"/>
      <c r="D16" s="1936">
        <v>2570</v>
      </c>
      <c r="E16" s="1939">
        <f>'Expenditures 15-22'!K64</f>
        <v>0</v>
      </c>
      <c r="F16" s="1937"/>
      <c r="G16" s="1963">
        <f>K68</f>
        <v>0</v>
      </c>
      <c r="H16" s="1939">
        <f t="shared" si="0"/>
        <v>0</v>
      </c>
      <c r="I16" s="1938">
        <v>0</v>
      </c>
      <c r="J16" s="1937"/>
      <c r="K16" s="1938">
        <v>0</v>
      </c>
      <c r="L16" s="1939">
        <f t="shared" si="1"/>
        <v>0</v>
      </c>
      <c r="M16" s="838"/>
      <c r="N16" s="1993"/>
    </row>
    <row r="17" spans="1:14" x14ac:dyDescent="0.2">
      <c r="A17" s="1998">
        <v>6</v>
      </c>
      <c r="B17" s="1935" t="s">
        <v>1053</v>
      </c>
      <c r="C17" s="842"/>
      <c r="D17" s="1936">
        <v>2610</v>
      </c>
      <c r="E17" s="1939">
        <f>'Expenditures 15-22'!K67</f>
        <v>0</v>
      </c>
      <c r="F17" s="1937"/>
      <c r="G17" s="1963">
        <f>L68</f>
        <v>0</v>
      </c>
      <c r="H17" s="1939">
        <f t="shared" si="0"/>
        <v>0</v>
      </c>
      <c r="I17" s="1938">
        <v>0</v>
      </c>
      <c r="J17" s="1937"/>
      <c r="K17" s="1938">
        <v>0</v>
      </c>
      <c r="L17" s="1939">
        <f t="shared" si="1"/>
        <v>0</v>
      </c>
      <c r="M17" s="838"/>
      <c r="N17" s="1993"/>
    </row>
    <row r="18" spans="1:14" ht="26.25" customHeight="1" x14ac:dyDescent="0.2">
      <c r="A18" s="1999">
        <v>7</v>
      </c>
      <c r="B18" s="2453" t="s">
        <v>7</v>
      </c>
      <c r="C18" s="2454"/>
      <c r="D18" s="2455"/>
      <c r="E18" s="1941">
        <v>0</v>
      </c>
      <c r="F18" s="1941">
        <v>0</v>
      </c>
      <c r="G18" s="1938">
        <v>0</v>
      </c>
      <c r="H18" s="1942">
        <f t="shared" si="0"/>
        <v>0</v>
      </c>
      <c r="I18" s="1938">
        <v>0</v>
      </c>
      <c r="J18" s="1938">
        <v>0</v>
      </c>
      <c r="K18" s="1938">
        <v>0</v>
      </c>
      <c r="L18" s="1939">
        <f t="shared" si="1"/>
        <v>0</v>
      </c>
      <c r="M18" s="838"/>
      <c r="N18" s="1993"/>
    </row>
    <row r="19" spans="1:14" ht="13.5" thickBot="1" x14ac:dyDescent="0.25">
      <c r="A19" s="1998">
        <v>8</v>
      </c>
      <c r="B19" s="1943" t="s">
        <v>1153</v>
      </c>
      <c r="C19" s="838"/>
      <c r="D19" s="1944"/>
      <c r="E19" s="1945">
        <f t="shared" ref="E19:L19" si="2">SUM(E12:E17)-E18</f>
        <v>156009</v>
      </c>
      <c r="F19" s="1945">
        <f t="shared" si="2"/>
        <v>0</v>
      </c>
      <c r="G19" s="1945">
        <f t="shared" ref="G19" si="3">SUM(G12:G17)-G18</f>
        <v>13838</v>
      </c>
      <c r="H19" s="1945">
        <f t="shared" si="2"/>
        <v>169847</v>
      </c>
      <c r="I19" s="1945">
        <f t="shared" si="2"/>
        <v>148950</v>
      </c>
      <c r="J19" s="1945">
        <f t="shared" si="2"/>
        <v>0</v>
      </c>
      <c r="K19" s="1945">
        <f t="shared" si="2"/>
        <v>0</v>
      </c>
      <c r="L19" s="1945">
        <f t="shared" si="2"/>
        <v>148950</v>
      </c>
      <c r="M19" s="838"/>
      <c r="N19" s="1993"/>
    </row>
    <row r="20" spans="1:14" ht="13.5" thickTop="1" x14ac:dyDescent="0.2">
      <c r="A20" s="1998">
        <v>9</v>
      </c>
      <c r="B20" s="2456" t="s">
        <v>2020</v>
      </c>
      <c r="C20" s="2456"/>
      <c r="D20" s="2457"/>
      <c r="E20" s="1946"/>
      <c r="F20" s="1946"/>
      <c r="G20" s="1946"/>
      <c r="H20" s="1946"/>
      <c r="I20" s="1946"/>
      <c r="J20" s="1946"/>
      <c r="K20" s="1946"/>
      <c r="L20" s="1947">
        <f>IF(AND(H19&gt;0,L19&gt;0),(((L19-H19)/H19)),"Enter Budget Data")</f>
        <v>-0.1230342602459861</v>
      </c>
      <c r="M20" s="838"/>
      <c r="N20" s="1993"/>
    </row>
    <row r="21" spans="1:14" x14ac:dyDescent="0.2">
      <c r="A21" s="2000" t="s">
        <v>194</v>
      </c>
      <c r="B21" s="2001" t="s">
        <v>2045</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2021</v>
      </c>
      <c r="B24" s="2005"/>
      <c r="C24" s="2006"/>
      <c r="D24" s="2006"/>
      <c r="E24" s="2006"/>
      <c r="F24" s="2006"/>
      <c r="G24" s="2006"/>
      <c r="H24" s="2006"/>
      <c r="I24" s="2006"/>
      <c r="J24" s="2006"/>
      <c r="K24" s="2006"/>
      <c r="L24" s="838"/>
      <c r="M24" s="838"/>
      <c r="N24" s="1993"/>
    </row>
    <row r="25" spans="1:14" x14ac:dyDescent="0.2">
      <c r="A25" s="2004" t="s">
        <v>2022</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58"/>
      <c r="D27" s="2458"/>
      <c r="E27" s="843"/>
      <c r="F27" s="2459">
        <v>44075</v>
      </c>
      <c r="G27" s="2459"/>
      <c r="H27" s="2459"/>
      <c r="I27" s="838"/>
      <c r="J27" s="838"/>
      <c r="K27" s="838"/>
      <c r="L27" s="838"/>
      <c r="M27" s="838"/>
      <c r="N27" s="1993"/>
    </row>
    <row r="28" spans="1:14" x14ac:dyDescent="0.2">
      <c r="A28" s="1992"/>
      <c r="B28" s="2002"/>
      <c r="C28" s="1952" t="s">
        <v>1026</v>
      </c>
      <c r="D28" s="844"/>
      <c r="E28" s="1953"/>
      <c r="F28" s="2460" t="s">
        <v>1495</v>
      </c>
      <c r="G28" s="2460"/>
      <c r="H28" s="2460"/>
      <c r="I28" s="838"/>
      <c r="J28" s="838"/>
      <c r="K28" s="838"/>
      <c r="L28" s="838"/>
      <c r="M28" s="838"/>
      <c r="N28" s="1993"/>
    </row>
    <row r="29" spans="1:14" x14ac:dyDescent="0.2">
      <c r="A29" s="1992"/>
      <c r="B29" s="2002"/>
      <c r="C29" s="2461" t="s">
        <v>2067</v>
      </c>
      <c r="D29" s="2461"/>
      <c r="E29" s="845"/>
      <c r="F29" s="2461" t="s">
        <v>2068</v>
      </c>
      <c r="G29" s="2461"/>
      <c r="H29" s="2461"/>
      <c r="I29" s="838"/>
      <c r="J29" s="838"/>
      <c r="K29" s="838"/>
      <c r="L29" s="838"/>
      <c r="M29" s="838"/>
      <c r="N29" s="1993"/>
    </row>
    <row r="30" spans="1:14" x14ac:dyDescent="0.2">
      <c r="A30" s="1992"/>
      <c r="B30" s="2002"/>
      <c r="C30" s="1955" t="s">
        <v>1547</v>
      </c>
      <c r="D30" s="838"/>
      <c r="E30" s="1954"/>
      <c r="F30" s="2445" t="s">
        <v>1496</v>
      </c>
      <c r="G30" s="2445"/>
      <c r="H30" s="2445"/>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22" t="s">
        <v>2023</v>
      </c>
      <c r="D34" s="2423"/>
      <c r="E34" s="2423"/>
      <c r="F34" s="2423"/>
      <c r="G34" s="2423"/>
      <c r="H34" s="2423"/>
      <c r="I34" s="2423"/>
      <c r="J34" s="2423"/>
      <c r="K34" s="2011"/>
      <c r="L34" s="838"/>
      <c r="M34" s="838"/>
      <c r="N34" s="1993"/>
    </row>
    <row r="35" spans="1:14" x14ac:dyDescent="0.2">
      <c r="A35" s="1992"/>
      <c r="B35" s="838"/>
      <c r="C35" s="2423"/>
      <c r="D35" s="2423"/>
      <c r="E35" s="2423"/>
      <c r="F35" s="2423"/>
      <c r="G35" s="2423"/>
      <c r="H35" s="2423"/>
      <c r="I35" s="2423"/>
      <c r="J35" s="2423"/>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22" t="s">
        <v>2024</v>
      </c>
      <c r="D37" s="2423"/>
      <c r="E37" s="2423"/>
      <c r="F37" s="2423"/>
      <c r="G37" s="2423"/>
      <c r="H37" s="2423"/>
      <c r="I37" s="2423"/>
      <c r="J37" s="2423"/>
      <c r="K37" s="2011"/>
      <c r="L37" s="2013"/>
      <c r="M37" s="838"/>
      <c r="N37" s="1993"/>
    </row>
    <row r="38" spans="1:14" x14ac:dyDescent="0.2">
      <c r="A38" s="1992"/>
      <c r="B38" s="838"/>
      <c r="C38" s="2423"/>
      <c r="D38" s="2423"/>
      <c r="E38" s="2423"/>
      <c r="F38" s="2423"/>
      <c r="G38" s="2423"/>
      <c r="H38" s="2423"/>
      <c r="I38" s="2423"/>
      <c r="J38" s="2423"/>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24" t="s">
        <v>2025</v>
      </c>
      <c r="D40" s="2425"/>
      <c r="E40" s="2425"/>
      <c r="F40" s="2425"/>
      <c r="G40" s="2425"/>
      <c r="H40" s="2425"/>
      <c r="I40" s="2425"/>
      <c r="J40" s="2425"/>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26" t="s">
        <v>2026</v>
      </c>
      <c r="B43" s="2427"/>
      <c r="C43" s="2427"/>
      <c r="D43" s="2427"/>
      <c r="E43" s="2427"/>
      <c r="F43" s="2427"/>
      <c r="G43" s="2427"/>
      <c r="H43" s="2427"/>
      <c r="I43" s="2427"/>
      <c r="J43" s="2427"/>
      <c r="K43" s="2427"/>
      <c r="L43" s="2427"/>
      <c r="M43" s="2427"/>
      <c r="N43" s="2428"/>
    </row>
    <row r="44" spans="1:14" x14ac:dyDescent="0.2">
      <c r="A44" s="1977"/>
      <c r="B44" s="1978"/>
      <c r="C44" s="1978"/>
      <c r="D44" s="1978"/>
      <c r="E44" s="1978"/>
      <c r="F44" s="1978"/>
      <c r="G44" s="1978"/>
      <c r="H44" s="1978"/>
      <c r="I44" s="1978"/>
      <c r="J44" s="1978"/>
      <c r="K44" s="1978"/>
      <c r="L44" s="1978"/>
      <c r="M44" s="1978"/>
      <c r="N44" s="1979"/>
    </row>
    <row r="45" spans="1:14" x14ac:dyDescent="0.2">
      <c r="A45" s="1977" t="s">
        <v>2027</v>
      </c>
      <c r="B45" s="1978"/>
      <c r="C45" s="1978"/>
      <c r="D45" s="1978"/>
      <c r="E45" s="1978"/>
      <c r="F45" s="1978"/>
      <c r="G45" s="1978"/>
      <c r="H45" s="1978"/>
      <c r="I45" s="1978"/>
      <c r="J45" s="1978"/>
      <c r="K45" s="1978"/>
      <c r="L45" s="1978"/>
      <c r="M45" s="1978"/>
      <c r="N45" s="1979"/>
    </row>
    <row r="46" spans="1:14" x14ac:dyDescent="0.2">
      <c r="A46" s="2429" t="s">
        <v>2028</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2044</v>
      </c>
      <c r="B49" s="2019"/>
      <c r="C49" s="2019"/>
      <c r="D49" s="2020"/>
      <c r="E49" s="2020"/>
      <c r="F49" s="2020"/>
      <c r="G49" s="2020"/>
      <c r="H49" s="2020"/>
      <c r="I49" s="2020"/>
      <c r="J49" s="2020"/>
      <c r="K49" s="2020"/>
      <c r="L49" s="2020"/>
      <c r="M49" s="2020"/>
      <c r="N49" s="2021"/>
    </row>
    <row r="50" spans="1:14" ht="15" x14ac:dyDescent="0.25">
      <c r="A50" s="2023" t="s">
        <v>2043</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32" t="str">
        <f>J6</f>
        <v>Desoto Cons SD 86</v>
      </c>
      <c r="M52" s="2432"/>
      <c r="N52" s="2433"/>
    </row>
    <row r="53" spans="1:14" x14ac:dyDescent="0.2">
      <c r="A53" s="1977"/>
      <c r="B53" s="1978"/>
      <c r="C53" s="1978"/>
      <c r="D53" s="1978"/>
      <c r="E53" s="1978"/>
      <c r="F53" s="1978"/>
      <c r="G53" s="1978"/>
      <c r="H53" s="1978"/>
      <c r="I53" s="1978"/>
      <c r="J53" s="1978"/>
      <c r="K53" s="1919" t="s">
        <v>369</v>
      </c>
      <c r="L53" s="2434">
        <f>J7</f>
        <v>30039086003</v>
      </c>
      <c r="M53" s="2434"/>
      <c r="N53" s="2435"/>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36"/>
      <c r="B55" s="2437"/>
      <c r="C55" s="2437"/>
      <c r="D55" s="1965"/>
      <c r="E55" s="1965"/>
      <c r="F55" s="1965"/>
      <c r="G55" s="2438" t="s">
        <v>2029</v>
      </c>
      <c r="H55" s="2438"/>
      <c r="I55" s="2438"/>
      <c r="J55" s="2438"/>
      <c r="K55" s="2438"/>
      <c r="L55" s="2438"/>
      <c r="M55" s="2438"/>
      <c r="N55" s="2439"/>
    </row>
    <row r="56" spans="1:14" ht="63.75" x14ac:dyDescent="0.2">
      <c r="A56" s="2440" t="s">
        <v>2030</v>
      </c>
      <c r="B56" s="2441"/>
      <c r="C56" s="2442"/>
      <c r="D56" s="1959" t="s">
        <v>2031</v>
      </c>
      <c r="E56" s="1959" t="s">
        <v>2032</v>
      </c>
      <c r="F56" s="1966"/>
      <c r="G56" s="1959" t="s">
        <v>2033</v>
      </c>
      <c r="H56" s="1959" t="s">
        <v>2034</v>
      </c>
      <c r="I56" s="1959" t="s">
        <v>2035</v>
      </c>
      <c r="J56" s="1959" t="s">
        <v>2036</v>
      </c>
      <c r="K56" s="1959" t="s">
        <v>2037</v>
      </c>
      <c r="L56" s="1959" t="s">
        <v>2038</v>
      </c>
      <c r="M56" s="1959" t="s">
        <v>2039</v>
      </c>
      <c r="N56" s="1960" t="s">
        <v>2046</v>
      </c>
    </row>
    <row r="57" spans="1:14" ht="24.75" customHeight="1" x14ac:dyDescent="0.2">
      <c r="A57" s="2443" t="s">
        <v>296</v>
      </c>
      <c r="B57" s="2444"/>
      <c r="C57" s="2444"/>
      <c r="D57" s="1961">
        <v>2361</v>
      </c>
      <c r="E57" s="1971">
        <f>'Expenditures 15-22'!K319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20" t="s">
        <v>2040</v>
      </c>
      <c r="B58" s="2421"/>
      <c r="C58" s="2421"/>
      <c r="D58" s="1962">
        <v>2362</v>
      </c>
      <c r="E58" s="1972">
        <f>'Expenditures 15-22'!K320</f>
        <v>0</v>
      </c>
      <c r="F58" s="1967"/>
      <c r="G58" s="2026">
        <v>0</v>
      </c>
      <c r="H58" s="2027">
        <v>0</v>
      </c>
      <c r="I58" s="2027">
        <v>0</v>
      </c>
      <c r="J58" s="2027">
        <v>0</v>
      </c>
      <c r="K58" s="2027">
        <v>0</v>
      </c>
      <c r="L58" s="2027">
        <v>0</v>
      </c>
      <c r="M58" s="2027">
        <v>0</v>
      </c>
      <c r="N58" s="1970">
        <f>IF((SUM(G58:M58))=E58,SUM(G58:M58),"Column N does not agree with Column E")</f>
        <v>0</v>
      </c>
    </row>
    <row r="59" spans="1:14" ht="24.75" customHeight="1" x14ac:dyDescent="0.2">
      <c r="A59" s="2414" t="s">
        <v>297</v>
      </c>
      <c r="B59" s="2415"/>
      <c r="C59" s="2415"/>
      <c r="D59" s="1962">
        <v>2363</v>
      </c>
      <c r="E59" s="1972">
        <f>'Expenditures 15-22'!K321</f>
        <v>0</v>
      </c>
      <c r="F59" s="1967"/>
      <c r="G59" s="2026">
        <v>0</v>
      </c>
      <c r="H59" s="2027">
        <v>0</v>
      </c>
      <c r="I59" s="2027">
        <v>0</v>
      </c>
      <c r="J59" s="2027">
        <v>0</v>
      </c>
      <c r="K59" s="2027">
        <v>0</v>
      </c>
      <c r="L59" s="2027">
        <v>0</v>
      </c>
      <c r="M59" s="2027">
        <v>0</v>
      </c>
      <c r="N59" s="1970">
        <f>IF((SUM(G59:M59))=E59,SUM(G59:M59),"Column N does not agree with Column E")</f>
        <v>0</v>
      </c>
    </row>
    <row r="60" spans="1:14" ht="24" customHeight="1" x14ac:dyDescent="0.2">
      <c r="A60" s="2414" t="s">
        <v>236</v>
      </c>
      <c r="B60" s="2415"/>
      <c r="C60" s="2415"/>
      <c r="D60" s="1962">
        <v>2364</v>
      </c>
      <c r="E60" s="1972">
        <f>'Expenditures 15-22'!K322</f>
        <v>42818</v>
      </c>
      <c r="F60" s="1967"/>
      <c r="G60" s="2026">
        <v>0</v>
      </c>
      <c r="H60" s="2027">
        <v>0</v>
      </c>
      <c r="I60" s="2027">
        <v>0</v>
      </c>
      <c r="J60" s="2027">
        <v>0</v>
      </c>
      <c r="K60" s="2027">
        <v>0</v>
      </c>
      <c r="L60" s="2027">
        <v>0</v>
      </c>
      <c r="M60" s="2027">
        <v>42818</v>
      </c>
      <c r="N60" s="1970">
        <f t="shared" ref="N60:N67" si="4">IF((SUM(G60:M60))=E60,SUM(G60:M60),"Column N does not agree with Column E")</f>
        <v>42818</v>
      </c>
    </row>
    <row r="61" spans="1:14" ht="24.75" customHeight="1" x14ac:dyDescent="0.2">
      <c r="A61" s="2414" t="s">
        <v>697</v>
      </c>
      <c r="B61" s="2415"/>
      <c r="C61" s="2415"/>
      <c r="D61" s="1962">
        <v>2365</v>
      </c>
      <c r="E61" s="1972">
        <f>'Expenditures 15-22'!K323</f>
        <v>0</v>
      </c>
      <c r="F61" s="1967"/>
      <c r="G61" s="2026">
        <v>0</v>
      </c>
      <c r="H61" s="2027">
        <v>0</v>
      </c>
      <c r="I61" s="2027">
        <v>0</v>
      </c>
      <c r="J61" s="2027">
        <v>0</v>
      </c>
      <c r="K61" s="2027">
        <v>0</v>
      </c>
      <c r="L61" s="2027">
        <v>0</v>
      </c>
      <c r="M61" s="2027">
        <v>0</v>
      </c>
      <c r="N61" s="1970">
        <f t="shared" si="4"/>
        <v>0</v>
      </c>
    </row>
    <row r="62" spans="1:14" ht="24" customHeight="1" x14ac:dyDescent="0.2">
      <c r="A62" s="2414" t="s">
        <v>237</v>
      </c>
      <c r="B62" s="2415"/>
      <c r="C62" s="2415"/>
      <c r="D62" s="1962">
        <v>2366</v>
      </c>
      <c r="E62" s="1972">
        <f>'Expenditures 15-22'!K324</f>
        <v>0</v>
      </c>
      <c r="F62" s="1967"/>
      <c r="G62" s="2026">
        <v>0</v>
      </c>
      <c r="H62" s="2027">
        <v>0</v>
      </c>
      <c r="I62" s="2027">
        <v>0</v>
      </c>
      <c r="J62" s="2027">
        <v>0</v>
      </c>
      <c r="K62" s="2027">
        <v>0</v>
      </c>
      <c r="L62" s="2027">
        <v>0</v>
      </c>
      <c r="M62" s="2027">
        <v>0</v>
      </c>
      <c r="N62" s="1970">
        <f t="shared" si="4"/>
        <v>0</v>
      </c>
    </row>
    <row r="63" spans="1:14" ht="24" customHeight="1" x14ac:dyDescent="0.2">
      <c r="A63" s="2420" t="s">
        <v>1022</v>
      </c>
      <c r="B63" s="2421"/>
      <c r="C63" s="2421"/>
      <c r="D63" s="1962">
        <v>2367</v>
      </c>
      <c r="E63" s="1972">
        <f>'Expenditures 15-22'!K325</f>
        <v>159955</v>
      </c>
      <c r="F63" s="1967"/>
      <c r="G63" s="2026">
        <v>13838</v>
      </c>
      <c r="H63" s="2027">
        <v>0</v>
      </c>
      <c r="I63" s="2027">
        <v>0</v>
      </c>
      <c r="J63" s="2027">
        <v>0</v>
      </c>
      <c r="K63" s="2027">
        <v>0</v>
      </c>
      <c r="L63" s="2027">
        <v>0</v>
      </c>
      <c r="M63" s="2027">
        <v>146117</v>
      </c>
      <c r="N63" s="1970">
        <f t="shared" si="4"/>
        <v>159955</v>
      </c>
    </row>
    <row r="64" spans="1:14" ht="24" customHeight="1" x14ac:dyDescent="0.2">
      <c r="A64" s="2414" t="s">
        <v>1023</v>
      </c>
      <c r="B64" s="2415"/>
      <c r="C64" s="2415"/>
      <c r="D64" s="1962">
        <v>2368</v>
      </c>
      <c r="E64" s="1972">
        <f>'Expenditures 15-22'!K326</f>
        <v>0</v>
      </c>
      <c r="F64" s="1967"/>
      <c r="G64" s="2026">
        <v>0</v>
      </c>
      <c r="H64" s="2027">
        <v>0</v>
      </c>
      <c r="I64" s="2027">
        <v>0</v>
      </c>
      <c r="J64" s="2027">
        <v>0</v>
      </c>
      <c r="K64" s="2027">
        <v>0</v>
      </c>
      <c r="L64" s="2027">
        <v>0</v>
      </c>
      <c r="M64" s="2027">
        <v>0</v>
      </c>
      <c r="N64" s="1970">
        <f t="shared" si="4"/>
        <v>0</v>
      </c>
    </row>
    <row r="65" spans="1:14" ht="24" customHeight="1" x14ac:dyDescent="0.2">
      <c r="A65" s="2414" t="s">
        <v>965</v>
      </c>
      <c r="B65" s="2415"/>
      <c r="C65" s="2415"/>
      <c r="D65" s="1962">
        <v>2369</v>
      </c>
      <c r="E65" s="1972">
        <f>'Expenditures 15-22'!K327</f>
        <v>400</v>
      </c>
      <c r="F65" s="1967"/>
      <c r="G65" s="2026">
        <v>0</v>
      </c>
      <c r="H65" s="2027">
        <v>0</v>
      </c>
      <c r="I65" s="2027">
        <v>0</v>
      </c>
      <c r="J65" s="2027">
        <v>0</v>
      </c>
      <c r="K65" s="2027">
        <v>0</v>
      </c>
      <c r="L65" s="2027">
        <v>0</v>
      </c>
      <c r="M65" s="2027">
        <v>400</v>
      </c>
      <c r="N65" s="1970">
        <f t="shared" si="4"/>
        <v>400</v>
      </c>
    </row>
    <row r="66" spans="1:14" ht="24" customHeight="1" x14ac:dyDescent="0.2">
      <c r="A66" s="2414" t="s">
        <v>469</v>
      </c>
      <c r="B66" s="2415"/>
      <c r="C66" s="2415"/>
      <c r="D66" s="1962">
        <v>2371</v>
      </c>
      <c r="E66" s="1972">
        <f>'Expenditures 15-22'!K328</f>
        <v>0</v>
      </c>
      <c r="F66" s="1967"/>
      <c r="G66" s="2026">
        <v>0</v>
      </c>
      <c r="H66" s="2027">
        <v>0</v>
      </c>
      <c r="I66" s="2027">
        <v>0</v>
      </c>
      <c r="J66" s="2027">
        <v>0</v>
      </c>
      <c r="K66" s="2027">
        <v>0</v>
      </c>
      <c r="L66" s="2027">
        <v>0</v>
      </c>
      <c r="M66" s="2027">
        <v>0</v>
      </c>
      <c r="N66" s="1970">
        <f t="shared" si="4"/>
        <v>0</v>
      </c>
    </row>
    <row r="67" spans="1:14" ht="24.75" customHeight="1" x14ac:dyDescent="0.2">
      <c r="A67" s="2416" t="s">
        <v>2041</v>
      </c>
      <c r="B67" s="2417"/>
      <c r="C67" s="2417"/>
      <c r="D67" s="1964">
        <v>2372</v>
      </c>
      <c r="E67" s="1973">
        <f>'Expenditures 15-22'!K329</f>
        <v>0</v>
      </c>
      <c r="F67" s="1967"/>
      <c r="G67" s="2028">
        <v>0</v>
      </c>
      <c r="H67" s="2029">
        <v>0</v>
      </c>
      <c r="I67" s="2029">
        <v>0</v>
      </c>
      <c r="J67" s="2029">
        <v>0</v>
      </c>
      <c r="K67" s="2029">
        <v>0</v>
      </c>
      <c r="L67" s="2029">
        <v>0</v>
      </c>
      <c r="M67" s="2029">
        <v>0</v>
      </c>
      <c r="N67" s="1970">
        <f t="shared" si="4"/>
        <v>0</v>
      </c>
    </row>
    <row r="68" spans="1:14" x14ac:dyDescent="0.2">
      <c r="A68" s="2418" t="s">
        <v>1153</v>
      </c>
      <c r="B68" s="2419"/>
      <c r="C68" s="2419"/>
      <c r="D68" s="1965"/>
      <c r="E68" s="1969">
        <f>SUM(E57:E67)</f>
        <v>203173</v>
      </c>
      <c r="F68" s="1968"/>
      <c r="G68" s="1969">
        <f t="shared" ref="G68:N68" si="5">SUM(G57:G67)</f>
        <v>13838</v>
      </c>
      <c r="H68" s="1969">
        <f t="shared" si="5"/>
        <v>0</v>
      </c>
      <c r="I68" s="1969">
        <f t="shared" si="5"/>
        <v>0</v>
      </c>
      <c r="J68" s="1969">
        <f t="shared" si="5"/>
        <v>0</v>
      </c>
      <c r="K68" s="1969">
        <f t="shared" si="5"/>
        <v>0</v>
      </c>
      <c r="L68" s="1969">
        <f t="shared" si="5"/>
        <v>0</v>
      </c>
      <c r="M68" s="1969">
        <f t="shared" si="5"/>
        <v>189335</v>
      </c>
      <c r="N68" s="1983">
        <f t="shared" si="5"/>
        <v>203173</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2042</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0.5" bottom="0.5" header="0.3" footer="0.3"/>
  <pageSetup scale="74" firstPageNumber="33" fitToHeight="0" orientation="landscape" useFirstPageNumber="1" r:id="rId1"/>
  <headerFooter>
    <oddFooter>&amp;C&amp;"Times New Roman,Regular"&amp;11Page &amp;P</oddFooter>
  </headerFooter>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57" sqref="B5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2090</v>
      </c>
    </row>
    <row r="6" spans="1:2" x14ac:dyDescent="0.2">
      <c r="A6" s="847">
        <v>2</v>
      </c>
      <c r="B6" s="254" t="s">
        <v>2091</v>
      </c>
    </row>
    <row r="7" spans="1:2" x14ac:dyDescent="0.2">
      <c r="A7" s="847">
        <v>3</v>
      </c>
      <c r="B7" s="254" t="s">
        <v>2092</v>
      </c>
    </row>
    <row r="8" spans="1:2" x14ac:dyDescent="0.2">
      <c r="A8" s="847">
        <v>4</v>
      </c>
      <c r="B8" s="254" t="s">
        <v>2093</v>
      </c>
    </row>
    <row r="9" spans="1:2" x14ac:dyDescent="0.2">
      <c r="A9" s="847">
        <v>5</v>
      </c>
      <c r="B9" s="254" t="s">
        <v>2094</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rintOptions horizontalCentered="1"/>
  <pageMargins left="0.2" right="0.2" top="1.17" bottom="0.75" header="0.19" footer="0.16"/>
  <pageSetup scale="94" firstPageNumber="35" orientation="portrait" useFirstPageNumber="1" r:id="rId1"/>
  <headerFooter alignWithMargins="0">
    <oddHeader>&amp;C&amp;"Calibri,Bold" Itemization Schedule</oddHeader>
    <oddFooter>&amp;C&amp;"Times New Roman,Regular"&amp;11Page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8" sqref="C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Header>&amp;C&amp;"Calibri,Bold"Reference Page</oddHeader>
    <oddFooter>&amp;C&amp;"Times New Roman,Regular"&amp;11Page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I22" sqref="I22:S2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1160</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3" t="s">
        <v>1619</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2047</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t="s">
        <v>2049</v>
      </c>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1314</v>
      </c>
      <c r="B70" s="2166"/>
      <c r="C70" s="2166"/>
      <c r="D70" s="2166"/>
      <c r="E70" s="2167"/>
      <c r="F70" s="2167"/>
      <c r="G70" s="2167"/>
      <c r="H70" s="2167"/>
      <c r="I70" s="216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1311</v>
      </c>
      <c r="B83" s="2168"/>
      <c r="C83" s="2168"/>
      <c r="D83" s="216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9" t="s">
        <v>1988</v>
      </c>
      <c r="B85" s="2179"/>
      <c r="C85" s="2179"/>
      <c r="D85" s="2180"/>
      <c r="E85" s="1543"/>
      <c r="F85" s="1543"/>
      <c r="G85" s="1543"/>
      <c r="H85" s="1543"/>
      <c r="I85" s="1900"/>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1" t="s">
        <v>1988</v>
      </c>
      <c r="B88" s="2182"/>
      <c r="C88" s="2182"/>
      <c r="D88" s="2183"/>
      <c r="E88" s="1543"/>
      <c r="F88" s="1543"/>
      <c r="G88" s="1543"/>
      <c r="H88" s="1543"/>
      <c r="I88" s="1900"/>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1"/>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0" t="s">
        <v>2083</v>
      </c>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2048</v>
      </c>
      <c r="D114" s="215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1321</v>
      </c>
      <c r="D117" s="2161"/>
      <c r="E117" s="2162"/>
      <c r="F117" s="2162"/>
      <c r="G117" s="2162"/>
      <c r="H117" s="216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Footer>&amp;C&amp;"Times New Roman,Regular"&amp;11Page &amp;P</oddFoot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30" sqref="B3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2" t="s">
        <v>1668</v>
      </c>
      <c r="B18" s="2462"/>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&amp;C&amp;"Calibri,Bold"Notes, Opinions, Letters, Etc.</oddHeader>
    <oddFooter>&amp;C&amp;"Times New Roman,Regular"&amp;11Page &amp;P</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1038225</xdr:colOff>
                <xdr:row>3</xdr:row>
                <xdr:rowOff>0</xdr:rowOff>
              </from>
              <to>
                <xdr:col>1</xdr:col>
                <xdr:colOff>1952625</xdr:colOff>
                <xdr:row>7</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7</xdr:row>
                <xdr:rowOff>85725</xdr:rowOff>
              </from>
              <to>
                <xdr:col>1</xdr:col>
                <xdr:colOff>914400</xdr:colOff>
                <xdr:row>11</xdr:row>
                <xdr:rowOff>123825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1028700</xdr:colOff>
                <xdr:row>7</xdr:row>
                <xdr:rowOff>95250</xdr:rowOff>
              </from>
              <to>
                <xdr:col>1</xdr:col>
                <xdr:colOff>1943100</xdr:colOff>
                <xdr:row>11</xdr:row>
                <xdr:rowOff>133350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2047875</xdr:colOff>
                <xdr:row>7</xdr:row>
                <xdr:rowOff>104775</xdr:rowOff>
              </from>
              <to>
                <xdr:col>1</xdr:col>
                <xdr:colOff>2962275</xdr:colOff>
                <xdr:row>11</xdr:row>
                <xdr:rowOff>142875</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2038350</xdr:colOff>
                <xdr:row>2</xdr:row>
                <xdr:rowOff>152400</xdr:rowOff>
              </from>
              <to>
                <xdr:col>1</xdr:col>
                <xdr:colOff>2952750</xdr:colOff>
                <xdr:row>7</xdr:row>
                <xdr:rowOff>28575</xdr:rowOff>
              </to>
            </anchor>
          </objectPr>
        </oleObject>
      </mc:Choice>
      <mc:Fallback>
        <oleObject progId="Acrobat Document" dvAspect="DVASPECT_ICON" shapeId="43015"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1672</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3"/>
      <c r="H2" s="853"/>
    </row>
    <row r="3" spans="1:8" ht="57" customHeight="1" x14ac:dyDescent="0.2">
      <c r="A3" s="2476" t="s">
        <v>1971</v>
      </c>
      <c r="B3" s="2477"/>
      <c r="C3" s="2477"/>
      <c r="D3" s="2477"/>
      <c r="E3" s="2477"/>
      <c r="F3" s="2478"/>
      <c r="G3" s="853"/>
      <c r="H3" s="853"/>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3"/>
      <c r="H4" s="853"/>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3"/>
      <c r="H5" s="853"/>
    </row>
    <row r="6" spans="1:8" s="854" customFormat="1" ht="41.25" customHeight="1" x14ac:dyDescent="0.2">
      <c r="A6" s="2479" t="s">
        <v>1673</v>
      </c>
      <c r="B6" s="2480"/>
      <c r="C6" s="2480"/>
      <c r="D6" s="2480"/>
      <c r="E6" s="2480"/>
      <c r="F6" s="2481"/>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2012229</v>
      </c>
      <c r="C8" s="1812">
        <f>'Acct Summary 7-8'!D8</f>
        <v>127880</v>
      </c>
      <c r="D8" s="1812">
        <f>'Acct Summary 7-8'!F8</f>
        <v>101787</v>
      </c>
      <c r="E8" s="1812">
        <f>'Acct Summary 7-8'!I8</f>
        <v>8496</v>
      </c>
      <c r="F8" s="1812">
        <f>SUM(B8:E8)</f>
        <v>2250392</v>
      </c>
    </row>
    <row r="9" spans="1:8" s="858" customFormat="1" ht="14.25" customHeight="1" thickBot="1" x14ac:dyDescent="0.25">
      <c r="A9" s="857" t="s">
        <v>1355</v>
      </c>
      <c r="B9" s="1813">
        <f>'Acct Summary 7-8'!C17</f>
        <v>1791985</v>
      </c>
      <c r="C9" s="1813">
        <f>'Acct Summary 7-8'!D17</f>
        <v>78072</v>
      </c>
      <c r="D9" s="1813">
        <f>'Acct Summary 7-8'!F17</f>
        <v>63535</v>
      </c>
      <c r="E9" s="1812"/>
      <c r="F9" s="1812">
        <f>SUM(B9:E9)</f>
        <v>1933592</v>
      </c>
    </row>
    <row r="10" spans="1:8" s="858" customFormat="1" ht="14.25" thickTop="1" thickBot="1" x14ac:dyDescent="0.25">
      <c r="A10" s="859" t="s">
        <v>1356</v>
      </c>
      <c r="B10" s="1814">
        <f>(B8-B9)</f>
        <v>220244</v>
      </c>
      <c r="C10" s="1814">
        <f>(C8-C9)</f>
        <v>49808</v>
      </c>
      <c r="D10" s="1814">
        <f>(D8-D9)</f>
        <v>38252</v>
      </c>
      <c r="E10" s="1813">
        <f>(E8-E9)</f>
        <v>8496</v>
      </c>
      <c r="F10" s="1815">
        <f>SUM(F8-F9)</f>
        <v>316800</v>
      </c>
    </row>
    <row r="11" spans="1:8" s="858" customFormat="1" ht="14.25" thickTop="1" thickBot="1" x14ac:dyDescent="0.25">
      <c r="A11" s="860" t="s">
        <v>1902</v>
      </c>
      <c r="B11" s="1816">
        <f>'Acct Summary 7-8'!C81</f>
        <v>921791</v>
      </c>
      <c r="C11" s="1816">
        <f>'Acct Summary 7-8'!D81</f>
        <v>115606</v>
      </c>
      <c r="D11" s="1816">
        <f>'Acct Summary 7-8'!F81</f>
        <v>67019</v>
      </c>
      <c r="E11" s="1816">
        <f>'Acct Summary 7-8'!I81</f>
        <v>13603</v>
      </c>
      <c r="F11" s="1817">
        <f>SUM(B11:E11)</f>
        <v>1118019</v>
      </c>
    </row>
    <row r="12" spans="1:8" ht="16.5" customHeight="1" thickTop="1" x14ac:dyDescent="0.2">
      <c r="A12" s="861"/>
      <c r="B12" s="862"/>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3"/>
      <c r="B13" s="864"/>
      <c r="C13" s="2467"/>
      <c r="D13" s="2468"/>
      <c r="E13" s="2468"/>
      <c r="F13" s="2469"/>
      <c r="H13" s="853"/>
    </row>
    <row r="14" spans="1:8" ht="19.5" customHeight="1" x14ac:dyDescent="0.2">
      <c r="A14" s="863"/>
      <c r="B14" s="864"/>
      <c r="C14" s="2467"/>
      <c r="D14" s="2468"/>
      <c r="E14" s="2468"/>
      <c r="F14" s="2469"/>
      <c r="H14" s="853"/>
    </row>
    <row r="15" spans="1:8" ht="17.25" customHeight="1" x14ac:dyDescent="0.2">
      <c r="A15" s="863"/>
      <c r="B15" s="864"/>
      <c r="C15" s="2470"/>
      <c r="D15" s="2471"/>
      <c r="E15" s="2471"/>
      <c r="F15" s="2472"/>
      <c r="H15" s="853"/>
    </row>
    <row r="16" spans="1:8" s="288" customFormat="1" ht="51.75" hidden="1" customHeight="1" x14ac:dyDescent="0.2">
      <c r="A16" s="2466" t="s">
        <v>1669</v>
      </c>
      <c r="B16" s="2466"/>
      <c r="C16" s="2466"/>
      <c r="D16" s="2466"/>
      <c r="E16" s="2466"/>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Footer>&amp;C&amp;"Times New Roman,Regular"&amp;11Page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1966</v>
      </c>
      <c r="F1" s="1542" t="s">
        <v>1967</v>
      </c>
      <c r="G1" s="1896" t="s">
        <v>1977</v>
      </c>
    </row>
    <row r="2" spans="1:7" ht="15.75" x14ac:dyDescent="0.25">
      <c r="A2" t="s">
        <v>260</v>
      </c>
      <c r="B2" s="135">
        <f>COVER!A13</f>
        <v>30039086003</v>
      </c>
      <c r="E2" s="1541">
        <v>2020</v>
      </c>
      <c r="F2" s="1541">
        <v>1</v>
      </c>
      <c r="G2" s="1895">
        <v>101000300</v>
      </c>
    </row>
    <row r="3" spans="1:7" ht="15" x14ac:dyDescent="0.25">
      <c r="A3" t="s">
        <v>950</v>
      </c>
      <c r="B3" s="135" t="str">
        <f>COVER!A15</f>
        <v>Jackson</v>
      </c>
      <c r="E3" s="1829" t="s">
        <v>1970</v>
      </c>
      <c r="F3" s="1829" t="s">
        <v>1969</v>
      </c>
      <c r="G3" s="1895">
        <v>101000400</v>
      </c>
    </row>
    <row r="4" spans="1:7" ht="15" x14ac:dyDescent="0.25">
      <c r="A4" t="s">
        <v>1000</v>
      </c>
      <c r="B4" s="135" t="str">
        <f>COVER!A17</f>
        <v>Desoto Cons SD 86</v>
      </c>
      <c r="E4" s="1827">
        <v>44119</v>
      </c>
      <c r="F4" s="1828">
        <v>44151</v>
      </c>
      <c r="G4" s="1895">
        <v>101000600</v>
      </c>
    </row>
    <row r="5" spans="1:7" ht="15" x14ac:dyDescent="0.25">
      <c r="A5" t="s">
        <v>699</v>
      </c>
      <c r="B5" s="135" t="str">
        <f>COVER!A38</f>
        <v>Nathaniel Wilson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Cheryl Graff</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t="str">
        <f>IF(COVER!J30="x","Yes",IF(COVER!L30="x","No",0))</f>
        <v>No</v>
      </c>
      <c r="G13" s="1895">
        <v>202100800</v>
      </c>
    </row>
    <row r="14" spans="1:7" ht="15" x14ac:dyDescent="0.25">
      <c r="A14" t="s">
        <v>473</v>
      </c>
      <c r="B14" s="135" t="str">
        <f>IF(COVER!J31="x","Yes",IF(COVER!L31="x","No",0))</f>
        <v>Yes</v>
      </c>
      <c r="G14" s="1895">
        <v>402100300</v>
      </c>
    </row>
    <row r="15" spans="1:7" ht="15" x14ac:dyDescent="0.25">
      <c r="A15" t="s">
        <v>573</v>
      </c>
      <c r="B15" s="135" t="str">
        <f>COVER!T23</f>
        <v>065-012078</v>
      </c>
      <c r="G15" s="1895">
        <v>402100400</v>
      </c>
    </row>
    <row r="16" spans="1:7" ht="15" x14ac:dyDescent="0.25">
      <c r="A16" t="s">
        <v>419</v>
      </c>
      <c r="B16" s="135" t="str">
        <f>COVER!T13</f>
        <v>Emling&amp; Hoffman, P.C.</v>
      </c>
      <c r="G16" s="1895">
        <v>402100600</v>
      </c>
    </row>
    <row r="17" spans="1:7" ht="15" x14ac:dyDescent="0.25">
      <c r="A17" t="s">
        <v>878</v>
      </c>
      <c r="B17" s="135" t="str">
        <f>COVER!T15</f>
        <v>Donald L Hoffman</v>
      </c>
      <c r="G17" s="1895">
        <v>402100800</v>
      </c>
    </row>
    <row r="18" spans="1:7" ht="15" x14ac:dyDescent="0.25">
      <c r="A18" t="s">
        <v>1142</v>
      </c>
      <c r="B18" s="135" t="str">
        <f>COVER!T17</f>
        <v>105 E Main St</v>
      </c>
      <c r="G18" s="1895">
        <v>102200300</v>
      </c>
    </row>
    <row r="19" spans="1:7" ht="15" x14ac:dyDescent="0.25">
      <c r="A19" t="s">
        <v>880</v>
      </c>
      <c r="B19" s="135" t="str">
        <f>COVER!T25</f>
        <v>donhoffman@emlingcpa.com</v>
      </c>
      <c r="G19" s="1895">
        <v>102200400</v>
      </c>
    </row>
    <row r="20" spans="1:7" ht="15" x14ac:dyDescent="0.25">
      <c r="A20" t="s">
        <v>881</v>
      </c>
      <c r="B20" s="135" t="str">
        <f>COVER!T19</f>
        <v>Du 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1144</v>
      </c>
      <c r="B23" s="135" t="str">
        <f>COVER!T21</f>
        <v>618-542-4747</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t="str">
        <f>COVER!U34</f>
        <v>X</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Yes</v>
      </c>
      <c r="G47" s="1895">
        <v>102540400</v>
      </c>
    </row>
    <row r="48" spans="1:7" ht="15" x14ac:dyDescent="0.25">
      <c r="A48" t="s">
        <v>480</v>
      </c>
      <c r="B48" s="135" t="str">
        <f>IF('Aud Quest 2'!B51="x","Yes",IF('Aud Quest 2'!B51&lt;&gt;"x","0"))</f>
        <v>0</v>
      </c>
      <c r="G48" s="1895">
        <v>102540600</v>
      </c>
    </row>
    <row r="49" spans="1:7" ht="15" x14ac:dyDescent="0.25">
      <c r="A49" s="1" t="s">
        <v>1467</v>
      </c>
      <c r="B49" s="135" t="str">
        <f>IF('Aud Quest 2'!B53="x","Yes",IF('Aud Quest 2'!B53&lt;&gt;"x","0"))</f>
        <v>0</v>
      </c>
      <c r="G49" s="1895">
        <v>102540800</v>
      </c>
    </row>
    <row r="50" spans="1:7" ht="15" x14ac:dyDescent="0.25">
      <c r="A50" s="1" t="s">
        <v>1466</v>
      </c>
      <c r="B50" s="146">
        <f>'Aud Quest 2'!H53</f>
        <v>0</v>
      </c>
      <c r="G50" s="1895">
        <v>202540300</v>
      </c>
    </row>
    <row r="51" spans="1:7" ht="15" x14ac:dyDescent="0.25">
      <c r="A51" s="1" t="s">
        <v>1468</v>
      </c>
      <c r="B51" s="135" t="str">
        <f>IF('Aud Quest 2'!B54="x","Yes",IF('Aud Quest 2'!B54&lt;&gt;"x","0"))</f>
        <v>Yes</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1"/>
      <c r="D62" s="2" t="str">
        <f>IF(ISBLANK(B62),"OK",IF(A62-B62=0,"OK","Error?"))</f>
        <v>OK</v>
      </c>
      <c r="G62" s="1895">
        <v>202550300</v>
      </c>
    </row>
    <row r="63" spans="1:7" ht="15" x14ac:dyDescent="0.25">
      <c r="A63" s="10">
        <v>2</v>
      </c>
      <c r="B63" s="1831"/>
      <c r="D63" s="2" t="str">
        <f t="shared" ref="D63:D126" si="0">IF(ISBLANK(B63),"OK",IF(A63-B63=0,"OK","Error?"))</f>
        <v>OK</v>
      </c>
      <c r="G63" s="1895">
        <v>202550400</v>
      </c>
    </row>
    <row r="64" spans="1:7" ht="15" x14ac:dyDescent="0.25">
      <c r="A64" s="10">
        <v>3</v>
      </c>
      <c r="B64" s="1831"/>
      <c r="D64" s="2" t="str">
        <f t="shared" si="0"/>
        <v>OK</v>
      </c>
      <c r="G64" s="1895">
        <v>202550600</v>
      </c>
    </row>
    <row r="65" spans="1:7" ht="15" x14ac:dyDescent="0.25">
      <c r="A65" s="5">
        <v>4</v>
      </c>
      <c r="B65" s="1831">
        <f>'Assets-Liab 5-6'!C6</f>
        <v>0</v>
      </c>
      <c r="D65" s="2" t="str">
        <f t="shared" si="0"/>
        <v>Error?</v>
      </c>
      <c r="G65" s="1895">
        <v>202550800</v>
      </c>
    </row>
    <row r="66" spans="1:7" ht="15" x14ac:dyDescent="0.25">
      <c r="A66" s="10">
        <v>5</v>
      </c>
      <c r="B66" s="1831"/>
      <c r="D66" s="2" t="str">
        <f t="shared" si="0"/>
        <v>OK</v>
      </c>
      <c r="G66" s="1895">
        <v>402550300</v>
      </c>
    </row>
    <row r="67" spans="1:7" ht="15" x14ac:dyDescent="0.25">
      <c r="A67" s="10">
        <v>6</v>
      </c>
      <c r="B67" s="1831"/>
      <c r="D67" s="2" t="str">
        <f t="shared" si="0"/>
        <v>OK</v>
      </c>
      <c r="G67" s="1895">
        <v>402550400</v>
      </c>
    </row>
    <row r="68" spans="1:7" ht="15" x14ac:dyDescent="0.25">
      <c r="A68" s="10">
        <v>7</v>
      </c>
      <c r="B68" s="1831"/>
      <c r="D68" s="2" t="str">
        <f t="shared" si="0"/>
        <v>OK</v>
      </c>
      <c r="G68" s="1895">
        <v>402550600</v>
      </c>
    </row>
    <row r="69" spans="1:7" ht="15" x14ac:dyDescent="0.25">
      <c r="A69" s="10">
        <v>8</v>
      </c>
      <c r="B69" s="1831"/>
      <c r="D69" s="2" t="str">
        <f t="shared" si="0"/>
        <v>OK</v>
      </c>
      <c r="G69" s="1895">
        <v>402550800</v>
      </c>
    </row>
    <row r="70" spans="1:7" ht="15" x14ac:dyDescent="0.25">
      <c r="A70" s="10">
        <v>9</v>
      </c>
      <c r="B70" s="1831"/>
      <c r="D70" s="2" t="str">
        <f t="shared" si="0"/>
        <v>OK</v>
      </c>
      <c r="G70" s="1895">
        <v>102560300</v>
      </c>
    </row>
    <row r="71" spans="1:7" ht="15" x14ac:dyDescent="0.25">
      <c r="A71" s="10">
        <v>10</v>
      </c>
      <c r="B71" s="1831"/>
      <c r="D71" s="2" t="str">
        <f t="shared" si="0"/>
        <v>OK</v>
      </c>
      <c r="G71" s="1895">
        <v>102560400</v>
      </c>
    </row>
    <row r="72" spans="1:7" ht="15" x14ac:dyDescent="0.25">
      <c r="A72" s="5">
        <v>11</v>
      </c>
      <c r="B72" s="1831">
        <f>'Assets-Liab 5-6'!C10</f>
        <v>0</v>
      </c>
      <c r="D72" s="2" t="str">
        <f t="shared" si="0"/>
        <v>Error?</v>
      </c>
      <c r="G72" s="1895">
        <v>102560600</v>
      </c>
    </row>
    <row r="73" spans="1:7" ht="15" x14ac:dyDescent="0.25">
      <c r="A73" s="5">
        <v>12</v>
      </c>
      <c r="B73" s="1831">
        <f>'Assets-Liab 5-6'!C5</f>
        <v>408729</v>
      </c>
      <c r="D73" s="2" t="str">
        <f t="shared" si="0"/>
        <v>Error?</v>
      </c>
      <c r="G73" s="1895">
        <v>102560800</v>
      </c>
    </row>
    <row r="74" spans="1:7" ht="15" x14ac:dyDescent="0.25">
      <c r="A74" s="10">
        <v>13</v>
      </c>
      <c r="B74" s="1831"/>
      <c r="D74" s="2" t="str">
        <f t="shared" si="0"/>
        <v>OK</v>
      </c>
      <c r="G74" s="1895">
        <v>102570300</v>
      </c>
    </row>
    <row r="75" spans="1:7" ht="15" x14ac:dyDescent="0.25">
      <c r="A75" s="10">
        <v>14</v>
      </c>
      <c r="B75" s="1831"/>
      <c r="D75" s="2" t="str">
        <f t="shared" si="0"/>
        <v>OK</v>
      </c>
      <c r="G75" s="1895">
        <v>102570400</v>
      </c>
    </row>
    <row r="76" spans="1:7" ht="15" x14ac:dyDescent="0.25">
      <c r="A76" s="5">
        <v>15</v>
      </c>
      <c r="B76" s="1831">
        <f>'Assets-Liab 5-6'!C12</f>
        <v>0</v>
      </c>
      <c r="D76" s="2" t="str">
        <f t="shared" si="0"/>
        <v>Error?</v>
      </c>
      <c r="G76" s="1895">
        <v>102570600</v>
      </c>
    </row>
    <row r="77" spans="1:7" ht="15" x14ac:dyDescent="0.25">
      <c r="A77" s="5">
        <v>16</v>
      </c>
      <c r="B77" s="1831">
        <f>'Assets-Liab 5-6'!C13</f>
        <v>921871</v>
      </c>
      <c r="C77" s="2" t="s">
        <v>569</v>
      </c>
      <c r="D77" s="2" t="str">
        <f t="shared" si="0"/>
        <v>Error?</v>
      </c>
      <c r="G77" s="1895">
        <v>102570800</v>
      </c>
    </row>
    <row r="78" spans="1:7" ht="15" x14ac:dyDescent="0.25">
      <c r="A78" s="10">
        <v>17</v>
      </c>
      <c r="B78" s="1831"/>
      <c r="D78" s="2" t="str">
        <f t="shared" si="0"/>
        <v>OK</v>
      </c>
      <c r="G78" s="1895">
        <v>102610300</v>
      </c>
    </row>
    <row r="79" spans="1:7" ht="15" x14ac:dyDescent="0.25">
      <c r="A79" s="10">
        <v>18</v>
      </c>
      <c r="B79" s="1831"/>
      <c r="D79" s="2" t="str">
        <f t="shared" si="0"/>
        <v>OK</v>
      </c>
      <c r="G79" s="1895">
        <v>102610400</v>
      </c>
    </row>
    <row r="80" spans="1:7" ht="15" x14ac:dyDescent="0.25">
      <c r="A80" s="10">
        <v>19</v>
      </c>
      <c r="B80" s="1831"/>
      <c r="D80" s="2" t="str">
        <f t="shared" si="0"/>
        <v>OK</v>
      </c>
      <c r="G80" s="1895">
        <v>102610600</v>
      </c>
    </row>
    <row r="81" spans="1:7" ht="15" x14ac:dyDescent="0.25">
      <c r="A81" s="10">
        <v>20</v>
      </c>
      <c r="B81" s="1831"/>
      <c r="D81" s="2" t="str">
        <f t="shared" si="0"/>
        <v>OK</v>
      </c>
      <c r="G81" s="1895">
        <v>102610800</v>
      </c>
    </row>
    <row r="82" spans="1:7" ht="15" x14ac:dyDescent="0.25">
      <c r="A82" s="10">
        <v>21</v>
      </c>
      <c r="B82" s="1831"/>
      <c r="D82" s="2" t="str">
        <f t="shared" si="0"/>
        <v>OK</v>
      </c>
      <c r="G82" s="1895">
        <v>102620300</v>
      </c>
    </row>
    <row r="83" spans="1:7" ht="15" x14ac:dyDescent="0.25">
      <c r="A83" s="10">
        <v>22</v>
      </c>
      <c r="B83" s="1831"/>
      <c r="D83" s="2" t="str">
        <f t="shared" si="0"/>
        <v>OK</v>
      </c>
      <c r="G83" s="1895">
        <v>102620400</v>
      </c>
    </row>
    <row r="84" spans="1:7" ht="15" x14ac:dyDescent="0.25">
      <c r="A84" s="10">
        <v>23</v>
      </c>
      <c r="B84" s="1831"/>
      <c r="D84" s="2" t="str">
        <f t="shared" si="0"/>
        <v>OK</v>
      </c>
      <c r="G84" s="1895">
        <v>102620600</v>
      </c>
    </row>
    <row r="85" spans="1:7" ht="15" x14ac:dyDescent="0.25">
      <c r="A85" s="10">
        <v>24</v>
      </c>
      <c r="B85" s="1831"/>
      <c r="D85" s="2" t="str">
        <f t="shared" si="0"/>
        <v>OK</v>
      </c>
      <c r="G85" s="1895">
        <v>102620800</v>
      </c>
    </row>
    <row r="86" spans="1:7" ht="15" x14ac:dyDescent="0.25">
      <c r="A86" s="12">
        <v>25</v>
      </c>
      <c r="B86" s="1831">
        <f>'Assets-Liab 5-6'!C31</f>
        <v>80</v>
      </c>
      <c r="D86" s="2" t="str">
        <f t="shared" si="0"/>
        <v>Error?</v>
      </c>
      <c r="G86" s="1895">
        <v>102630300</v>
      </c>
    </row>
    <row r="87" spans="1:7" ht="15" x14ac:dyDescent="0.25">
      <c r="A87" s="10">
        <v>26</v>
      </c>
      <c r="B87" s="1831"/>
      <c r="D87" s="2" t="str">
        <f t="shared" si="0"/>
        <v>OK</v>
      </c>
      <c r="G87" s="1895">
        <v>102630400</v>
      </c>
    </row>
    <row r="88" spans="1:7" ht="15" x14ac:dyDescent="0.25">
      <c r="A88" s="5">
        <v>27</v>
      </c>
      <c r="B88" s="1831">
        <f>'Assets-Liab 5-6'!C32</f>
        <v>0</v>
      </c>
      <c r="D88" s="2" t="str">
        <f t="shared" si="0"/>
        <v>Error?</v>
      </c>
      <c r="G88" s="1895">
        <v>102630600</v>
      </c>
    </row>
    <row r="89" spans="1:7" ht="15" x14ac:dyDescent="0.25">
      <c r="A89" s="10">
        <v>28</v>
      </c>
      <c r="B89" s="1831"/>
      <c r="D89" s="2" t="str">
        <f t="shared" si="0"/>
        <v>OK</v>
      </c>
      <c r="G89" s="1895">
        <v>102630800</v>
      </c>
    </row>
    <row r="90" spans="1:7" ht="15" x14ac:dyDescent="0.25">
      <c r="A90" s="10">
        <v>29</v>
      </c>
      <c r="B90" s="1831"/>
      <c r="D90" s="2" t="str">
        <f t="shared" si="0"/>
        <v>OK</v>
      </c>
      <c r="G90" s="1895">
        <v>102640300</v>
      </c>
    </row>
    <row r="91" spans="1:7" ht="15" x14ac:dyDescent="0.25">
      <c r="A91" s="5">
        <v>30</v>
      </c>
      <c r="B91" s="1831">
        <f>'Assets-Liab 5-6'!C34</f>
        <v>80</v>
      </c>
      <c r="C91" s="2" t="s">
        <v>569</v>
      </c>
      <c r="D91" s="2" t="str">
        <f t="shared" si="0"/>
        <v>Error?</v>
      </c>
      <c r="G91" s="1895">
        <v>102640400</v>
      </c>
    </row>
    <row r="92" spans="1:7" ht="15" x14ac:dyDescent="0.25">
      <c r="A92" s="5">
        <v>31</v>
      </c>
      <c r="B92" s="1831">
        <f>'Assets-Liab 5-6'!C39</f>
        <v>921791</v>
      </c>
      <c r="D92" s="2" t="str">
        <f t="shared" si="0"/>
        <v>Error?</v>
      </c>
      <c r="G92" s="1895">
        <v>102640600</v>
      </c>
    </row>
    <row r="93" spans="1:7" ht="15" x14ac:dyDescent="0.25">
      <c r="A93" s="5">
        <v>32</v>
      </c>
      <c r="B93" s="1831">
        <f>'Assets-Liab 5-6'!C41</f>
        <v>921871</v>
      </c>
      <c r="C93" s="2" t="s">
        <v>569</v>
      </c>
      <c r="D93" s="2" t="str">
        <f t="shared" si="0"/>
        <v>Error?</v>
      </c>
      <c r="G93" s="1895">
        <v>102640800</v>
      </c>
    </row>
    <row r="94" spans="1:7" ht="15" x14ac:dyDescent="0.25">
      <c r="A94" s="10">
        <v>33</v>
      </c>
      <c r="B94" s="1831"/>
      <c r="D94" s="2" t="str">
        <f t="shared" si="0"/>
        <v>OK</v>
      </c>
      <c r="G94" s="1895">
        <v>102660300</v>
      </c>
    </row>
    <row r="95" spans="1:7" ht="15" x14ac:dyDescent="0.25">
      <c r="A95" s="10">
        <v>34</v>
      </c>
      <c r="B95" s="1831"/>
      <c r="D95" s="2" t="str">
        <f t="shared" si="0"/>
        <v>OK</v>
      </c>
      <c r="G95" s="1895">
        <v>102660400</v>
      </c>
    </row>
    <row r="96" spans="1:7" ht="15" x14ac:dyDescent="0.25">
      <c r="A96" s="10">
        <v>35</v>
      </c>
      <c r="B96" s="1831"/>
      <c r="D96" s="2" t="str">
        <f t="shared" si="0"/>
        <v>OK</v>
      </c>
      <c r="G96" s="1895">
        <v>102660600</v>
      </c>
    </row>
    <row r="97" spans="1:7" ht="15" x14ac:dyDescent="0.25">
      <c r="A97" s="5">
        <v>36</v>
      </c>
      <c r="B97" s="1831">
        <f>'Assets-Liab 5-6'!D6</f>
        <v>0</v>
      </c>
      <c r="D97" s="2" t="str">
        <f t="shared" si="0"/>
        <v>Error?</v>
      </c>
      <c r="G97" s="1895">
        <v>102660800</v>
      </c>
    </row>
    <row r="98" spans="1:7" ht="15" x14ac:dyDescent="0.25">
      <c r="A98" s="10">
        <v>37</v>
      </c>
      <c r="B98" s="1831"/>
      <c r="D98" s="2" t="str">
        <f t="shared" si="0"/>
        <v>OK</v>
      </c>
      <c r="G98" s="1895">
        <v>102900300</v>
      </c>
    </row>
    <row r="99" spans="1:7" ht="15" x14ac:dyDescent="0.25">
      <c r="A99" s="10">
        <v>38</v>
      </c>
      <c r="B99" s="1831"/>
      <c r="D99" s="2" t="str">
        <f t="shared" si="0"/>
        <v>OK</v>
      </c>
      <c r="G99" s="1895">
        <v>102900400</v>
      </c>
    </row>
    <row r="100" spans="1:7" ht="15" x14ac:dyDescent="0.25">
      <c r="A100" s="10">
        <v>39</v>
      </c>
      <c r="B100" s="1831"/>
      <c r="D100" s="2" t="str">
        <f t="shared" si="0"/>
        <v>OK</v>
      </c>
      <c r="G100" s="1895">
        <v>102900600</v>
      </c>
    </row>
    <row r="101" spans="1:7" ht="15" x14ac:dyDescent="0.25">
      <c r="A101" s="10">
        <v>40</v>
      </c>
      <c r="B101" s="1831"/>
      <c r="D101" s="2" t="str">
        <f t="shared" si="0"/>
        <v>OK</v>
      </c>
      <c r="G101" s="1895">
        <v>102900800</v>
      </c>
    </row>
    <row r="102" spans="1:7" ht="15" x14ac:dyDescent="0.25">
      <c r="A102" s="10">
        <v>41</v>
      </c>
      <c r="B102" s="1831"/>
      <c r="D102" s="2" t="str">
        <f t="shared" si="0"/>
        <v>OK</v>
      </c>
      <c r="G102" s="1895">
        <v>202900300</v>
      </c>
    </row>
    <row r="103" spans="1:7" ht="15" x14ac:dyDescent="0.25">
      <c r="A103" s="10">
        <v>42</v>
      </c>
      <c r="B103" s="1831"/>
      <c r="D103" s="2" t="str">
        <f t="shared" si="0"/>
        <v>OK</v>
      </c>
      <c r="G103" s="1895">
        <v>202900400</v>
      </c>
    </row>
    <row r="104" spans="1:7" ht="15" x14ac:dyDescent="0.25">
      <c r="A104" s="5">
        <v>43</v>
      </c>
      <c r="B104" s="1831">
        <f>'Assets-Liab 5-6'!D10</f>
        <v>0</v>
      </c>
      <c r="D104" s="2" t="str">
        <f t="shared" si="0"/>
        <v>Error?</v>
      </c>
      <c r="G104" s="1895">
        <v>202900600</v>
      </c>
    </row>
    <row r="105" spans="1:7" ht="15" x14ac:dyDescent="0.25">
      <c r="A105" s="5">
        <v>44</v>
      </c>
      <c r="B105" s="1831">
        <f>'Assets-Liab 5-6'!D5</f>
        <v>0</v>
      </c>
      <c r="D105" s="2" t="str">
        <f t="shared" si="0"/>
        <v>Error?</v>
      </c>
      <c r="G105" s="1895">
        <v>202900800</v>
      </c>
    </row>
    <row r="106" spans="1:7" ht="15" x14ac:dyDescent="0.25">
      <c r="A106" s="10">
        <v>45</v>
      </c>
      <c r="B106" s="1831"/>
      <c r="D106" s="2" t="str">
        <f t="shared" si="0"/>
        <v>OK</v>
      </c>
      <c r="G106" s="1895">
        <v>402900300</v>
      </c>
    </row>
    <row r="107" spans="1:7" ht="15" x14ac:dyDescent="0.25">
      <c r="A107" s="10">
        <v>46</v>
      </c>
      <c r="B107" s="1831"/>
      <c r="D107" s="2" t="str">
        <f t="shared" si="0"/>
        <v>OK</v>
      </c>
      <c r="G107" s="1895">
        <v>402900400</v>
      </c>
    </row>
    <row r="108" spans="1:7" ht="15" x14ac:dyDescent="0.25">
      <c r="A108" s="5">
        <v>47</v>
      </c>
      <c r="B108" s="1831">
        <f>'Assets-Liab 5-6'!D12</f>
        <v>0</v>
      </c>
      <c r="D108" s="2" t="str">
        <f t="shared" si="0"/>
        <v>Error?</v>
      </c>
      <c r="G108" s="1895">
        <v>402900600</v>
      </c>
    </row>
    <row r="109" spans="1:7" ht="15" x14ac:dyDescent="0.25">
      <c r="A109" s="5">
        <v>48</v>
      </c>
      <c r="B109" s="1831">
        <f>'Assets-Liab 5-6'!D13</f>
        <v>115606</v>
      </c>
      <c r="C109" s="2" t="s">
        <v>569</v>
      </c>
      <c r="D109" s="2" t="str">
        <f t="shared" si="0"/>
        <v>Error?</v>
      </c>
      <c r="G109" s="1895">
        <v>402900800</v>
      </c>
    </row>
    <row r="110" spans="1:7" ht="15" x14ac:dyDescent="0.25">
      <c r="A110" s="10">
        <v>49</v>
      </c>
      <c r="B110" s="1831"/>
      <c r="D110" s="2" t="str">
        <f t="shared" si="0"/>
        <v>OK</v>
      </c>
      <c r="G110" s="1895">
        <v>602900300</v>
      </c>
    </row>
    <row r="111" spans="1:7" ht="15" x14ac:dyDescent="0.25">
      <c r="A111" s="10">
        <v>50</v>
      </c>
      <c r="B111" s="1831"/>
      <c r="D111" s="2" t="str">
        <f t="shared" si="0"/>
        <v>OK</v>
      </c>
      <c r="G111" s="1895">
        <v>602900400</v>
      </c>
    </row>
    <row r="112" spans="1:7" ht="15" x14ac:dyDescent="0.25">
      <c r="A112" s="10">
        <v>51</v>
      </c>
      <c r="B112" s="1831"/>
      <c r="D112" s="2" t="str">
        <f t="shared" si="0"/>
        <v>OK</v>
      </c>
      <c r="G112" s="1895">
        <v>602900600</v>
      </c>
    </row>
    <row r="113" spans="1:7" ht="15" x14ac:dyDescent="0.25">
      <c r="A113" s="10">
        <v>52</v>
      </c>
      <c r="B113" s="1831"/>
      <c r="D113" s="2" t="str">
        <f t="shared" si="0"/>
        <v>OK</v>
      </c>
      <c r="G113" s="1895">
        <v>602900800</v>
      </c>
    </row>
    <row r="114" spans="1:7" ht="15" x14ac:dyDescent="0.25">
      <c r="A114" s="10">
        <v>53</v>
      </c>
      <c r="B114" s="1831"/>
      <c r="D114" s="2" t="str">
        <f t="shared" si="0"/>
        <v>OK</v>
      </c>
      <c r="G114" s="1895">
        <v>902900300</v>
      </c>
    </row>
    <row r="115" spans="1:7" ht="15" x14ac:dyDescent="0.25">
      <c r="A115" s="10">
        <v>54</v>
      </c>
      <c r="B115" s="1831"/>
      <c r="D115" s="2" t="str">
        <f t="shared" si="0"/>
        <v>OK</v>
      </c>
      <c r="G115" s="1895">
        <v>902900400</v>
      </c>
    </row>
    <row r="116" spans="1:7" ht="15" x14ac:dyDescent="0.25">
      <c r="A116" s="10">
        <v>55</v>
      </c>
      <c r="B116" s="1831"/>
      <c r="D116" s="2" t="str">
        <f t="shared" si="0"/>
        <v>OK</v>
      </c>
      <c r="G116" s="1895">
        <v>902900600</v>
      </c>
    </row>
    <row r="117" spans="1:7" ht="15" x14ac:dyDescent="0.25">
      <c r="A117" s="5">
        <v>56</v>
      </c>
      <c r="B117" s="1831">
        <f>'Assets-Liab 5-6'!D31</f>
        <v>0</v>
      </c>
      <c r="D117" s="2" t="str">
        <f t="shared" si="0"/>
        <v>Error?</v>
      </c>
      <c r="G117" s="1895">
        <v>902900800</v>
      </c>
    </row>
    <row r="118" spans="1:7" ht="15" x14ac:dyDescent="0.25">
      <c r="A118" s="10">
        <v>57</v>
      </c>
      <c r="B118" s="1831"/>
      <c r="D118" s="2" t="str">
        <f t="shared" si="0"/>
        <v>OK</v>
      </c>
      <c r="G118" s="1895">
        <v>103000300</v>
      </c>
    </row>
    <row r="119" spans="1:7" ht="15" x14ac:dyDescent="0.25">
      <c r="A119" s="5">
        <v>58</v>
      </c>
      <c r="B119" s="1831">
        <f>'Assets-Liab 5-6'!D32</f>
        <v>0</v>
      </c>
      <c r="D119" s="2" t="str">
        <f t="shared" si="0"/>
        <v>Error?</v>
      </c>
      <c r="G119" s="1895">
        <v>103000400</v>
      </c>
    </row>
    <row r="120" spans="1:7" ht="15" x14ac:dyDescent="0.25">
      <c r="A120" s="10">
        <v>59</v>
      </c>
      <c r="B120" s="1831"/>
      <c r="D120" s="2" t="str">
        <f t="shared" si="0"/>
        <v>OK</v>
      </c>
      <c r="G120" s="1895">
        <v>103000600</v>
      </c>
    </row>
    <row r="121" spans="1:7" ht="15" x14ac:dyDescent="0.25">
      <c r="A121" s="10">
        <v>60</v>
      </c>
      <c r="B121" s="1831"/>
      <c r="D121" s="2" t="str">
        <f t="shared" si="0"/>
        <v>OK</v>
      </c>
      <c r="G121" s="1895">
        <v>103000800</v>
      </c>
    </row>
    <row r="122" spans="1:7" ht="15" x14ac:dyDescent="0.25">
      <c r="A122" s="5">
        <v>61</v>
      </c>
      <c r="B122" s="1831">
        <f>'Assets-Liab 5-6'!D34</f>
        <v>0</v>
      </c>
      <c r="C122" s="2" t="s">
        <v>569</v>
      </c>
      <c r="D122" s="2" t="str">
        <f t="shared" si="0"/>
        <v>Error?</v>
      </c>
      <c r="G122" s="1895">
        <v>203000300</v>
      </c>
    </row>
    <row r="123" spans="1:7" ht="15" x14ac:dyDescent="0.25">
      <c r="A123" s="5">
        <v>62</v>
      </c>
      <c r="B123" s="1831">
        <f>'Assets-Liab 5-6'!D39</f>
        <v>0</v>
      </c>
      <c r="D123" s="2" t="str">
        <f t="shared" si="0"/>
        <v>Error?</v>
      </c>
      <c r="G123" s="1895">
        <v>203000400</v>
      </c>
    </row>
    <row r="124" spans="1:7" ht="15" x14ac:dyDescent="0.25">
      <c r="A124" s="5">
        <v>63</v>
      </c>
      <c r="B124" s="1831">
        <f>'Assets-Liab 5-6'!D41</f>
        <v>115606</v>
      </c>
      <c r="C124" s="2" t="s">
        <v>569</v>
      </c>
      <c r="D124" s="2" t="str">
        <f t="shared" si="0"/>
        <v>Error?</v>
      </c>
      <c r="G124" s="1895">
        <v>203000600</v>
      </c>
    </row>
    <row r="125" spans="1:7" ht="15" x14ac:dyDescent="0.25">
      <c r="A125" s="10">
        <v>64</v>
      </c>
      <c r="B125" s="1831"/>
      <c r="D125" s="2" t="str">
        <f t="shared" si="0"/>
        <v>OK</v>
      </c>
      <c r="G125" s="1895">
        <v>203000800</v>
      </c>
    </row>
    <row r="126" spans="1:7" ht="15" x14ac:dyDescent="0.25">
      <c r="A126" s="5">
        <v>65</v>
      </c>
      <c r="B126" s="1831">
        <f>'Assets-Liab 5-6'!E6</f>
        <v>0</v>
      </c>
      <c r="D126" s="2" t="str">
        <f t="shared" si="0"/>
        <v>Error?</v>
      </c>
      <c r="G126" s="1895">
        <v>403000300</v>
      </c>
    </row>
    <row r="127" spans="1:7" ht="15" x14ac:dyDescent="0.25">
      <c r="A127" s="10">
        <v>66</v>
      </c>
      <c r="B127" s="1831"/>
      <c r="D127" s="2" t="str">
        <f t="shared" ref="D127:D190" si="1">IF(ISBLANK(B127),"OK",IF(A127-B127=0,"OK","Error?"))</f>
        <v>OK</v>
      </c>
      <c r="G127" s="1895">
        <v>403000400</v>
      </c>
    </row>
    <row r="128" spans="1:7" ht="15" x14ac:dyDescent="0.25">
      <c r="A128" s="10">
        <v>67</v>
      </c>
      <c r="B128" s="1831"/>
      <c r="D128" s="2" t="str">
        <f t="shared" si="1"/>
        <v>OK</v>
      </c>
      <c r="G128" s="1895">
        <v>403000600</v>
      </c>
    </row>
    <row r="129" spans="1:7" ht="15" x14ac:dyDescent="0.25">
      <c r="A129" s="5">
        <v>68</v>
      </c>
      <c r="B129" s="1831">
        <f>'Assets-Liab 5-6'!E5</f>
        <v>0</v>
      </c>
      <c r="D129" s="2" t="str">
        <f t="shared" si="1"/>
        <v>Error?</v>
      </c>
      <c r="G129" s="1895">
        <v>403000800</v>
      </c>
    </row>
    <row r="130" spans="1:7" x14ac:dyDescent="0.2">
      <c r="A130" s="5">
        <v>69</v>
      </c>
      <c r="B130" s="1831">
        <f>'Assets-Liab 5-6'!E12</f>
        <v>0</v>
      </c>
      <c r="D130" s="2" t="str">
        <f t="shared" si="1"/>
        <v>Error?</v>
      </c>
    </row>
    <row r="131" spans="1:7" x14ac:dyDescent="0.2">
      <c r="A131" s="5">
        <v>70</v>
      </c>
      <c r="B131" s="1831">
        <f>'Assets-Liab 5-6'!E13</f>
        <v>21194</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21194</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67019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67019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17497</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17497</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18848</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18848</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60500</v>
      </c>
      <c r="D273" s="2" t="str">
        <f t="shared" si="3"/>
        <v>Error?</v>
      </c>
    </row>
    <row r="274" spans="1:4" x14ac:dyDescent="0.2">
      <c r="A274" s="5">
        <v>213</v>
      </c>
      <c r="B274" s="1831">
        <f>'Assets-Liab 5-6'!M17</f>
        <v>1803426</v>
      </c>
      <c r="D274" s="2" t="str">
        <f t="shared" si="3"/>
        <v>Error?</v>
      </c>
    </row>
    <row r="275" spans="1:4" x14ac:dyDescent="0.2">
      <c r="A275" s="5">
        <v>214</v>
      </c>
      <c r="B275" s="1831">
        <f>'Assets-Liab 5-6'!M18</f>
        <v>477552</v>
      </c>
      <c r="D275" s="2" t="str">
        <f t="shared" si="3"/>
        <v>Error?</v>
      </c>
    </row>
    <row r="276" spans="1:4" x14ac:dyDescent="0.2">
      <c r="A276" s="5">
        <v>215</v>
      </c>
      <c r="B276" s="1831">
        <f>'Assets-Liab 5-6'!M19</f>
        <v>91357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2432835</v>
      </c>
      <c r="C279" s="2" t="s">
        <v>569</v>
      </c>
      <c r="D279" s="2" t="str">
        <f t="shared" si="3"/>
        <v>Error?</v>
      </c>
    </row>
    <row r="280" spans="1:4" x14ac:dyDescent="0.2">
      <c r="A280" s="5">
        <v>219</v>
      </c>
      <c r="B280" s="1831">
        <f>'Assets-Liab 5-6'!M40</f>
        <v>2432835</v>
      </c>
      <c r="D280" s="2" t="str">
        <f t="shared" si="3"/>
        <v>Error?</v>
      </c>
    </row>
    <row r="281" spans="1:4" x14ac:dyDescent="0.2">
      <c r="A281" s="5">
        <v>220</v>
      </c>
      <c r="B281" s="1831">
        <f>'Assets-Liab 5-6'!M41</f>
        <v>2432835</v>
      </c>
      <c r="C281" s="2" t="s">
        <v>569</v>
      </c>
      <c r="D281" s="2" t="str">
        <f t="shared" si="3"/>
        <v>Error?</v>
      </c>
    </row>
    <row r="282" spans="1:4" x14ac:dyDescent="0.2">
      <c r="A282" s="5">
        <v>221</v>
      </c>
      <c r="B282" s="1831">
        <f>'Assets-Liab 5-6'!N21</f>
        <v>21194</v>
      </c>
      <c r="D282" s="2" t="str">
        <f t="shared" si="3"/>
        <v>Error?</v>
      </c>
    </row>
    <row r="283" spans="1:4" x14ac:dyDescent="0.2">
      <c r="A283" s="5">
        <v>222</v>
      </c>
      <c r="B283" s="1831">
        <f>'Assets-Liab 5-6'!N22</f>
        <v>122706</v>
      </c>
      <c r="D283" s="2" t="str">
        <f t="shared" si="3"/>
        <v>Error?</v>
      </c>
    </row>
    <row r="284" spans="1:4" x14ac:dyDescent="0.2">
      <c r="A284" s="5">
        <v>223</v>
      </c>
      <c r="B284" s="1831">
        <f>'Assets-Liab 5-6'!N23</f>
        <v>143900</v>
      </c>
      <c r="C284" s="2" t="s">
        <v>569</v>
      </c>
      <c r="D284" s="2" t="str">
        <f t="shared" si="3"/>
        <v>Error?</v>
      </c>
    </row>
    <row r="285" spans="1:4" x14ac:dyDescent="0.2">
      <c r="A285" s="5">
        <v>224</v>
      </c>
      <c r="B285" s="1831">
        <f>'Assets-Liab 5-6'!N36</f>
        <v>143900</v>
      </c>
      <c r="D285" s="2" t="str">
        <f t="shared" si="3"/>
        <v>Error?</v>
      </c>
    </row>
    <row r="286" spans="1:4" x14ac:dyDescent="0.2">
      <c r="A286" s="10">
        <v>225</v>
      </c>
      <c r="B286" s="1831"/>
      <c r="D286" s="2" t="str">
        <f t="shared" si="3"/>
        <v>OK</v>
      </c>
    </row>
    <row r="287" spans="1:4" x14ac:dyDescent="0.2">
      <c r="A287" s="5">
        <v>226</v>
      </c>
      <c r="B287" s="1831">
        <f>'Assets-Liab 5-6'!N37</f>
        <v>143900</v>
      </c>
      <c r="C287" s="2" t="s">
        <v>569</v>
      </c>
      <c r="D287" s="2" t="str">
        <f t="shared" si="3"/>
        <v>Error?</v>
      </c>
    </row>
    <row r="288" spans="1:4" x14ac:dyDescent="0.2">
      <c r="A288" s="5">
        <v>227</v>
      </c>
      <c r="B288" s="1831">
        <f>'Assets-Liab 5-6'!N41</f>
        <v>143900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573786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20385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823500</v>
      </c>
      <c r="C720" s="2" t="s">
        <v>569</v>
      </c>
      <c r="D720" s="2" t="str">
        <f t="shared" si="10"/>
        <v>Error?</v>
      </c>
    </row>
    <row r="721" spans="1:4" x14ac:dyDescent="0.2">
      <c r="A721" s="5">
        <v>660</v>
      </c>
      <c r="B721" s="1831">
        <f>'Expenditures 15-22'!C36</f>
        <v>6491</v>
      </c>
      <c r="D721" s="2" t="str">
        <f t="shared" si="10"/>
        <v>Error?</v>
      </c>
    </row>
    <row r="722" spans="1:4" x14ac:dyDescent="0.2">
      <c r="A722" s="5">
        <v>661</v>
      </c>
      <c r="B722" s="1831">
        <f>'Expenditures 15-22'!C37</f>
        <v>30018</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36509</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14617</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14617</v>
      </c>
      <c r="C731" s="2" t="s">
        <v>569</v>
      </c>
      <c r="D731" s="2" t="str">
        <f t="shared" si="10"/>
        <v>Error?</v>
      </c>
    </row>
    <row r="732" spans="1:4" x14ac:dyDescent="0.2">
      <c r="A732" s="5">
        <v>671</v>
      </c>
      <c r="B732" s="1831">
        <f>'Expenditures 15-22'!C49</f>
        <v>650</v>
      </c>
      <c r="D732" s="2" t="str">
        <f t="shared" si="10"/>
        <v>Error?</v>
      </c>
    </row>
    <row r="733" spans="1:4" x14ac:dyDescent="0.2">
      <c r="A733" s="5">
        <v>672</v>
      </c>
      <c r="B733" s="1831">
        <f>'Expenditures 15-22'!C50</f>
        <v>124726</v>
      </c>
      <c r="D733" s="2" t="str">
        <f t="shared" si="10"/>
        <v>Error?</v>
      </c>
    </row>
    <row r="734" spans="1:4" x14ac:dyDescent="0.2">
      <c r="A734" s="5">
        <v>673</v>
      </c>
      <c r="B734" s="1831">
        <f>'Expenditures 15-22'!C53</f>
        <v>125376</v>
      </c>
      <c r="C734" s="2" t="s">
        <v>569</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43493</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42708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86201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262703</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1086203</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165805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1328</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237209</v>
      </c>
      <c r="C778" s="2" t="s">
        <v>569</v>
      </c>
      <c r="D778" s="2" t="str">
        <f t="shared" si="11"/>
        <v>Error?</v>
      </c>
    </row>
    <row r="779" spans="1:4" x14ac:dyDescent="0.2">
      <c r="A779" s="5">
        <v>718</v>
      </c>
      <c r="B779" s="1831">
        <f>'Expenditures 15-22'!D36</f>
        <v>556</v>
      </c>
      <c r="D779" s="2" t="str">
        <f t="shared" si="11"/>
        <v>Error?</v>
      </c>
    </row>
    <row r="780" spans="1:4" x14ac:dyDescent="0.2">
      <c r="A780" s="5">
        <v>719</v>
      </c>
      <c r="B780" s="1831">
        <f>'Expenditures 15-22'!D37</f>
        <v>9412</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9968</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4019</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4019</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23206</v>
      </c>
      <c r="D791" s="2" t="str">
        <f t="shared" si="11"/>
        <v>Error?</v>
      </c>
    </row>
    <row r="792" spans="1:4" x14ac:dyDescent="0.2">
      <c r="A792" s="5">
        <v>731</v>
      </c>
      <c r="B792" s="1831">
        <f>'Expenditures 15-22'!D53</f>
        <v>23206</v>
      </c>
      <c r="C792" s="2" t="s">
        <v>569</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4824</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7195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12019</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49212</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286421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6264</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4830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23248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98</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16635</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16733</v>
      </c>
      <c r="C843" s="2" t="s">
        <v>569</v>
      </c>
      <c r="D843" s="2" t="str">
        <f t="shared" si="12"/>
        <v>Error?</v>
      </c>
    </row>
    <row r="844" spans="1:4" x14ac:dyDescent="0.2">
      <c r="A844" s="5">
        <v>783</v>
      </c>
      <c r="B844" s="1831">
        <f>'Expenditures 15-22'!E44</f>
        <v>5113</v>
      </c>
      <c r="D844" s="2" t="str">
        <f t="shared" si="12"/>
        <v>Error?</v>
      </c>
    </row>
    <row r="845" spans="1:4" x14ac:dyDescent="0.2">
      <c r="A845" s="5">
        <v>784</v>
      </c>
      <c r="B845" s="1831">
        <f>'Expenditures 15-22'!E45</f>
        <v>9563</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14676</v>
      </c>
      <c r="C847" s="2" t="s">
        <v>569</v>
      </c>
      <c r="D847" s="2" t="str">
        <f t="shared" si="12"/>
        <v>Error?</v>
      </c>
    </row>
    <row r="848" spans="1:4" x14ac:dyDescent="0.2">
      <c r="A848" s="5">
        <v>787</v>
      </c>
      <c r="B848" s="1831">
        <f>'Expenditures 15-22'!E49</f>
        <v>18430</v>
      </c>
      <c r="D848" s="2" t="str">
        <f t="shared" si="12"/>
        <v>Error?</v>
      </c>
    </row>
    <row r="849" spans="1:4" x14ac:dyDescent="0.2">
      <c r="A849" s="5">
        <v>788</v>
      </c>
      <c r="B849" s="1831">
        <f>'Expenditures 15-22'!E50</f>
        <v>1513</v>
      </c>
      <c r="D849" s="2" t="str">
        <f t="shared" si="12"/>
        <v>Error?</v>
      </c>
    </row>
    <row r="850" spans="1:4" x14ac:dyDescent="0.2">
      <c r="A850" s="5">
        <v>789</v>
      </c>
      <c r="B850" s="1831">
        <f>'Expenditures 15-22'!E53</f>
        <v>19943</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7783</v>
      </c>
      <c r="D855" s="2" t="str">
        <f t="shared" si="12"/>
        <v>Error?</v>
      </c>
    </row>
    <row r="856" spans="1:4" x14ac:dyDescent="0.2">
      <c r="A856" s="5">
        <v>795</v>
      </c>
      <c r="B856" s="1831">
        <f>'Expenditures 15-22'!E61</f>
        <v>3017</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5750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16550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67902</v>
      </c>
      <c r="C871" s="2" t="s">
        <v>569</v>
      </c>
      <c r="D871" s="2" t="str">
        <f t="shared" si="12"/>
        <v>Error?</v>
      </c>
    </row>
    <row r="872" spans="1:4" x14ac:dyDescent="0.2">
      <c r="A872" s="5">
        <v>811</v>
      </c>
      <c r="B872" s="1831">
        <f>'Expenditures 15-22'!E75</f>
        <v>1407</v>
      </c>
      <c r="D872" s="2" t="str">
        <f t="shared" si="12"/>
        <v>Error?</v>
      </c>
    </row>
    <row r="873" spans="1:4" x14ac:dyDescent="0.2">
      <c r="A873" s="5">
        <v>812</v>
      </c>
      <c r="B873" s="1831">
        <f>'Expenditures 15-22'!E114</f>
        <v>117509</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11075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5639</v>
      </c>
      <c r="D892" s="2" t="str">
        <f t="shared" si="12"/>
        <v>Error?</v>
      </c>
    </row>
    <row r="893" spans="1:4" x14ac:dyDescent="0.2">
      <c r="A893" s="5">
        <v>832</v>
      </c>
      <c r="B893" s="1831">
        <f>'Expenditures 15-22'!F15</f>
        <v>215</v>
      </c>
      <c r="D893" s="2" t="str">
        <f t="shared" si="12"/>
        <v>Error?</v>
      </c>
    </row>
    <row r="894" spans="1:4" x14ac:dyDescent="0.2">
      <c r="A894" s="5">
        <v>833</v>
      </c>
      <c r="B894" s="1831">
        <f>'Expenditures 15-22'!F33</f>
        <v>31103</v>
      </c>
      <c r="C894" s="2" t="s">
        <v>569</v>
      </c>
      <c r="D894" s="2" t="str">
        <f t="shared" si="12"/>
        <v>Error?</v>
      </c>
    </row>
    <row r="895" spans="1:4" x14ac:dyDescent="0.2">
      <c r="A895" s="5">
        <v>834</v>
      </c>
      <c r="B895" s="1831">
        <f>'Expenditures 15-22'!F36</f>
        <v>16</v>
      </c>
      <c r="D895" s="2" t="str">
        <f t="shared" ref="D895:D958" si="13">IF(ISBLANK(B895),"OK",IF(A895-B895=0,"OK","Error?"))</f>
        <v>Error?</v>
      </c>
    </row>
    <row r="896" spans="1:4" x14ac:dyDescent="0.2">
      <c r="A896" s="5">
        <v>835</v>
      </c>
      <c r="B896" s="1831">
        <f>'Expenditures 15-22'!F37</f>
        <v>92</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348</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456</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2025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2025</v>
      </c>
      <c r="C905" s="2" t="s">
        <v>569</v>
      </c>
      <c r="D905" s="2" t="str">
        <f t="shared" si="13"/>
        <v>Error?</v>
      </c>
    </row>
    <row r="906" spans="1:4" x14ac:dyDescent="0.2">
      <c r="A906" s="5">
        <v>845</v>
      </c>
      <c r="B906" s="1831">
        <f>'Expenditures 15-22'!F49</f>
        <v>520</v>
      </c>
      <c r="D906" s="2" t="str">
        <f t="shared" si="13"/>
        <v>Error?</v>
      </c>
    </row>
    <row r="907" spans="1:4" x14ac:dyDescent="0.2">
      <c r="A907" s="5">
        <v>846</v>
      </c>
      <c r="B907" s="1831">
        <f>'Expenditures 15-22'!F50</f>
        <v>1983</v>
      </c>
      <c r="D907" s="2" t="str">
        <f t="shared" si="13"/>
        <v>Error?</v>
      </c>
    </row>
    <row r="908" spans="1:4" x14ac:dyDescent="0.2">
      <c r="A908" s="5">
        <v>847</v>
      </c>
      <c r="B908" s="1831">
        <f>'Expenditures 15-22'!F53</f>
        <v>2503</v>
      </c>
      <c r="C908" s="2" t="s">
        <v>569</v>
      </c>
      <c r="D908" s="2" t="str">
        <f t="shared" si="13"/>
        <v>Error?</v>
      </c>
    </row>
    <row r="909" spans="1:4" x14ac:dyDescent="0.2">
      <c r="A909" s="5">
        <v>848</v>
      </c>
      <c r="B909" s="1831">
        <f>'Expenditures 15-22'!F55</f>
        <v>386</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386</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221</v>
      </c>
      <c r="D913" s="2" t="str">
        <f t="shared" si="13"/>
        <v>Error?</v>
      </c>
    </row>
    <row r="914" spans="1:4" x14ac:dyDescent="0.2">
      <c r="A914" s="5">
        <v>853</v>
      </c>
      <c r="B914" s="1831">
        <f>'Expenditures 15-22'!F61</f>
        <v>57435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78992</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136648</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393</v>
      </c>
      <c r="D928" s="2" t="str">
        <f t="shared" si="13"/>
        <v>Error?</v>
      </c>
    </row>
    <row r="929" spans="1:4" x14ac:dyDescent="0.2">
      <c r="A929" s="5">
        <v>868</v>
      </c>
      <c r="B929" s="1831">
        <f>'Expenditures 15-22'!F74</f>
        <v>142411</v>
      </c>
      <c r="C929" s="2" t="s">
        <v>569</v>
      </c>
      <c r="D929" s="2" t="str">
        <f t="shared" si="13"/>
        <v>Error?</v>
      </c>
    </row>
    <row r="930" spans="1:4" x14ac:dyDescent="0.2">
      <c r="A930" s="5">
        <v>869</v>
      </c>
      <c r="B930" s="1831">
        <f>'Expenditures 15-22'!F75</f>
        <v>221</v>
      </c>
      <c r="D930" s="2" t="str">
        <f t="shared" si="13"/>
        <v>Error?</v>
      </c>
    </row>
    <row r="931" spans="1:4" x14ac:dyDescent="0.2">
      <c r="A931" s="5">
        <v>870</v>
      </c>
      <c r="B931" s="1831">
        <f>'Expenditures 15-22'!F114</f>
        <v>173735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1164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20536</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4241</v>
      </c>
      <c r="D965" s="2" t="str">
        <f t="shared" si="14"/>
        <v>Error?</v>
      </c>
    </row>
    <row r="966" spans="1:4" x14ac:dyDescent="0.2">
      <c r="A966" s="5">
        <v>905</v>
      </c>
      <c r="B966" s="1831">
        <f>'Expenditures 15-22'!G53</f>
        <v>4241</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700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3134</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3834</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8075</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28611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155</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155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1855</v>
      </c>
      <c r="D1022" s="2" t="str">
        <f t="shared" si="14"/>
        <v>Error?</v>
      </c>
    </row>
    <row r="1023" spans="1:4" x14ac:dyDescent="0.2">
      <c r="A1023" s="5">
        <v>962</v>
      </c>
      <c r="B1023" s="1831">
        <f>'Expenditures 15-22'!H50</f>
        <v>340</v>
      </c>
      <c r="D1023" s="2" t="str">
        <f t="shared" ref="D1023:D1086" si="15">IF(ISBLANK(B1023),"OK",IF(A1023-B1023=0,"OK","Error?"))</f>
        <v>Error?</v>
      </c>
    </row>
    <row r="1024" spans="1:4" x14ac:dyDescent="0.2">
      <c r="A1024" s="5">
        <v>963</v>
      </c>
      <c r="B1024" s="1831">
        <f>'Expenditures 15-22'!H53</f>
        <v>2195</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2195</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97156</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99506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1996</v>
      </c>
      <c r="E1056" s="4" t="s">
        <v>1995</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758249</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32182</v>
      </c>
      <c r="C1106" s="2" t="s">
        <v>569</v>
      </c>
      <c r="D1106" s="2" t="str">
        <f t="shared" si="16"/>
        <v>Error?</v>
      </c>
    </row>
    <row r="1107" spans="1:4" x14ac:dyDescent="0.2">
      <c r="A1107" s="5">
        <v>1046</v>
      </c>
      <c r="B1107" s="1831">
        <f>'Expenditures 15-22'!K15</f>
        <v>215</v>
      </c>
      <c r="C1107" s="2" t="s">
        <v>569</v>
      </c>
      <c r="D1107" s="2" t="str">
        <f t="shared" si="16"/>
        <v>Error?</v>
      </c>
    </row>
    <row r="1108" spans="1:4" x14ac:dyDescent="0.2">
      <c r="A1108" s="5">
        <v>1047</v>
      </c>
      <c r="B1108" s="1831">
        <f>'Expenditures 15-22'!K33</f>
        <v>1135751</v>
      </c>
      <c r="C1108" s="2" t="s">
        <v>569</v>
      </c>
      <c r="D1108" s="2" t="str">
        <f t="shared" si="16"/>
        <v>Error?</v>
      </c>
    </row>
    <row r="1109" spans="1:4" x14ac:dyDescent="0.2">
      <c r="A1109" s="5">
        <v>1048</v>
      </c>
      <c r="B1109" s="1831">
        <f>'Expenditures 15-22'!K36</f>
        <v>7063</v>
      </c>
      <c r="C1109" s="2" t="s">
        <v>569</v>
      </c>
      <c r="D1109" s="2" t="str">
        <f t="shared" si="16"/>
        <v>Error?</v>
      </c>
    </row>
    <row r="1110" spans="1:4" x14ac:dyDescent="0.2">
      <c r="A1110" s="5">
        <v>1049</v>
      </c>
      <c r="B1110" s="1831">
        <f>'Expenditures 15-22'!K37</f>
        <v>39620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16983</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63666</v>
      </c>
      <c r="C1115" s="2" t="s">
        <v>569</v>
      </c>
      <c r="D1115" s="2" t="str">
        <f t="shared" si="16"/>
        <v>Error?</v>
      </c>
    </row>
    <row r="1116" spans="1:4" x14ac:dyDescent="0.2">
      <c r="A1116" s="5">
        <v>1055</v>
      </c>
      <c r="B1116" s="1831">
        <f>'Expenditures 15-22'!K44</f>
        <v>5113</v>
      </c>
      <c r="C1116" s="2" t="s">
        <v>569</v>
      </c>
      <c r="D1116" s="2" t="str">
        <f t="shared" si="16"/>
        <v>Error?</v>
      </c>
    </row>
    <row r="1117" spans="1:4" x14ac:dyDescent="0.2">
      <c r="A1117" s="5">
        <v>1056</v>
      </c>
      <c r="B1117" s="1831">
        <f>'Expenditures 15-22'!K45</f>
        <v>30224</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35337</v>
      </c>
      <c r="C1119" s="2" t="s">
        <v>569</v>
      </c>
      <c r="D1119" s="2" t="str">
        <f t="shared" si="16"/>
        <v>Error?</v>
      </c>
    </row>
    <row r="1120" spans="1:4" x14ac:dyDescent="0.2">
      <c r="A1120" s="5">
        <v>1059</v>
      </c>
      <c r="B1120" s="1831">
        <f>'Expenditures 15-22'!K49</f>
        <v>21455</v>
      </c>
      <c r="C1120" s="2" t="s">
        <v>569</v>
      </c>
      <c r="D1120" s="2" t="str">
        <f t="shared" si="16"/>
        <v>Error?</v>
      </c>
    </row>
    <row r="1121" spans="1:4" x14ac:dyDescent="0.2">
      <c r="A1121" s="5">
        <v>1060</v>
      </c>
      <c r="B1121" s="1831">
        <f>'Expenditures 15-22'!K50</f>
        <v>156009</v>
      </c>
      <c r="C1121" s="2" t="s">
        <v>569</v>
      </c>
      <c r="D1121" s="2" t="str">
        <f t="shared" si="16"/>
        <v>Error?</v>
      </c>
    </row>
    <row r="1122" spans="1:4" x14ac:dyDescent="0.2">
      <c r="A1122" s="5">
        <v>1061</v>
      </c>
      <c r="B1122" s="1831">
        <f>'Expenditures 15-22'!K53</f>
        <v>177464</v>
      </c>
      <c r="C1122" s="2" t="s">
        <v>569</v>
      </c>
      <c r="D1122" s="2" t="str">
        <f t="shared" si="16"/>
        <v>Error?</v>
      </c>
    </row>
    <row r="1123" spans="1:4" x14ac:dyDescent="0.2">
      <c r="A1123" s="5">
        <v>1062</v>
      </c>
      <c r="B1123" s="1831">
        <f>'Expenditures 15-22'!K55</f>
        <v>386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386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57021</v>
      </c>
      <c r="C1127" s="2" t="s">
        <v>569</v>
      </c>
      <c r="D1127" s="2" t="str">
        <f t="shared" si="16"/>
        <v>Error?</v>
      </c>
    </row>
    <row r="1128" spans="1:4" x14ac:dyDescent="0.2">
      <c r="A1128" s="5">
        <v>1067</v>
      </c>
      <c r="B1128" s="1831">
        <f>'Expenditures 15-22'!K61</f>
        <v>60452</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137779</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255252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393</v>
      </c>
      <c r="C1142" s="2" t="s">
        <v>569</v>
      </c>
      <c r="D1142" s="2" t="str">
        <f t="shared" si="16"/>
        <v>Error?</v>
      </c>
    </row>
    <row r="1143" spans="1:4" x14ac:dyDescent="0.2">
      <c r="A1143" s="5">
        <v>1082</v>
      </c>
      <c r="B1143" s="1831">
        <f>'Expenditures 15-22'!K74</f>
        <v>532498</v>
      </c>
      <c r="C1143" s="2" t="s">
        <v>569</v>
      </c>
      <c r="D1143" s="2" t="str">
        <f t="shared" si="16"/>
        <v>Error?</v>
      </c>
    </row>
    <row r="1144" spans="1:4" x14ac:dyDescent="0.2">
      <c r="A1144" s="5">
        <v>1083</v>
      </c>
      <c r="B1144" s="1831">
        <f>'Expenditures 15-22'!K75</f>
        <v>1628</v>
      </c>
      <c r="C1144" s="2" t="s">
        <v>569</v>
      </c>
      <c r="D1144" s="2" t="str">
        <f t="shared" si="16"/>
        <v>Error?</v>
      </c>
    </row>
    <row r="1145" spans="1:4" x14ac:dyDescent="0.2">
      <c r="A1145" s="5">
        <v>1084</v>
      </c>
      <c r="B1145" s="1831">
        <f>'Expenditures 15-22'!K102</f>
        <v>122108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1791985</v>
      </c>
      <c r="C1152" s="2" t="s">
        <v>569</v>
      </c>
      <c r="D1152" s="2" t="str">
        <f t="shared" si="17"/>
        <v>Error?</v>
      </c>
    </row>
    <row r="1153" spans="1:4" x14ac:dyDescent="0.2">
      <c r="A1153" s="5">
        <v>1092</v>
      </c>
      <c r="B1153" s="1831">
        <f>'Expenditures 15-22'!K115</f>
        <v>220244</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30843</v>
      </c>
      <c r="D1221" s="2" t="str">
        <f t="shared" si="18"/>
        <v>Error?</v>
      </c>
    </row>
    <row r="1222" spans="1:4" x14ac:dyDescent="0.2">
      <c r="A1222" s="10">
        <v>1161</v>
      </c>
      <c r="B1222" s="1831"/>
      <c r="D1222" s="2" t="str">
        <f t="shared" si="18"/>
        <v>OK</v>
      </c>
    </row>
    <row r="1223" spans="1:4" x14ac:dyDescent="0.2">
      <c r="A1223" s="5">
        <v>1162</v>
      </c>
      <c r="B1223" s="1831">
        <f>'Expenditures 15-22'!C127</f>
        <v>30843</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30843</v>
      </c>
      <c r="C1225" s="2" t="s">
        <v>569</v>
      </c>
      <c r="D1225" s="2" t="str">
        <f t="shared" si="18"/>
        <v>Error?</v>
      </c>
    </row>
    <row r="1226" spans="1:4" x14ac:dyDescent="0.2">
      <c r="A1226" s="5">
        <v>1165</v>
      </c>
      <c r="B1226" s="1831">
        <f>'Expenditures 15-22'!C151</f>
        <v>30843</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3622</v>
      </c>
      <c r="D1229" s="2" t="str">
        <f t="shared" si="18"/>
        <v>Error?</v>
      </c>
    </row>
    <row r="1230" spans="1:4" x14ac:dyDescent="0.2">
      <c r="A1230" s="10">
        <v>1169</v>
      </c>
      <c r="B1230" s="1831"/>
      <c r="D1230" s="2" t="str">
        <f t="shared" si="18"/>
        <v>OK</v>
      </c>
    </row>
    <row r="1231" spans="1:4" x14ac:dyDescent="0.2">
      <c r="A1231" s="5">
        <v>1170</v>
      </c>
      <c r="B1231" s="1831">
        <f>'Expenditures 15-22'!D127</f>
        <v>3622</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3622</v>
      </c>
      <c r="C1233" s="2" t="s">
        <v>569</v>
      </c>
      <c r="D1233" s="2" t="str">
        <f t="shared" si="18"/>
        <v>Error?</v>
      </c>
    </row>
    <row r="1234" spans="1:4" x14ac:dyDescent="0.2">
      <c r="A1234" s="5">
        <v>1173</v>
      </c>
      <c r="B1234" s="1831">
        <f>'Expenditures 15-22'!D151</f>
        <v>3622</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27840</v>
      </c>
      <c r="D1237" s="2" t="str">
        <f t="shared" si="18"/>
        <v>Error?</v>
      </c>
    </row>
    <row r="1238" spans="1:4" x14ac:dyDescent="0.2">
      <c r="A1238" s="10">
        <v>1177</v>
      </c>
      <c r="B1238" s="1831"/>
      <c r="D1238" s="2" t="str">
        <f t="shared" si="18"/>
        <v>OK</v>
      </c>
    </row>
    <row r="1239" spans="1:4" x14ac:dyDescent="0.2">
      <c r="A1239" s="5">
        <v>1178</v>
      </c>
      <c r="B1239" s="1831">
        <f>'Expenditures 15-22'!E127</f>
        <v>27840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27840</v>
      </c>
      <c r="C1241" s="2" t="s">
        <v>569</v>
      </c>
      <c r="D1241" s="2" t="str">
        <f t="shared" si="18"/>
        <v>Error?</v>
      </c>
    </row>
    <row r="1242" spans="1:4" x14ac:dyDescent="0.2">
      <c r="A1242" s="5">
        <v>1181</v>
      </c>
      <c r="B1242" s="1831">
        <f>'Expenditures 15-22'!E151</f>
        <v>27840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15103</v>
      </c>
      <c r="D1245" s="2" t="str">
        <f t="shared" si="18"/>
        <v>Error?</v>
      </c>
    </row>
    <row r="1246" spans="1:4" x14ac:dyDescent="0.2">
      <c r="A1246" s="10">
        <v>1185</v>
      </c>
      <c r="B1246" s="1831"/>
      <c r="D1246" s="2" t="str">
        <f t="shared" si="18"/>
        <v>OK</v>
      </c>
    </row>
    <row r="1247" spans="1:4" x14ac:dyDescent="0.2">
      <c r="A1247" s="5">
        <v>1186</v>
      </c>
      <c r="B1247" s="1831">
        <f>'Expenditures 15-22'!F127</f>
        <v>15103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15103</v>
      </c>
      <c r="C1249" s="2" t="s">
        <v>569</v>
      </c>
      <c r="D1249" s="2" t="str">
        <f t="shared" si="18"/>
        <v>Error?</v>
      </c>
    </row>
    <row r="1250" spans="1:4" x14ac:dyDescent="0.2">
      <c r="A1250" s="5">
        <v>1189</v>
      </c>
      <c r="B1250" s="1831">
        <f>'Expenditures 15-22'!F151</f>
        <v>15103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664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664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664</v>
      </c>
      <c r="C1258" s="2" t="s">
        <v>569</v>
      </c>
      <c r="D1258" s="2" t="str">
        <f t="shared" si="18"/>
        <v>Error?</v>
      </c>
    </row>
    <row r="1259" spans="1:4" x14ac:dyDescent="0.2">
      <c r="A1259" s="5">
        <v>1198</v>
      </c>
      <c r="B1259" s="1831">
        <f>'Expenditures 15-22'!G151</f>
        <v>664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78072</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78072</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78072</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78072</v>
      </c>
      <c r="C1288" s="2" t="s">
        <v>569</v>
      </c>
      <c r="D1288" s="2" t="str">
        <f t="shared" si="19"/>
        <v>Error?</v>
      </c>
    </row>
    <row r="1289" spans="1:4" x14ac:dyDescent="0.2">
      <c r="A1289" s="5">
        <v>1228</v>
      </c>
      <c r="B1289" s="1831">
        <f>'Expenditures 15-22'!K152</f>
        <v>49808</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5585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140000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145585</v>
      </c>
      <c r="C1317" s="2" t="s">
        <v>569</v>
      </c>
      <c r="D1317" s="2" t="str">
        <f t="shared" si="19"/>
        <v>Error?</v>
      </c>
    </row>
    <row r="1318" spans="1:4" x14ac:dyDescent="0.2">
      <c r="A1318" s="5">
        <v>1257</v>
      </c>
      <c r="B1318" s="1831">
        <f>'Expenditures 15-22'!H174</f>
        <v>145585</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5585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140000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145585</v>
      </c>
      <c r="C1331" s="2" t="s">
        <v>569</v>
      </c>
      <c r="D1331" s="2" t="str">
        <f t="shared" si="19"/>
        <v>Error?</v>
      </c>
    </row>
    <row r="1332" spans="1:4" x14ac:dyDescent="0.2">
      <c r="A1332" s="5">
        <v>1271</v>
      </c>
      <c r="B1332" s="1831">
        <f>'Expenditures 15-22'!K174</f>
        <v>145585</v>
      </c>
      <c r="C1332" s="2" t="s">
        <v>569</v>
      </c>
      <c r="D1332" s="2" t="str">
        <f t="shared" si="19"/>
        <v>Error?</v>
      </c>
    </row>
    <row r="1333" spans="1:4" x14ac:dyDescent="0.2">
      <c r="A1333" s="5">
        <v>1272</v>
      </c>
      <c r="B1333" s="1831">
        <f>'Expenditures 15-22'!K175</f>
        <v>-91</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44994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44994</v>
      </c>
      <c r="C1339" s="2" t="s">
        <v>569</v>
      </c>
      <c r="D1339" s="2" t="str">
        <f t="shared" si="19"/>
        <v>Error?</v>
      </c>
    </row>
    <row r="1340" spans="1:4" x14ac:dyDescent="0.2">
      <c r="A1340" s="5">
        <v>1279</v>
      </c>
      <c r="B1340" s="1831">
        <f>'Expenditures 15-22'!C210</f>
        <v>44994</v>
      </c>
      <c r="C1340" s="2" t="s">
        <v>569</v>
      </c>
      <c r="D1340" s="2" t="str">
        <f t="shared" si="19"/>
        <v>Error?</v>
      </c>
    </row>
    <row r="1341" spans="1:4" x14ac:dyDescent="0.2">
      <c r="A1341" s="5">
        <v>1280</v>
      </c>
      <c r="B1341" s="1831">
        <f>'Expenditures 15-22'!D182</f>
        <v>2126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2126</v>
      </c>
      <c r="C1345" s="2" t="s">
        <v>569</v>
      </c>
      <c r="D1345" s="2" t="str">
        <f t="shared" si="20"/>
        <v>Error?</v>
      </c>
    </row>
    <row r="1346" spans="1:4" x14ac:dyDescent="0.2">
      <c r="A1346" s="5">
        <v>1285</v>
      </c>
      <c r="B1346" s="1831">
        <f>'Expenditures 15-22'!D210</f>
        <v>2126</v>
      </c>
      <c r="C1346" s="2" t="s">
        <v>569</v>
      </c>
      <c r="D1346" s="2" t="str">
        <f t="shared" si="20"/>
        <v>Error?</v>
      </c>
    </row>
    <row r="1347" spans="1:4" x14ac:dyDescent="0.2">
      <c r="A1347" s="5">
        <v>1286</v>
      </c>
      <c r="B1347" s="1831">
        <f>'Expenditures 15-22'!E182</f>
        <v>10413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10413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10413</v>
      </c>
      <c r="C1353" s="2" t="s">
        <v>569</v>
      </c>
      <c r="D1353" s="2" t="str">
        <f t="shared" si="20"/>
        <v>Error?</v>
      </c>
    </row>
    <row r="1354" spans="1:4" x14ac:dyDescent="0.2">
      <c r="A1354" s="5">
        <v>1293</v>
      </c>
      <c r="B1354" s="1831">
        <f>'Expenditures 15-22'!F182</f>
        <v>6002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6002</v>
      </c>
      <c r="C1358" s="2" t="s">
        <v>569</v>
      </c>
      <c r="D1358" s="2" t="str">
        <f t="shared" si="20"/>
        <v>Error?</v>
      </c>
    </row>
    <row r="1359" spans="1:4" x14ac:dyDescent="0.2">
      <c r="A1359" s="5">
        <v>1298</v>
      </c>
      <c r="B1359" s="1831">
        <f>'Expenditures 15-22'!F210</f>
        <v>6002</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63535</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63535</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63535</v>
      </c>
      <c r="C1388" s="2" t="s">
        <v>569</v>
      </c>
      <c r="D1388" s="2" t="str">
        <f t="shared" si="20"/>
        <v>Error?</v>
      </c>
    </row>
    <row r="1389" spans="1:4" x14ac:dyDescent="0.2">
      <c r="A1389" s="5">
        <v>1328</v>
      </c>
      <c r="B1389" s="1831">
        <f>'Expenditures 15-22'!K211</f>
        <v>38252</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2610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32421</v>
      </c>
      <c r="C1410" s="2" t="s">
        <v>569</v>
      </c>
      <c r="D1410" s="2" t="str">
        <f t="shared" si="21"/>
        <v>Error?</v>
      </c>
    </row>
    <row r="1411" spans="1:4" x14ac:dyDescent="0.2">
      <c r="A1411" s="5">
        <v>1350</v>
      </c>
      <c r="B1411" s="1831">
        <f>'Expenditures 15-22'!D232</f>
        <v>90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90</v>
      </c>
      <c r="C1417" s="2" t="s">
        <v>569</v>
      </c>
      <c r="D1417" s="2" t="str">
        <f t="shared" si="21"/>
        <v>Error?</v>
      </c>
    </row>
    <row r="1418" spans="1:4" x14ac:dyDescent="0.2">
      <c r="A1418" s="5">
        <v>1357</v>
      </c>
      <c r="B1418" s="1831">
        <f>'Expenditures 15-22'!D240</f>
        <v>435</v>
      </c>
      <c r="D1418" s="2" t="str">
        <f t="shared" si="21"/>
        <v>Error?</v>
      </c>
    </row>
    <row r="1419" spans="1:4" x14ac:dyDescent="0.2">
      <c r="A1419" s="5">
        <v>1358</v>
      </c>
      <c r="B1419" s="1831">
        <f>'Expenditures 15-22'!D241</f>
        <v>6119</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6554</v>
      </c>
      <c r="C1421" s="2" t="s">
        <v>569</v>
      </c>
      <c r="D1421" s="2" t="str">
        <f t="shared" si="21"/>
        <v>Error?</v>
      </c>
    </row>
    <row r="1422" spans="1:4" x14ac:dyDescent="0.2">
      <c r="A1422" s="5">
        <v>1361</v>
      </c>
      <c r="B1422" s="1831">
        <f>'Expenditures 15-22'!D245</f>
        <v>244</v>
      </c>
      <c r="D1422" s="2" t="str">
        <f t="shared" si="21"/>
        <v>Error?</v>
      </c>
    </row>
    <row r="1423" spans="1:4" x14ac:dyDescent="0.2">
      <c r="A1423" s="5">
        <v>1362</v>
      </c>
      <c r="B1423" s="1831">
        <f>'Expenditures 15-22'!D246</f>
        <v>10924</v>
      </c>
      <c r="D1423" s="2" t="str">
        <f t="shared" si="21"/>
        <v>Error?</v>
      </c>
    </row>
    <row r="1424" spans="1:4" x14ac:dyDescent="0.2">
      <c r="A1424" s="5">
        <v>1363</v>
      </c>
      <c r="B1424" s="1831">
        <f>'Expenditures 15-22'!D257</f>
        <v>49344</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16341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11516</v>
      </c>
      <c r="D1431" s="2" t="str">
        <f t="shared" si="21"/>
        <v>Error?</v>
      </c>
    </row>
    <row r="1432" spans="1:4" x14ac:dyDescent="0.2">
      <c r="A1432" s="5">
        <v>1371</v>
      </c>
      <c r="B1432" s="1831">
        <f>'Expenditures 15-22'!D267</f>
        <v>6561</v>
      </c>
      <c r="D1432" s="2" t="str">
        <f t="shared" si="21"/>
        <v>Error?</v>
      </c>
    </row>
    <row r="1433" spans="1:4" x14ac:dyDescent="0.2">
      <c r="A1433" s="5">
        <v>1372</v>
      </c>
      <c r="B1433" s="1831">
        <f>'Expenditures 15-22'!D268</f>
        <v>13973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48391</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104379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136800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2610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32421</v>
      </c>
      <c r="C1474" s="2" t="s">
        <v>569</v>
      </c>
      <c r="D1474" s="2" t="str">
        <f t="shared" si="22"/>
        <v>Error?</v>
      </c>
    </row>
    <row r="1475" spans="1:4" x14ac:dyDescent="0.2">
      <c r="A1475" s="5">
        <v>1414</v>
      </c>
      <c r="B1475" s="1831">
        <f>'Expenditures 15-22'!K232</f>
        <v>90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90</v>
      </c>
      <c r="C1481" s="2" t="s">
        <v>569</v>
      </c>
      <c r="D1481" s="2" t="str">
        <f t="shared" si="22"/>
        <v>Error?</v>
      </c>
    </row>
    <row r="1482" spans="1:4" x14ac:dyDescent="0.2">
      <c r="A1482" s="5">
        <v>1421</v>
      </c>
      <c r="B1482" s="1831">
        <f>'Expenditures 15-22'!K240</f>
        <v>435</v>
      </c>
      <c r="C1482" s="2" t="s">
        <v>569</v>
      </c>
      <c r="D1482" s="2" t="str">
        <f t="shared" si="22"/>
        <v>Error?</v>
      </c>
    </row>
    <row r="1483" spans="1:4" x14ac:dyDescent="0.2">
      <c r="A1483" s="5">
        <v>1422</v>
      </c>
      <c r="B1483" s="1831">
        <f>'Expenditures 15-22'!K241</f>
        <v>6119</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6554</v>
      </c>
      <c r="C1485" s="2" t="s">
        <v>569</v>
      </c>
      <c r="D1485" s="2" t="str">
        <f t="shared" si="22"/>
        <v>Error?</v>
      </c>
    </row>
    <row r="1486" spans="1:4" x14ac:dyDescent="0.2">
      <c r="A1486" s="5">
        <v>1425</v>
      </c>
      <c r="B1486" s="1831">
        <f>'Expenditures 15-22'!K245</f>
        <v>244</v>
      </c>
      <c r="C1486" s="2" t="s">
        <v>569</v>
      </c>
      <c r="D1486" s="2" t="str">
        <f t="shared" si="22"/>
        <v>Error?</v>
      </c>
    </row>
    <row r="1487" spans="1:4" x14ac:dyDescent="0.2">
      <c r="A1487" s="5">
        <v>1426</v>
      </c>
      <c r="B1487" s="1831">
        <f>'Expenditures 15-22'!K246</f>
        <v>10924</v>
      </c>
      <c r="C1487" s="2" t="s">
        <v>569</v>
      </c>
      <c r="D1487" s="2" t="str">
        <f t="shared" si="22"/>
        <v>Error?</v>
      </c>
    </row>
    <row r="1488" spans="1:4" x14ac:dyDescent="0.2">
      <c r="A1488" s="5">
        <v>1427</v>
      </c>
      <c r="B1488" s="1831">
        <f>'Expenditures 15-22'!K257</f>
        <v>49344</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16341</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11516</v>
      </c>
      <c r="C1495" s="2" t="s">
        <v>569</v>
      </c>
      <c r="D1495" s="2" t="str">
        <f t="shared" si="22"/>
        <v>Error?</v>
      </c>
    </row>
    <row r="1496" spans="1:4" x14ac:dyDescent="0.2">
      <c r="A1496" s="5">
        <v>1435</v>
      </c>
      <c r="B1496" s="1831">
        <f>'Expenditures 15-22'!K267</f>
        <v>6561</v>
      </c>
      <c r="C1496" s="2" t="s">
        <v>569</v>
      </c>
      <c r="D1496" s="2" t="str">
        <f t="shared" si="22"/>
        <v>Error?</v>
      </c>
    </row>
    <row r="1497" spans="1:4" x14ac:dyDescent="0.2">
      <c r="A1497" s="5">
        <v>1436</v>
      </c>
      <c r="B1497" s="1831">
        <f>'Expenditures 15-22'!K268</f>
        <v>13973</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48391</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104379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136800</v>
      </c>
      <c r="C1517" s="2" t="s">
        <v>569</v>
      </c>
      <c r="D1517" s="2" t="str">
        <f t="shared" si="22"/>
        <v>Error?</v>
      </c>
    </row>
    <row r="1518" spans="1:4" x14ac:dyDescent="0.2">
      <c r="A1518" s="5">
        <v>1457</v>
      </c>
      <c r="B1518" s="1831">
        <f>'Expenditures 15-22'!K296</f>
        <v>7984</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2275</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2275</v>
      </c>
      <c r="C1535" s="2" t="s">
        <v>569</v>
      </c>
      <c r="D1535" s="2" t="str">
        <f t="shared" ref="D1535:D1598" si="23">IF(ISBLANK(B1535),"OK",IF(A1535-B1535=0,"OK","Error?"))</f>
        <v>Error?</v>
      </c>
    </row>
    <row r="1536" spans="1:4" x14ac:dyDescent="0.2">
      <c r="A1536" s="5">
        <v>1475</v>
      </c>
      <c r="B1536" s="1831">
        <f>'Expenditures 15-22'!E312</f>
        <v>2275</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97179</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97179</v>
      </c>
      <c r="C1547" s="2" t="s">
        <v>569</v>
      </c>
      <c r="D1547" s="2" t="str">
        <f t="shared" si="23"/>
        <v>Error?</v>
      </c>
    </row>
    <row r="1548" spans="1:4" x14ac:dyDescent="0.2">
      <c r="A1548" s="5">
        <v>1487</v>
      </c>
      <c r="B1548" s="1831">
        <f>'Expenditures 15-22'!G312</f>
        <v>97179</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99454</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99454</v>
      </c>
      <c r="C1559" s="2" t="s">
        <v>569</v>
      </c>
      <c r="D1559" s="2" t="str">
        <f t="shared" si="23"/>
        <v>Error?</v>
      </c>
    </row>
    <row r="1560" spans="1:4" x14ac:dyDescent="0.2">
      <c r="A1560" s="5">
        <v>1499</v>
      </c>
      <c r="B1560" s="1831">
        <f>'Expenditures 15-22'!K312</f>
        <v>99454</v>
      </c>
      <c r="C1560" s="2" t="s">
        <v>569</v>
      </c>
      <c r="D1560" s="2" t="str">
        <f t="shared" si="23"/>
        <v>Error?</v>
      </c>
    </row>
    <row r="1561" spans="1:4" x14ac:dyDescent="0.2">
      <c r="A1561" s="5">
        <v>1500</v>
      </c>
      <c r="B1561" s="1831">
        <f>'Expenditures 15-22'!K313</f>
        <v>48449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646547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921791</v>
      </c>
      <c r="C1630" s="2" t="s">
        <v>569</v>
      </c>
      <c r="D1630" s="2" t="str">
        <f t="shared" si="24"/>
        <v>Error?</v>
      </c>
    </row>
    <row r="1631" spans="1:4" x14ac:dyDescent="0.2">
      <c r="A1631" s="5">
        <v>1570</v>
      </c>
      <c r="B1631" s="1831">
        <f>'Acct Summary 7-8'!D79</f>
        <v>65798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115606</v>
      </c>
      <c r="C1644" s="2" t="s">
        <v>569</v>
      </c>
      <c r="D1644" s="2" t="str">
        <f t="shared" si="24"/>
        <v>Error?</v>
      </c>
    </row>
    <row r="1645" spans="1:4" x14ac:dyDescent="0.2">
      <c r="A1645" s="5">
        <v>1584</v>
      </c>
      <c r="B1645" s="1831">
        <f>'Acct Summary 7-8'!E79</f>
        <v>21285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21194</v>
      </c>
      <c r="C1658" s="2" t="s">
        <v>569</v>
      </c>
      <c r="D1658" s="2" t="str">
        <f t="shared" si="24"/>
        <v>Error?</v>
      </c>
    </row>
    <row r="1659" spans="1:4" x14ac:dyDescent="0.2">
      <c r="A1659" s="5">
        <v>1598</v>
      </c>
      <c r="B1659" s="1831">
        <f>'Acct Summary 7-8'!F79</f>
        <v>28767</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67019</v>
      </c>
      <c r="C1672" s="2" t="s">
        <v>569</v>
      </c>
      <c r="D1672" s="2" t="str">
        <f t="shared" si="25"/>
        <v>Error?</v>
      </c>
    </row>
    <row r="1673" spans="1:4" x14ac:dyDescent="0.2">
      <c r="A1673" s="5">
        <v>1612</v>
      </c>
      <c r="B1673" s="1831">
        <f>'Acct Summary 7-8'!G79</f>
        <v>9513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17497</v>
      </c>
      <c r="C1686" s="2" t="s">
        <v>569</v>
      </c>
      <c r="D1686" s="2" t="str">
        <f t="shared" si="25"/>
        <v>Error?</v>
      </c>
    </row>
    <row r="1687" spans="1:4" x14ac:dyDescent="0.2">
      <c r="A1687" s="5">
        <v>1626</v>
      </c>
      <c r="B1687" s="1831">
        <f>'Acct Summary 7-8'!H79</f>
        <v>-29601</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18848</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383191</v>
      </c>
      <c r="C1744" s="2" t="s">
        <v>569</v>
      </c>
      <c r="D1744" s="2" t="str">
        <f t="shared" si="26"/>
        <v>Error?</v>
      </c>
    </row>
    <row r="1745" spans="1:5" x14ac:dyDescent="0.2">
      <c r="A1745" s="5">
        <v>1684</v>
      </c>
      <c r="B1745" s="1831">
        <f>'Tax Sched 23'!B5</f>
        <v>77200</v>
      </c>
      <c r="C1745" s="2" t="s">
        <v>569</v>
      </c>
      <c r="D1745" s="2" t="str">
        <f t="shared" si="26"/>
        <v>Error?</v>
      </c>
    </row>
    <row r="1746" spans="1:5" x14ac:dyDescent="0.2">
      <c r="A1746" s="5">
        <v>1685</v>
      </c>
      <c r="B1746" s="1831">
        <f>'Tax Sched 23'!B6</f>
        <v>144923</v>
      </c>
      <c r="C1746" s="2" t="s">
        <v>569</v>
      </c>
      <c r="D1746" s="2" t="str">
        <f t="shared" si="26"/>
        <v>Error?</v>
      </c>
    </row>
    <row r="1747" spans="1:5" x14ac:dyDescent="0.2">
      <c r="A1747" s="5">
        <v>1686</v>
      </c>
      <c r="B1747" s="1831">
        <f>'Tax Sched 23'!B7</f>
        <v>23375</v>
      </c>
      <c r="C1747" s="2" t="s">
        <v>569</v>
      </c>
      <c r="D1747" s="2" t="str">
        <f t="shared" si="26"/>
        <v>Error?</v>
      </c>
    </row>
    <row r="1748" spans="1:5" x14ac:dyDescent="0.2">
      <c r="A1748" s="5">
        <v>1687</v>
      </c>
      <c r="B1748" s="1831">
        <f>'Tax Sched 23'!B8</f>
        <v>74440</v>
      </c>
      <c r="C1748" s="2" t="s">
        <v>569</v>
      </c>
      <c r="D1748" s="2" t="str">
        <f t="shared" si="26"/>
        <v>Error?</v>
      </c>
    </row>
    <row r="1749" spans="1:5" x14ac:dyDescent="0.2">
      <c r="A1749" s="5">
        <v>1688</v>
      </c>
      <c r="B1749" s="1831">
        <f>'Tax Sched 23'!B10</f>
        <v>8463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194778</v>
      </c>
      <c r="C1752" s="2" t="s">
        <v>569</v>
      </c>
      <c r="D1752" s="2" t="str">
        <f t="shared" si="26"/>
        <v>Error?</v>
      </c>
    </row>
    <row r="1753" spans="1:5" x14ac:dyDescent="0.2">
      <c r="A1753" s="5">
        <v>1692</v>
      </c>
      <c r="B1753" s="1831">
        <f>'Tax Sched 23'!B12</f>
        <v>10778</v>
      </c>
      <c r="C1753" s="2" t="s">
        <v>569</v>
      </c>
      <c r="D1753" s="2" t="str">
        <f t="shared" si="26"/>
        <v>Error?</v>
      </c>
    </row>
    <row r="1754" spans="1:5" x14ac:dyDescent="0.2">
      <c r="A1754" s="5">
        <v>1693</v>
      </c>
      <c r="B1754" s="1831">
        <f>'Tax Sched 23'!B14</f>
        <v>3933</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958158</v>
      </c>
      <c r="C1759" s="2" t="s">
        <v>569</v>
      </c>
      <c r="D1759" s="2" t="str">
        <f t="shared" si="26"/>
        <v>Error?</v>
      </c>
    </row>
    <row r="1760" spans="1:5" x14ac:dyDescent="0.2">
      <c r="A1760" s="5">
        <v>1699</v>
      </c>
      <c r="B1760" s="1831">
        <f>'Tax Sched 23'!D4</f>
        <v>383191</v>
      </c>
      <c r="C1760" s="2" t="s">
        <v>569</v>
      </c>
      <c r="D1760" s="2" t="str">
        <f t="shared" si="26"/>
        <v>Error?</v>
      </c>
    </row>
    <row r="1761" spans="1:7" x14ac:dyDescent="0.2">
      <c r="A1761" s="5">
        <v>1700</v>
      </c>
      <c r="B1761" s="1831">
        <f>'Tax Sched 23'!D5</f>
        <v>77200</v>
      </c>
      <c r="C1761" s="2" t="s">
        <v>569</v>
      </c>
      <c r="D1761" s="2" t="str">
        <f t="shared" si="26"/>
        <v>Error?</v>
      </c>
    </row>
    <row r="1762" spans="1:7" s="8" customFormat="1" x14ac:dyDescent="0.2">
      <c r="A1762" s="5">
        <v>1701</v>
      </c>
      <c r="B1762" s="1831">
        <f>'Tax Sched 23'!D6</f>
        <v>144923</v>
      </c>
      <c r="C1762" s="2" t="s">
        <v>569</v>
      </c>
      <c r="D1762" s="2" t="str">
        <f t="shared" si="26"/>
        <v>Error?</v>
      </c>
      <c r="E1762" s="9"/>
      <c r="G1762"/>
    </row>
    <row r="1763" spans="1:7" x14ac:dyDescent="0.2">
      <c r="A1763" s="5">
        <v>1702</v>
      </c>
      <c r="B1763" s="1831">
        <f>'Tax Sched 23'!D7</f>
        <v>23375</v>
      </c>
      <c r="C1763" s="2" t="s">
        <v>569</v>
      </c>
      <c r="D1763" s="2" t="str">
        <f t="shared" si="26"/>
        <v>Error?</v>
      </c>
    </row>
    <row r="1764" spans="1:7" x14ac:dyDescent="0.2">
      <c r="A1764" s="5">
        <v>1703</v>
      </c>
      <c r="B1764" s="1831">
        <f>'Tax Sched 23'!D8</f>
        <v>74440</v>
      </c>
      <c r="C1764" s="2" t="s">
        <v>569</v>
      </c>
      <c r="D1764" s="2" t="str">
        <f t="shared" si="26"/>
        <v>Error?</v>
      </c>
    </row>
    <row r="1765" spans="1:7" x14ac:dyDescent="0.2">
      <c r="A1765" s="5">
        <v>1704</v>
      </c>
      <c r="B1765" s="1831">
        <f>'Tax Sched 23'!D10</f>
        <v>8463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194778</v>
      </c>
      <c r="C1768" s="2" t="s">
        <v>569</v>
      </c>
      <c r="D1768" s="2" t="str">
        <f t="shared" si="26"/>
        <v>Error?</v>
      </c>
    </row>
    <row r="1769" spans="1:7" x14ac:dyDescent="0.2">
      <c r="A1769" s="5">
        <v>1708</v>
      </c>
      <c r="B1769" s="1831">
        <f>'Tax Sched 23'!D12</f>
        <v>10778</v>
      </c>
      <c r="C1769" s="2" t="s">
        <v>569</v>
      </c>
      <c r="D1769" s="2" t="str">
        <f t="shared" si="26"/>
        <v>Error?</v>
      </c>
    </row>
    <row r="1770" spans="1:7" x14ac:dyDescent="0.2">
      <c r="A1770" s="5">
        <v>1709</v>
      </c>
      <c r="B1770" s="1831">
        <f>'Tax Sched 23'!D14</f>
        <v>3933</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958158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383839</v>
      </c>
      <c r="C1792" s="2" t="s">
        <v>569</v>
      </c>
      <c r="D1792" s="2" t="str">
        <f t="shared" si="27"/>
        <v>Error?</v>
      </c>
    </row>
    <row r="1793" spans="1:4" x14ac:dyDescent="0.2">
      <c r="A1793" s="5">
        <v>1732</v>
      </c>
      <c r="B1793" s="1831">
        <f>'Tax Sched 23'!F5</f>
        <v>77335</v>
      </c>
      <c r="C1793" s="2" t="s">
        <v>569</v>
      </c>
      <c r="D1793" s="2" t="str">
        <f t="shared" si="27"/>
        <v>Error?</v>
      </c>
    </row>
    <row r="1794" spans="1:4" x14ac:dyDescent="0.2">
      <c r="A1794" s="5">
        <v>1733</v>
      </c>
      <c r="B1794" s="1831">
        <f>'Tax Sched 23'!F6</f>
        <v>145987</v>
      </c>
      <c r="C1794" s="2" t="s">
        <v>569</v>
      </c>
      <c r="D1794" s="2" t="str">
        <f t="shared" si="27"/>
        <v>Error?</v>
      </c>
    </row>
    <row r="1795" spans="1:4" x14ac:dyDescent="0.2">
      <c r="A1795" s="5">
        <v>1734</v>
      </c>
      <c r="B1795" s="1831">
        <f>'Tax Sched 23'!F7</f>
        <v>28739</v>
      </c>
      <c r="C1795" s="2" t="s">
        <v>569</v>
      </c>
      <c r="D1795" s="2" t="str">
        <f t="shared" si="27"/>
        <v>Error?</v>
      </c>
    </row>
    <row r="1796" spans="1:4" x14ac:dyDescent="0.2">
      <c r="A1796" s="5">
        <v>1735</v>
      </c>
      <c r="B1796" s="1831">
        <f>'Tax Sched 23'!F8</f>
        <v>92539</v>
      </c>
      <c r="C1796" s="2" t="s">
        <v>569</v>
      </c>
      <c r="D1796" s="2" t="str">
        <f t="shared" si="27"/>
        <v>Error?</v>
      </c>
    </row>
    <row r="1797" spans="1:4" x14ac:dyDescent="0.2">
      <c r="A1797" s="5">
        <v>1736</v>
      </c>
      <c r="B1797" s="1831">
        <f>'Tax Sched 23'!F10</f>
        <v>8479</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195115</v>
      </c>
      <c r="C1800" s="2" t="s">
        <v>569</v>
      </c>
      <c r="D1800" s="2" t="str">
        <f t="shared" si="27"/>
        <v>Error?</v>
      </c>
    </row>
    <row r="1801" spans="1:4" x14ac:dyDescent="0.2">
      <c r="A1801" s="5">
        <v>1740</v>
      </c>
      <c r="B1801" s="1831">
        <f>'Tax Sched 23'!F12</f>
        <v>10798</v>
      </c>
      <c r="C1801" s="2" t="s">
        <v>569</v>
      </c>
      <c r="D1801" s="2" t="str">
        <f t="shared" si="27"/>
        <v>Error?</v>
      </c>
    </row>
    <row r="1802" spans="1:4" x14ac:dyDescent="0.2">
      <c r="A1802" s="5">
        <v>1741</v>
      </c>
      <c r="B1802" s="1831">
        <f>'Tax Sched 23'!F14</f>
        <v>3941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983918</v>
      </c>
      <c r="C1807" s="2" t="s">
        <v>569</v>
      </c>
      <c r="D1807" s="2" t="str">
        <f t="shared" si="27"/>
        <v>Error?</v>
      </c>
    </row>
    <row r="1808" spans="1:4" x14ac:dyDescent="0.2">
      <c r="A1808" s="5">
        <v>1747</v>
      </c>
      <c r="B1808" s="1831">
        <f>'Tax Sched 23'!E4</f>
        <v>383839</v>
      </c>
      <c r="D1808" s="2" t="str">
        <f t="shared" si="27"/>
        <v>Error?</v>
      </c>
    </row>
    <row r="1809" spans="1:4" x14ac:dyDescent="0.2">
      <c r="A1809" s="5">
        <v>1748</v>
      </c>
      <c r="B1809" s="1831">
        <f>'Tax Sched 23'!E5</f>
        <v>77335</v>
      </c>
      <c r="D1809" s="2" t="str">
        <f t="shared" si="27"/>
        <v>Error?</v>
      </c>
    </row>
    <row r="1810" spans="1:4" x14ac:dyDescent="0.2">
      <c r="A1810" s="5">
        <v>1749</v>
      </c>
      <c r="B1810" s="1831">
        <f>'Tax Sched 23'!E6</f>
        <v>145987</v>
      </c>
      <c r="D1810" s="2" t="str">
        <f t="shared" si="27"/>
        <v>Error?</v>
      </c>
    </row>
    <row r="1811" spans="1:4" x14ac:dyDescent="0.2">
      <c r="A1811" s="5">
        <v>1750</v>
      </c>
      <c r="B1811" s="1831">
        <f>'Tax Sched 23'!E7</f>
        <v>28739</v>
      </c>
      <c r="D1811" s="2" t="str">
        <f t="shared" si="27"/>
        <v>Error?</v>
      </c>
    </row>
    <row r="1812" spans="1:4" x14ac:dyDescent="0.2">
      <c r="A1812" s="5">
        <v>1751</v>
      </c>
      <c r="B1812" s="1831">
        <f>'Tax Sched 23'!E8</f>
        <v>92539</v>
      </c>
      <c r="D1812" s="2" t="str">
        <f t="shared" si="27"/>
        <v>Error?</v>
      </c>
    </row>
    <row r="1813" spans="1:4" x14ac:dyDescent="0.2">
      <c r="A1813" s="5">
        <v>1752</v>
      </c>
      <c r="B1813" s="1831">
        <f>'Tax Sched 23'!E10</f>
        <v>8479</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195115</v>
      </c>
      <c r="D1816" s="2" t="str">
        <f t="shared" si="27"/>
        <v>Error?</v>
      </c>
    </row>
    <row r="1817" spans="1:4" x14ac:dyDescent="0.2">
      <c r="A1817" s="5">
        <v>1756</v>
      </c>
      <c r="B1817" s="1831">
        <f>'Tax Sched 23'!E12</f>
        <v>10798</v>
      </c>
      <c r="D1817" s="2" t="str">
        <f t="shared" si="27"/>
        <v>Error?</v>
      </c>
    </row>
    <row r="1818" spans="1:4" x14ac:dyDescent="0.2">
      <c r="A1818" s="5">
        <v>1757</v>
      </c>
      <c r="B1818" s="1831">
        <f>'Tax Sched 23'!E14</f>
        <v>3941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983918</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283900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3933</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3933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3933</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60500</v>
      </c>
      <c r="D2008" s="2" t="str">
        <f t="shared" si="30"/>
        <v>Error?</v>
      </c>
    </row>
    <row r="2009" spans="1:4" x14ac:dyDescent="0.2">
      <c r="A2009" s="5">
        <v>1948</v>
      </c>
      <c r="B2009" s="1831">
        <f>'Cap Outlay Deprec 26'!C8</f>
        <v>4020750</v>
      </c>
      <c r="D2009" s="2" t="str">
        <f t="shared" si="30"/>
        <v>Error?</v>
      </c>
    </row>
    <row r="2010" spans="1:4" x14ac:dyDescent="0.2">
      <c r="A2010" s="5">
        <v>1949</v>
      </c>
      <c r="B2010" s="1831">
        <f>'Cap Outlay Deprec 26'!C10</f>
        <v>698235</v>
      </c>
      <c r="D2010" s="2" t="str">
        <f t="shared" si="30"/>
        <v>Error?</v>
      </c>
    </row>
    <row r="2011" spans="1:4" x14ac:dyDescent="0.2">
      <c r="A2011" s="5">
        <v>1950</v>
      </c>
      <c r="B2011" s="1831">
        <f>'Cap Outlay Deprec 26'!C12</f>
        <v>265200</v>
      </c>
      <c r="D2011" s="2" t="str">
        <f t="shared" si="30"/>
        <v>Error?</v>
      </c>
    </row>
    <row r="2012" spans="1:4" x14ac:dyDescent="0.2">
      <c r="A2012" s="5">
        <v>1951</v>
      </c>
      <c r="B2012" s="1831">
        <f>'Cap Outlay Deprec 26'!C13</f>
        <v>267583</v>
      </c>
      <c r="D2012" s="2" t="str">
        <f t="shared" si="30"/>
        <v>Error?</v>
      </c>
    </row>
    <row r="2013" spans="1:4" x14ac:dyDescent="0.2">
      <c r="A2013" s="5">
        <v>1952</v>
      </c>
      <c r="B2013" s="1831">
        <f>'Cap Outlay Deprec 26'!C16</f>
        <v>5312268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97179</v>
      </c>
      <c r="D2016" s="2" t="str">
        <f t="shared" si="30"/>
        <v>Error?</v>
      </c>
    </row>
    <row r="2017" spans="1:4" x14ac:dyDescent="0.2">
      <c r="A2017" s="5">
        <v>1956</v>
      </c>
      <c r="B2017" s="1831">
        <f>'Cap Outlay Deprec 26'!D12</f>
        <v>51057</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148236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60500</v>
      </c>
      <c r="C2026" s="2" t="s">
        <v>569</v>
      </c>
      <c r="D2026" s="2" t="str">
        <f t="shared" si="30"/>
        <v>Error?</v>
      </c>
    </row>
    <row r="2027" spans="1:4" x14ac:dyDescent="0.2">
      <c r="A2027" s="5">
        <v>1966</v>
      </c>
      <c r="B2027" s="1831">
        <f>'Cap Outlay Deprec 26'!F8</f>
        <v>4020750</v>
      </c>
      <c r="C2027" s="2" t="s">
        <v>569</v>
      </c>
      <c r="D2027" s="2" t="str">
        <f t="shared" si="30"/>
        <v>Error?</v>
      </c>
    </row>
    <row r="2028" spans="1:4" x14ac:dyDescent="0.2">
      <c r="A2028" s="5">
        <v>1967</v>
      </c>
      <c r="B2028" s="1831">
        <f>'Cap Outlay Deprec 26'!F10</f>
        <v>795414</v>
      </c>
      <c r="C2028" s="2" t="s">
        <v>569</v>
      </c>
      <c r="D2028" s="2" t="str">
        <f t="shared" si="30"/>
        <v>Error?</v>
      </c>
    </row>
    <row r="2029" spans="1:4" x14ac:dyDescent="0.2">
      <c r="A2029" s="5">
        <v>1968</v>
      </c>
      <c r="B2029" s="1831">
        <f>'Cap Outlay Deprec 26'!F12</f>
        <v>316257</v>
      </c>
      <c r="C2029" s="2" t="s">
        <v>569</v>
      </c>
      <c r="D2029" s="2" t="str">
        <f t="shared" si="30"/>
        <v>Error?</v>
      </c>
    </row>
    <row r="2030" spans="1:4" x14ac:dyDescent="0.2">
      <c r="A2030" s="5">
        <v>1969</v>
      </c>
      <c r="B2030" s="1831">
        <f>'Cap Outlay Deprec 26'!F13</f>
        <v>267583</v>
      </c>
      <c r="C2030" s="2" t="s">
        <v>569</v>
      </c>
      <c r="D2030" s="2" t="str">
        <f t="shared" si="30"/>
        <v>Error?</v>
      </c>
    </row>
    <row r="2031" spans="1:4" x14ac:dyDescent="0.2">
      <c r="A2031" s="5">
        <v>1970</v>
      </c>
      <c r="B2031" s="1831">
        <f>'Cap Outlay Deprec 26'!F16</f>
        <v>5460504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2136909</v>
      </c>
      <c r="D2033" s="2" t="str">
        <f t="shared" si="30"/>
        <v>Error?</v>
      </c>
    </row>
    <row r="2034" spans="1:4" x14ac:dyDescent="0.2">
      <c r="A2034" s="5">
        <v>1973</v>
      </c>
      <c r="B2034" s="1831">
        <f>'Cap Outlay Deprec 26'!H10</f>
        <v>286136</v>
      </c>
      <c r="D2034" s="2" t="str">
        <f t="shared" si="30"/>
        <v>Error?</v>
      </c>
    </row>
    <row r="2035" spans="1:4" x14ac:dyDescent="0.2">
      <c r="A2035" s="5">
        <v>1974</v>
      </c>
      <c r="B2035" s="1831">
        <f>'Cap Outlay Deprec 26'!H12</f>
        <v>212532</v>
      </c>
      <c r="D2035" s="2" t="str">
        <f t="shared" si="30"/>
        <v>Error?</v>
      </c>
    </row>
    <row r="2036" spans="1:4" x14ac:dyDescent="0.2">
      <c r="A2036" s="5">
        <v>1975</v>
      </c>
      <c r="B2036" s="1831">
        <f>'Cap Outlay Deprec 26'!H13</f>
        <v>267583</v>
      </c>
      <c r="D2036" s="2" t="str">
        <f t="shared" si="30"/>
        <v>Error?</v>
      </c>
    </row>
    <row r="2037" spans="1:4" x14ac:dyDescent="0.2">
      <c r="A2037" s="5">
        <v>1976</v>
      </c>
      <c r="B2037" s="1831">
        <f>'Cap Outlay Deprec 26'!H16</f>
        <v>2903160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80415</v>
      </c>
      <c r="D2039" s="2" t="str">
        <f t="shared" si="30"/>
        <v>Error?</v>
      </c>
    </row>
    <row r="2040" spans="1:4" x14ac:dyDescent="0.2">
      <c r="A2040" s="5">
        <v>1979</v>
      </c>
      <c r="B2040" s="1831">
        <f>'Cap Outlay Deprec 26'!I10</f>
        <v>31726</v>
      </c>
      <c r="D2040" s="2" t="str">
        <f t="shared" si="30"/>
        <v>Error?</v>
      </c>
    </row>
    <row r="2041" spans="1:4" x14ac:dyDescent="0.2">
      <c r="A2041" s="5">
        <v>1980</v>
      </c>
      <c r="B2041" s="1831">
        <f>'Cap Outlay Deprec 26'!I12</f>
        <v>12368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124509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2217324</v>
      </c>
      <c r="C2051" s="2" t="s">
        <v>569</v>
      </c>
      <c r="D2051" s="2" t="str">
        <f t="shared" si="31"/>
        <v>Error?</v>
      </c>
    </row>
    <row r="2052" spans="1:4" x14ac:dyDescent="0.2">
      <c r="A2052" s="5">
        <v>1991</v>
      </c>
      <c r="B2052" s="1831">
        <f>'Cap Outlay Deprec 26'!K10</f>
        <v>317862</v>
      </c>
      <c r="C2052" s="2" t="s">
        <v>569</v>
      </c>
      <c r="D2052" s="2" t="str">
        <f t="shared" si="31"/>
        <v>Error?</v>
      </c>
    </row>
    <row r="2053" spans="1:4" x14ac:dyDescent="0.2">
      <c r="A2053" s="5">
        <v>1992</v>
      </c>
      <c r="B2053" s="1831">
        <f>'Cap Outlay Deprec 26'!K12</f>
        <v>224900</v>
      </c>
      <c r="C2053" s="2" t="s">
        <v>569</v>
      </c>
      <c r="D2053" s="2" t="str">
        <f t="shared" si="31"/>
        <v>Error?</v>
      </c>
    </row>
    <row r="2054" spans="1:4" x14ac:dyDescent="0.2">
      <c r="A2054" s="5">
        <v>1993</v>
      </c>
      <c r="B2054" s="1831">
        <f>'Cap Outlay Deprec 26'!K13</f>
        <v>267583</v>
      </c>
      <c r="C2054" s="2" t="s">
        <v>569</v>
      </c>
      <c r="D2054" s="2" t="str">
        <f t="shared" si="31"/>
        <v>Error?</v>
      </c>
    </row>
    <row r="2055" spans="1:4" x14ac:dyDescent="0.2">
      <c r="A2055" s="5">
        <v>1994</v>
      </c>
      <c r="B2055" s="1831">
        <f>'Cap Outlay Deprec 26'!K16</f>
        <v>3027669</v>
      </c>
      <c r="C2055" s="2" t="s">
        <v>569</v>
      </c>
      <c r="D2055" s="2" t="str">
        <f t="shared" si="31"/>
        <v>Error?</v>
      </c>
    </row>
    <row r="2056" spans="1:4" x14ac:dyDescent="0.2">
      <c r="A2056" s="5">
        <v>1995</v>
      </c>
      <c r="B2056" s="1831">
        <f>'Cap Outlay Deprec 26'!L5</f>
        <v>60500</v>
      </c>
      <c r="C2056" s="2" t="s">
        <v>569</v>
      </c>
      <c r="D2056" s="2" t="str">
        <f t="shared" si="31"/>
        <v>Error?</v>
      </c>
    </row>
    <row r="2057" spans="1:4" x14ac:dyDescent="0.2">
      <c r="A2057" s="5">
        <v>1996</v>
      </c>
      <c r="B2057" s="1831">
        <f>'Cap Outlay Deprec 26'!L8</f>
        <v>1803426</v>
      </c>
      <c r="C2057" s="2" t="s">
        <v>569</v>
      </c>
      <c r="D2057" s="2" t="str">
        <f t="shared" si="31"/>
        <v>Error?</v>
      </c>
    </row>
    <row r="2058" spans="1:4" x14ac:dyDescent="0.2">
      <c r="A2058" s="5">
        <v>1997</v>
      </c>
      <c r="B2058" s="1831">
        <f>'Cap Outlay Deprec 26'!L10</f>
        <v>477552</v>
      </c>
      <c r="C2058" s="2" t="s">
        <v>569</v>
      </c>
      <c r="D2058" s="2" t="str">
        <f t="shared" si="31"/>
        <v>Error?</v>
      </c>
    </row>
    <row r="2059" spans="1:4" x14ac:dyDescent="0.2">
      <c r="A2059" s="5">
        <v>1998</v>
      </c>
      <c r="B2059" s="1831">
        <f>'Cap Outlay Deprec 26'!L12</f>
        <v>91357</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2432835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97156</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122108</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55000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115606</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67019</v>
      </c>
      <c r="D2475" s="2" t="str">
        <f t="shared" si="37"/>
        <v>Error?</v>
      </c>
    </row>
    <row r="2476" spans="1:4" x14ac:dyDescent="0.2">
      <c r="A2476" s="10">
        <v>2415</v>
      </c>
      <c r="B2476" s="1831"/>
      <c r="D2476" s="2" t="str">
        <f t="shared" si="37"/>
        <v>OK</v>
      </c>
    </row>
    <row r="2477" spans="1:4" x14ac:dyDescent="0.2">
      <c r="A2477" s="5">
        <v>2416</v>
      </c>
      <c r="B2477" s="1831">
        <f>'Assets-Liab 5-6'!G38</f>
        <v>17497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21194</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18848</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635966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1018043</v>
      </c>
      <c r="C2553" s="2" t="s">
        <v>569</v>
      </c>
      <c r="D2553" s="2" t="str">
        <f t="shared" si="38"/>
        <v>Error?</v>
      </c>
    </row>
    <row r="2554" spans="1:4" x14ac:dyDescent="0.2">
      <c r="A2554" s="5">
        <v>2493</v>
      </c>
      <c r="B2554" s="1831">
        <f>'Acct Summary 7-8'!C7</f>
        <v>358220</v>
      </c>
      <c r="C2554" s="2" t="s">
        <v>569</v>
      </c>
      <c r="D2554" s="2" t="str">
        <f t="shared" si="38"/>
        <v>Error?</v>
      </c>
    </row>
    <row r="2555" spans="1:4" x14ac:dyDescent="0.2">
      <c r="A2555" s="5">
        <v>2494</v>
      </c>
      <c r="B2555" s="1831">
        <f>'Acct Summary 7-8'!C8</f>
        <v>2012229</v>
      </c>
      <c r="C2555" s="2" t="s">
        <v>569</v>
      </c>
      <c r="D2555" s="2" t="str">
        <f t="shared" si="38"/>
        <v>Error?</v>
      </c>
    </row>
    <row r="2556" spans="1:4" x14ac:dyDescent="0.2">
      <c r="A2556" s="5">
        <v>2495</v>
      </c>
      <c r="B2556" s="1831">
        <f>'Acct Summary 7-8'!C12</f>
        <v>1135751</v>
      </c>
      <c r="C2556" s="2" t="s">
        <v>569</v>
      </c>
      <c r="D2556" s="2" t="str">
        <f t="shared" si="38"/>
        <v>Error?</v>
      </c>
    </row>
    <row r="2557" spans="1:4" x14ac:dyDescent="0.2">
      <c r="A2557" s="5">
        <v>2496</v>
      </c>
      <c r="B2557" s="1831">
        <f>'Acct Summary 7-8'!C13</f>
        <v>532498</v>
      </c>
      <c r="C2557" s="2" t="s">
        <v>569</v>
      </c>
      <c r="D2557" s="2" t="str">
        <f t="shared" si="38"/>
        <v>Error?</v>
      </c>
    </row>
    <row r="2558" spans="1:4" x14ac:dyDescent="0.2">
      <c r="A2558" s="5">
        <v>2497</v>
      </c>
      <c r="B2558" s="1831">
        <f>'Acct Summary 7-8'!C14</f>
        <v>1628</v>
      </c>
      <c r="C2558" s="2" t="s">
        <v>569</v>
      </c>
      <c r="D2558" s="2" t="str">
        <f t="shared" si="38"/>
        <v>Error?</v>
      </c>
    </row>
    <row r="2559" spans="1:4" x14ac:dyDescent="0.2">
      <c r="A2559" s="5">
        <v>2498</v>
      </c>
      <c r="B2559" s="1831">
        <f>'Acct Summary 7-8'!C15</f>
        <v>122108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1791985</v>
      </c>
      <c r="C2561" s="2" t="s">
        <v>569</v>
      </c>
      <c r="D2561" s="2" t="str">
        <f t="shared" si="39"/>
        <v>Error?</v>
      </c>
    </row>
    <row r="2562" spans="1:4" x14ac:dyDescent="0.2">
      <c r="A2562" s="5">
        <v>2501</v>
      </c>
      <c r="B2562" s="1831">
        <f>'Acct Summary 7-8'!C20</f>
        <v>220244</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77880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127880</v>
      </c>
      <c r="C2568" s="2" t="s">
        <v>569</v>
      </c>
      <c r="D2568" s="2" t="str">
        <f t="shared" si="39"/>
        <v>Error?</v>
      </c>
    </row>
    <row r="2569" spans="1:4" x14ac:dyDescent="0.2">
      <c r="A2569" s="5">
        <v>2508</v>
      </c>
      <c r="B2569" s="1831">
        <f>'Acct Summary 7-8'!D13</f>
        <v>78072</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78072</v>
      </c>
      <c r="C2573" s="2" t="s">
        <v>569</v>
      </c>
      <c r="D2573" s="2" t="str">
        <f t="shared" si="39"/>
        <v>Error?</v>
      </c>
    </row>
    <row r="2574" spans="1:4" x14ac:dyDescent="0.2">
      <c r="A2574" s="5">
        <v>2513</v>
      </c>
      <c r="B2574" s="1831">
        <f>'Acct Summary 7-8'!D20</f>
        <v>49808</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34268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67519</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101787</v>
      </c>
      <c r="C2595" s="2" t="s">
        <v>569</v>
      </c>
      <c r="D2595" s="2" t="str">
        <f t="shared" si="39"/>
        <v>Error?</v>
      </c>
    </row>
    <row r="2596" spans="1:4" x14ac:dyDescent="0.2">
      <c r="A2596" s="5">
        <v>2535</v>
      </c>
      <c r="B2596" s="1831">
        <f>'Acct Summary 7-8'!F13</f>
        <v>63535</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63535</v>
      </c>
      <c r="C2600" s="2" t="s">
        <v>569</v>
      </c>
      <c r="D2600" s="2" t="str">
        <f t="shared" si="39"/>
        <v>Error?</v>
      </c>
    </row>
    <row r="2601" spans="1:4" x14ac:dyDescent="0.2">
      <c r="A2601" s="5">
        <v>2540</v>
      </c>
      <c r="B2601" s="1831">
        <f>'Acct Summary 7-8'!F20</f>
        <v>38252</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144784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144784</v>
      </c>
      <c r="C2606" s="2" t="s">
        <v>569</v>
      </c>
      <c r="D2606" s="2" t="str">
        <f t="shared" si="39"/>
        <v>Error?</v>
      </c>
    </row>
    <row r="2607" spans="1:4" x14ac:dyDescent="0.2">
      <c r="A2607" s="5">
        <v>2546</v>
      </c>
      <c r="B2607" s="1831">
        <f>'Acct Summary 7-8'!G12</f>
        <v>32421</v>
      </c>
      <c r="C2607" s="2" t="s">
        <v>569</v>
      </c>
      <c r="D2607" s="2" t="str">
        <f t="shared" si="39"/>
        <v>Error?</v>
      </c>
    </row>
    <row r="2608" spans="1:4" x14ac:dyDescent="0.2">
      <c r="A2608" s="5">
        <v>2547</v>
      </c>
      <c r="B2608" s="1831">
        <f>'Acct Summary 7-8'!G13</f>
        <v>104379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136800</v>
      </c>
      <c r="C2612" s="2" t="s">
        <v>569</v>
      </c>
      <c r="D2612" s="2" t="str">
        <f t="shared" si="39"/>
        <v>Error?</v>
      </c>
    </row>
    <row r="2613" spans="1:4" x14ac:dyDescent="0.2">
      <c r="A2613" s="5">
        <v>2552</v>
      </c>
      <c r="B2613" s="1831">
        <f>'Acct Summary 7-8'!G20</f>
        <v>7984</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145494</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145494</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145585</v>
      </c>
      <c r="C2634" s="2" t="s">
        <v>569</v>
      </c>
      <c r="D2634" s="2" t="str">
        <f t="shared" si="40"/>
        <v>Error?</v>
      </c>
    </row>
    <row r="2635" spans="1:4" x14ac:dyDescent="0.2">
      <c r="A2635" s="5">
        <v>2574</v>
      </c>
      <c r="B2635" s="1831">
        <f>'Acct Summary 7-8'!E17</f>
        <v>145585</v>
      </c>
      <c r="C2635" s="2" t="s">
        <v>569</v>
      </c>
      <c r="D2635" s="2" t="str">
        <f t="shared" si="40"/>
        <v>Error?</v>
      </c>
    </row>
    <row r="2636" spans="1:4" x14ac:dyDescent="0.2">
      <c r="A2636" s="5">
        <v>2575</v>
      </c>
      <c r="B2636" s="1831">
        <f>'Acct Summary 7-8'!E20</f>
        <v>-91</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147903</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147903</v>
      </c>
      <c r="C2658" s="2" t="s">
        <v>569</v>
      </c>
      <c r="D2658" s="2" t="str">
        <f t="shared" si="40"/>
        <v>Error?</v>
      </c>
    </row>
    <row r="2659" spans="1:4" x14ac:dyDescent="0.2">
      <c r="A2659" s="5">
        <v>2598</v>
      </c>
      <c r="B2659" s="1831">
        <f>'Acct Summary 7-8'!H13</f>
        <v>99454</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99454</v>
      </c>
      <c r="C2661" s="2" t="s">
        <v>569</v>
      </c>
      <c r="D2661" s="2" t="str">
        <f t="shared" si="40"/>
        <v>Error?</v>
      </c>
    </row>
    <row r="2662" spans="1:4" x14ac:dyDescent="0.2">
      <c r="A2662" s="5">
        <v>2601</v>
      </c>
      <c r="B2662" s="1831">
        <f>'Acct Summary 7-8'!H20</f>
        <v>48449</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24952</v>
      </c>
      <c r="C2789" s="2" t="s">
        <v>569</v>
      </c>
      <c r="D2789" s="2" t="str">
        <f t="shared" si="42"/>
        <v>Error?</v>
      </c>
    </row>
    <row r="2790" spans="1:4" x14ac:dyDescent="0.2">
      <c r="A2790" s="5">
        <v>2729</v>
      </c>
      <c r="B2790" s="1831">
        <f>'Expenditures 15-22'!E102</f>
        <v>24952</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13603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24366</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13603</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13603</v>
      </c>
      <c r="C2913" s="2" t="s">
        <v>569</v>
      </c>
      <c r="D2913" s="2" t="str">
        <f t="shared" si="44"/>
        <v>Error?</v>
      </c>
    </row>
    <row r="2914" spans="1:4" x14ac:dyDescent="0.2">
      <c r="A2914" s="5">
        <v>2853</v>
      </c>
      <c r="B2914" s="1831">
        <f>'Assets-Liab 5-6'!L33</f>
        <v>24366</v>
      </c>
      <c r="D2914" s="2" t="str">
        <f t="shared" si="44"/>
        <v>Error?</v>
      </c>
    </row>
    <row r="2915" spans="1:4" x14ac:dyDescent="0.2">
      <c r="A2915" s="10">
        <v>2854</v>
      </c>
      <c r="B2915" s="1831"/>
      <c r="D2915" s="2" t="str">
        <f t="shared" si="44"/>
        <v>OK</v>
      </c>
    </row>
    <row r="2916" spans="1:4" x14ac:dyDescent="0.2">
      <c r="A2916" s="5">
        <v>2855</v>
      </c>
      <c r="B2916" s="1831">
        <f>'Assets-Liab 5-6'!L34</f>
        <v>24366</v>
      </c>
      <c r="C2916" s="2" t="s">
        <v>569</v>
      </c>
      <c r="D2916" s="2" t="str">
        <f t="shared" si="44"/>
        <v>Error?</v>
      </c>
    </row>
    <row r="2917" spans="1:4" x14ac:dyDescent="0.2">
      <c r="A2917" s="5">
        <v>2856</v>
      </c>
      <c r="B2917" s="1831">
        <f>'Assets-Liab 5-6'!L41</f>
        <v>24366</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6000</v>
      </c>
      <c r="D2953" s="2" t="str">
        <f t="shared" si="45"/>
        <v>Error?</v>
      </c>
    </row>
    <row r="2954" spans="1:4" x14ac:dyDescent="0.2">
      <c r="A2954" s="5">
        <v>2893</v>
      </c>
      <c r="B2954" s="1831">
        <f>'Expenditures 15-22'!E83</f>
        <v>18952</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97156</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97156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6000</v>
      </c>
      <c r="C2977" s="2" t="s">
        <v>569</v>
      </c>
      <c r="D2977" s="2" t="str">
        <f t="shared" si="45"/>
        <v>Error?</v>
      </c>
    </row>
    <row r="2978" spans="1:4" x14ac:dyDescent="0.2">
      <c r="A2978" s="5">
        <v>2917</v>
      </c>
      <c r="B2978" s="1831">
        <f>'Expenditures 15-22'!K83</f>
        <v>18952</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51859</v>
      </c>
      <c r="D3055" s="2" t="str">
        <f t="shared" si="46"/>
        <v>Error?</v>
      </c>
    </row>
    <row r="3056" spans="1:4" x14ac:dyDescent="0.2">
      <c r="A3056" s="5">
        <v>2995</v>
      </c>
      <c r="B3056" s="1831">
        <f>'Expenditures 15-22'!D10</f>
        <v>19695</v>
      </c>
      <c r="D3056" s="2" t="str">
        <f t="shared" si="46"/>
        <v>Error?</v>
      </c>
    </row>
    <row r="3057" spans="1:4" x14ac:dyDescent="0.2">
      <c r="A3057" s="5">
        <v>2996</v>
      </c>
      <c r="B3057" s="1831">
        <f>'Expenditures 15-22'!E10</f>
        <v>12084</v>
      </c>
      <c r="D3057" s="2" t="str">
        <f t="shared" si="46"/>
        <v>Error?</v>
      </c>
    </row>
    <row r="3058" spans="1:4" x14ac:dyDescent="0.2">
      <c r="A3058" s="5">
        <v>2997</v>
      </c>
      <c r="B3058" s="1831">
        <f>'Expenditures 15-22'!F10</f>
        <v>13725</v>
      </c>
      <c r="D3058" s="2" t="str">
        <f t="shared" si="46"/>
        <v>Error?</v>
      </c>
    </row>
    <row r="3059" spans="1:4" x14ac:dyDescent="0.2">
      <c r="A3059" s="5">
        <v>2998</v>
      </c>
      <c r="B3059" s="1831">
        <f>'Expenditures 15-22'!G10</f>
        <v>19372</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116735</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848</v>
      </c>
      <c r="D3064" s="2" t="str">
        <f t="shared" si="46"/>
        <v>Error?</v>
      </c>
    </row>
    <row r="3065" spans="1:4" x14ac:dyDescent="0.2">
      <c r="A3065" s="5">
        <v>3004</v>
      </c>
      <c r="B3065" s="1831">
        <f>'Expenditures 15-22'!K219</f>
        <v>848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8496</v>
      </c>
      <c r="C3225" s="2" t="s">
        <v>569</v>
      </c>
      <c r="D3225" s="2" t="str">
        <f t="shared" si="49"/>
        <v>Error?</v>
      </c>
    </row>
    <row r="3226" spans="1:4" x14ac:dyDescent="0.2">
      <c r="A3226" s="5">
        <v>3165</v>
      </c>
      <c r="B3226" s="1831">
        <f>'Acct Summary 7-8'!I8</f>
        <v>8496</v>
      </c>
      <c r="C3226" s="2" t="s">
        <v>569</v>
      </c>
      <c r="D3226" s="2" t="str">
        <f t="shared" si="49"/>
        <v>Error?</v>
      </c>
    </row>
    <row r="3227" spans="1:4" x14ac:dyDescent="0.2">
      <c r="A3227" s="5">
        <v>3166</v>
      </c>
      <c r="B3227" s="1831">
        <f>'Acct Summary 7-8'!I20</f>
        <v>8496</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55000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55000</v>
      </c>
      <c r="C3232" s="2" t="s">
        <v>569</v>
      </c>
      <c r="D3232" s="2" t="str">
        <f t="shared" si="49"/>
        <v>Error?</v>
      </c>
    </row>
    <row r="3233" spans="1:4" x14ac:dyDescent="0.2">
      <c r="A3233" s="5">
        <v>3172</v>
      </c>
      <c r="B3233" s="1831">
        <f>'Acct Summary 7-8'!C78</f>
        <v>275244</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49808</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38252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7984</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-91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48449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55000</v>
      </c>
      <c r="C3318" s="2" t="s">
        <v>569</v>
      </c>
      <c r="D3318" s="2" t="str">
        <f t="shared" si="50"/>
        <v>Error?</v>
      </c>
    </row>
    <row r="3319" spans="1:4" x14ac:dyDescent="0.2">
      <c r="A3319" s="5">
        <v>3258</v>
      </c>
      <c r="B3319" s="1831">
        <f>'Acct Summary 7-8'!I77</f>
        <v>-55000</v>
      </c>
      <c r="C3319" s="2" t="s">
        <v>569</v>
      </c>
      <c r="D3319" s="2" t="str">
        <f t="shared" si="50"/>
        <v>Error?</v>
      </c>
    </row>
    <row r="3320" spans="1:4" x14ac:dyDescent="0.2">
      <c r="A3320" s="5">
        <v>3259</v>
      </c>
      <c r="B3320" s="1831">
        <f>'Acct Summary 7-8'!I78</f>
        <v>-46504</v>
      </c>
      <c r="C3320" s="2" t="s">
        <v>569</v>
      </c>
      <c r="D3320" s="2" t="str">
        <f t="shared" si="50"/>
        <v>Error?</v>
      </c>
    </row>
    <row r="3321" spans="1:4" x14ac:dyDescent="0.2">
      <c r="A3321" s="5">
        <v>3260</v>
      </c>
      <c r="B3321" s="1831">
        <f>'Acct Summary 7-8'!I79</f>
        <v>60107</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13603</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177470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50381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70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449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228370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7886</v>
      </c>
      <c r="D3387" s="2" t="str">
        <f t="shared" si="51"/>
        <v>Error?</v>
      </c>
    </row>
    <row r="3388" spans="1:4" x14ac:dyDescent="0.2">
      <c r="A3388" s="5">
        <v>3327</v>
      </c>
      <c r="B3388" s="1831">
        <f>'Expenditures 15-22'!D217</f>
        <v>21077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7886</v>
      </c>
      <c r="C3390" s="2" t="s">
        <v>569</v>
      </c>
      <c r="D3390" s="2" t="str">
        <f t="shared" si="51"/>
        <v>Error?</v>
      </c>
    </row>
    <row r="3391" spans="1:4" x14ac:dyDescent="0.2">
      <c r="A3391" s="5">
        <v>3330</v>
      </c>
      <c r="B3391" s="1831">
        <f>'Expenditures 15-22'!K217</f>
        <v>21077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513142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115606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21194</v>
      </c>
      <c r="D3417" s="2" t="str">
        <f t="shared" si="52"/>
        <v>Error?</v>
      </c>
    </row>
    <row r="3418" spans="1:4" x14ac:dyDescent="0.2">
      <c r="A3418" s="10">
        <v>3357</v>
      </c>
      <c r="B3418" s="1831"/>
      <c r="D3418" s="2" t="str">
        <f t="shared" si="52"/>
        <v>OK</v>
      </c>
    </row>
    <row r="3419" spans="1:4" x14ac:dyDescent="0.2">
      <c r="A3419" s="5">
        <v>3358</v>
      </c>
      <c r="B3419" s="1831">
        <f>'Assets-Liab 5-6'!F4</f>
        <v>67019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17497</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18848</v>
      </c>
      <c r="D3425" s="2" t="str">
        <f t="shared" si="52"/>
        <v>Error?</v>
      </c>
    </row>
    <row r="3426" spans="1:4" x14ac:dyDescent="0.2">
      <c r="A3426" s="10">
        <v>3365</v>
      </c>
      <c r="B3426" s="1831"/>
      <c r="D3426" s="2" t="str">
        <f t="shared" si="52"/>
        <v>OK</v>
      </c>
    </row>
    <row r="3427" spans="1:4" x14ac:dyDescent="0.2">
      <c r="A3427" s="5">
        <v>3366</v>
      </c>
      <c r="B3427" s="1831">
        <f>'Assets-Liab 5-6'!I4</f>
        <v>13603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24366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26299</v>
      </c>
      <c r="C3446" s="2" t="s">
        <v>569</v>
      </c>
      <c r="D3446" s="2" t="str">
        <f t="shared" si="52"/>
        <v>Error?</v>
      </c>
    </row>
    <row r="3447" spans="1:4" x14ac:dyDescent="0.2">
      <c r="A3447" s="5">
        <v>3386</v>
      </c>
      <c r="B3447" s="1831">
        <f>'Tax Sched 23'!D16</f>
        <v>26299</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26348</v>
      </c>
      <c r="C3449" s="2" t="s">
        <v>569</v>
      </c>
      <c r="D3449" s="2" t="str">
        <f t="shared" si="52"/>
        <v>Error?</v>
      </c>
    </row>
    <row r="3450" spans="1:4" x14ac:dyDescent="0.2">
      <c r="A3450" s="5">
        <v>3389</v>
      </c>
      <c r="B3450" s="1831">
        <f>'Tax Sched 23'!E16</f>
        <v>26348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43511</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43511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43511</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43511</v>
      </c>
      <c r="C3568" s="2" t="s">
        <v>569</v>
      </c>
      <c r="D3568" s="2" t="str">
        <f t="shared" si="54"/>
        <v>Error?</v>
      </c>
    </row>
    <row r="3569" spans="1:4" x14ac:dyDescent="0.2">
      <c r="A3569" s="5">
        <v>3508</v>
      </c>
      <c r="B3569" s="1831">
        <f>'Acct Summary 7-8'!K4</f>
        <v>10821</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10821</v>
      </c>
      <c r="C3571" s="2" t="s">
        <v>569</v>
      </c>
      <c r="D3571" s="2" t="str">
        <f t="shared" si="54"/>
        <v>Error?</v>
      </c>
    </row>
    <row r="3572" spans="1:4" x14ac:dyDescent="0.2">
      <c r="A3572" s="5">
        <v>3511</v>
      </c>
      <c r="B3572" s="1831">
        <f>'Acct Summary 7-8'!K13</f>
        <v>26721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26721</v>
      </c>
      <c r="C3575" s="2" t="s">
        <v>569</v>
      </c>
      <c r="D3575" s="2" t="str">
        <f t="shared" si="54"/>
        <v>Error?</v>
      </c>
    </row>
    <row r="3576" spans="1:4" x14ac:dyDescent="0.2">
      <c r="A3576" s="5">
        <v>3515</v>
      </c>
      <c r="B3576" s="1831">
        <f>'Acct Summary 7-8'!K20</f>
        <v>-15900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-15900</v>
      </c>
      <c r="C3588" s="2" t="s">
        <v>569</v>
      </c>
      <c r="D3588" s="2" t="str">
        <f t="shared" si="55"/>
        <v>Error?</v>
      </c>
    </row>
    <row r="3589" spans="1:4" x14ac:dyDescent="0.2">
      <c r="A3589" s="5">
        <v>3528</v>
      </c>
      <c r="B3589" s="1831">
        <f>'Acct Summary 7-8'!K79</f>
        <v>59411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43511</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4939</v>
      </c>
      <c r="D3632" s="2" t="str">
        <f t="shared" si="55"/>
        <v>Error?</v>
      </c>
    </row>
    <row r="3633" spans="1:4" x14ac:dyDescent="0.2">
      <c r="A3633" s="5">
        <v>3572</v>
      </c>
      <c r="B3633" s="1831">
        <f>'Expenditures 15-22'!E350</f>
        <v>4939</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4939</v>
      </c>
      <c r="C3635" s="2" t="s">
        <v>569</v>
      </c>
      <c r="D3635" s="2" t="str">
        <f t="shared" si="55"/>
        <v>Error?</v>
      </c>
    </row>
    <row r="3636" spans="1:4" x14ac:dyDescent="0.2">
      <c r="A3636" s="5">
        <v>3575</v>
      </c>
      <c r="B3636" s="1831">
        <f>'Expenditures 15-22'!E367</f>
        <v>4939</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21782</v>
      </c>
      <c r="D3646" s="2" t="str">
        <f t="shared" si="55"/>
        <v>Error?</v>
      </c>
    </row>
    <row r="3647" spans="1:4" x14ac:dyDescent="0.2">
      <c r="A3647" s="5">
        <v>3586</v>
      </c>
      <c r="B3647" s="1831">
        <f>'Expenditures 15-22'!G350</f>
        <v>21782</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21782</v>
      </c>
      <c r="C3649" s="2" t="s">
        <v>569</v>
      </c>
      <c r="D3649" s="2" t="str">
        <f t="shared" si="56"/>
        <v>Error?</v>
      </c>
    </row>
    <row r="3650" spans="1:4" x14ac:dyDescent="0.2">
      <c r="A3650" s="5">
        <v>3589</v>
      </c>
      <c r="B3650" s="1831">
        <f>'Expenditures 15-22'!G367</f>
        <v>21782</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26721</v>
      </c>
      <c r="C3669" s="2" t="s">
        <v>569</v>
      </c>
      <c r="D3669" s="2" t="str">
        <f t="shared" si="56"/>
        <v>Error?</v>
      </c>
    </row>
    <row r="3670" spans="1:4" x14ac:dyDescent="0.2">
      <c r="A3670" s="5">
        <v>3609</v>
      </c>
      <c r="B3670" s="1831">
        <f>'Expenditures 15-22'!K350</f>
        <v>26721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26721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26721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-15900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10778</v>
      </c>
      <c r="C3725" s="2" t="s">
        <v>569</v>
      </c>
      <c r="D3725" s="2" t="str">
        <f t="shared" si="57"/>
        <v>Error?</v>
      </c>
    </row>
    <row r="3726" spans="1:4" x14ac:dyDescent="0.2">
      <c r="A3726" s="5">
        <v>3665</v>
      </c>
      <c r="B3726" s="1831">
        <f>'Tax Sched 23'!D13</f>
        <v>10778</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10798</v>
      </c>
      <c r="C3728" s="2" t="s">
        <v>569</v>
      </c>
      <c r="D3728" s="2" t="str">
        <f t="shared" si="57"/>
        <v>Error?</v>
      </c>
    </row>
    <row r="3729" spans="1:4" x14ac:dyDescent="0.2">
      <c r="A3729" s="5">
        <v>3668</v>
      </c>
      <c r="B3729" s="1831">
        <f>'Tax Sched 23'!E13</f>
        <v>10798</v>
      </c>
      <c r="D3729" s="2" t="str">
        <f t="shared" si="57"/>
        <v>Error?</v>
      </c>
    </row>
    <row r="3730" spans="1:4" x14ac:dyDescent="0.2">
      <c r="A3730" s="5">
        <v>3669</v>
      </c>
      <c r="B3730" s="1831">
        <f>'ICR Computation 30'!E10</f>
        <v>84742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974044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2986273</v>
      </c>
      <c r="C4122" s="2" t="s">
        <v>569</v>
      </c>
      <c r="D4122" s="2" t="str">
        <f t="shared" si="63"/>
        <v>Error?</v>
      </c>
    </row>
    <row r="4123" spans="1:4" x14ac:dyDescent="0.2">
      <c r="A4123" s="5">
        <v>4062</v>
      </c>
      <c r="B4123" s="1831">
        <f>'Acct Summary 7-8'!D10</f>
        <v>127880</v>
      </c>
      <c r="C4123" s="2" t="s">
        <v>569</v>
      </c>
      <c r="D4123" s="2" t="str">
        <f t="shared" si="63"/>
        <v>Error?</v>
      </c>
    </row>
    <row r="4124" spans="1:4" x14ac:dyDescent="0.2">
      <c r="A4124" s="5">
        <v>4063</v>
      </c>
      <c r="B4124" s="1831">
        <f>'Acct Summary 7-8'!E10</f>
        <v>145494</v>
      </c>
      <c r="C4124" s="2" t="s">
        <v>569</v>
      </c>
      <c r="D4124" s="2" t="str">
        <f t="shared" si="63"/>
        <v>Error?</v>
      </c>
    </row>
    <row r="4125" spans="1:4" x14ac:dyDescent="0.2">
      <c r="A4125" s="5">
        <v>4064</v>
      </c>
      <c r="B4125" s="1831">
        <f>'Acct Summary 7-8'!F10</f>
        <v>101787</v>
      </c>
      <c r="C4125" s="2" t="s">
        <v>569</v>
      </c>
      <c r="D4125" s="2" t="str">
        <f t="shared" si="63"/>
        <v>Error?</v>
      </c>
    </row>
    <row r="4126" spans="1:4" x14ac:dyDescent="0.2">
      <c r="A4126" s="5">
        <v>4065</v>
      </c>
      <c r="B4126" s="1831">
        <f>'Acct Summary 7-8'!G10</f>
        <v>144784</v>
      </c>
      <c r="C4126" s="2" t="s">
        <v>569</v>
      </c>
      <c r="D4126" s="2" t="str">
        <f t="shared" si="63"/>
        <v>Error?</v>
      </c>
    </row>
    <row r="4127" spans="1:4" x14ac:dyDescent="0.2">
      <c r="A4127" s="5">
        <v>4066</v>
      </c>
      <c r="B4127" s="1831">
        <f>'Acct Summary 7-8'!H10</f>
        <v>147903</v>
      </c>
      <c r="C4127" s="2" t="s">
        <v>569</v>
      </c>
      <c r="D4127" s="2" t="str">
        <f t="shared" si="63"/>
        <v>Error?</v>
      </c>
    </row>
    <row r="4128" spans="1:4" x14ac:dyDescent="0.2">
      <c r="A4128" s="5">
        <v>4067</v>
      </c>
      <c r="B4128" s="1831">
        <f>'Acct Summary 7-8'!I10</f>
        <v>8496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10821</v>
      </c>
      <c r="C4130" s="2" t="s">
        <v>569</v>
      </c>
      <c r="D4130" s="2" t="str">
        <f t="shared" si="63"/>
        <v>Error?</v>
      </c>
    </row>
    <row r="4131" spans="1:4" x14ac:dyDescent="0.2">
      <c r="A4131" s="5">
        <v>4070</v>
      </c>
      <c r="B4131" s="1831">
        <f>'Acct Summary 7-8'!C18</f>
        <v>974044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2766029</v>
      </c>
      <c r="C4136" s="2" t="s">
        <v>569</v>
      </c>
      <c r="D4136" s="2" t="str">
        <f t="shared" si="63"/>
        <v>Error?</v>
      </c>
    </row>
    <row r="4137" spans="1:4" x14ac:dyDescent="0.2">
      <c r="A4137" s="5">
        <v>4076</v>
      </c>
      <c r="B4137" s="1831">
        <f>'Acct Summary 7-8'!D19</f>
        <v>78072</v>
      </c>
      <c r="C4137" s="2" t="s">
        <v>569</v>
      </c>
      <c r="D4137" s="2" t="str">
        <f t="shared" si="63"/>
        <v>Error?</v>
      </c>
    </row>
    <row r="4138" spans="1:4" x14ac:dyDescent="0.2">
      <c r="A4138" s="5">
        <v>4077</v>
      </c>
      <c r="B4138" s="1831">
        <f>'Acct Summary 7-8'!E19</f>
        <v>145585</v>
      </c>
      <c r="C4138" s="2" t="s">
        <v>569</v>
      </c>
      <c r="D4138" s="2" t="str">
        <f t="shared" si="63"/>
        <v>Error?</v>
      </c>
    </row>
    <row r="4139" spans="1:4" x14ac:dyDescent="0.2">
      <c r="A4139" s="5">
        <v>4078</v>
      </c>
      <c r="B4139" s="1831">
        <f>'Acct Summary 7-8'!F19</f>
        <v>63535</v>
      </c>
      <c r="C4139" s="2" t="s">
        <v>569</v>
      </c>
      <c r="D4139" s="2" t="str">
        <f t="shared" si="63"/>
        <v>Error?</v>
      </c>
    </row>
    <row r="4140" spans="1:4" x14ac:dyDescent="0.2">
      <c r="A4140" s="5">
        <v>4079</v>
      </c>
      <c r="B4140" s="1831">
        <f>'Acct Summary 7-8'!G19</f>
        <v>136800</v>
      </c>
      <c r="C4140" s="2" t="s">
        <v>569</v>
      </c>
      <c r="D4140" s="2" t="str">
        <f t="shared" si="63"/>
        <v>Error?</v>
      </c>
    </row>
    <row r="4141" spans="1:4" x14ac:dyDescent="0.2">
      <c r="A4141" s="5">
        <v>4080</v>
      </c>
      <c r="B4141" s="1831">
        <f>'Acct Summary 7-8'!H19</f>
        <v>99454</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26721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143900</v>
      </c>
      <c r="C4171" s="2" t="s">
        <v>569</v>
      </c>
      <c r="D4171" s="2" t="str">
        <f t="shared" si="64"/>
        <v>Error?</v>
      </c>
    </row>
    <row r="4172" spans="1:4" x14ac:dyDescent="0.2">
      <c r="A4172" s="5">
        <v>4111</v>
      </c>
      <c r="B4172" s="1831">
        <f>'Short-Term Long-Term Debt 24'!J49</f>
        <v>122706</v>
      </c>
      <c r="C4172" s="2" t="s">
        <v>569</v>
      </c>
      <c r="D4172" s="2" t="str">
        <f t="shared" si="64"/>
        <v>Error?</v>
      </c>
    </row>
    <row r="4173" spans="1:4" x14ac:dyDescent="0.2">
      <c r="A4173" s="5">
        <v>4112</v>
      </c>
      <c r="B4173" s="1831">
        <f>'Short-Term Long-Term Debt 24'!H49</f>
        <v>140000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1866.91</v>
      </c>
      <c r="C4265" s="2" t="s">
        <v>569</v>
      </c>
      <c r="D4265" s="2" t="str">
        <f t="shared" si="65"/>
        <v>Error?</v>
      </c>
      <c r="E4265" s="125"/>
    </row>
    <row r="4266" spans="1:5" x14ac:dyDescent="0.2">
      <c r="A4266" s="12">
        <v>4205</v>
      </c>
      <c r="B4266" s="1831">
        <f>('FP Info 3'!F10)*100000</f>
        <v>376.14</v>
      </c>
      <c r="C4266" s="2" t="s">
        <v>569</v>
      </c>
      <c r="D4266" s="2" t="str">
        <f t="shared" si="65"/>
        <v>Error?</v>
      </c>
      <c r="E4266" s="125"/>
    </row>
    <row r="4267" spans="1:5" x14ac:dyDescent="0.2">
      <c r="A4267" s="12">
        <v>4206</v>
      </c>
      <c r="B4267" s="1831">
        <f>('FP Info 3'!H10)*100000</f>
        <v>139.78</v>
      </c>
      <c r="C4267" s="2" t="s">
        <v>569</v>
      </c>
      <c r="D4267" s="2" t="str">
        <f t="shared" si="65"/>
        <v>Error?</v>
      </c>
      <c r="E4267" s="125"/>
    </row>
    <row r="4268" spans="1:5" x14ac:dyDescent="0.2">
      <c r="A4268" s="12">
        <v>4207</v>
      </c>
      <c r="B4268" s="1831">
        <f>('FP Info 3'!J10)*100000</f>
        <v>2383</v>
      </c>
      <c r="C4268" s="2" t="s">
        <v>569</v>
      </c>
      <c r="D4268" s="2" t="str">
        <f t="shared" si="65"/>
        <v>Error?</v>
      </c>
    </row>
    <row r="4269" spans="1:5" x14ac:dyDescent="0.2">
      <c r="A4269" s="12">
        <v>4208</v>
      </c>
      <c r="B4269" s="1831">
        <f>'FP Info 3'!J16</f>
        <v>1118019</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43218</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159955</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3437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20464</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10336</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10336</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15003</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41.24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20560105</v>
      </c>
      <c r="D4995" s="2" t="str">
        <f t="shared" si="77"/>
        <v>Error?</v>
      </c>
    </row>
    <row r="4996" spans="1:4" x14ac:dyDescent="0.2">
      <c r="A4996" s="12">
        <v>4935</v>
      </c>
      <c r="B4996" s="1831">
        <f>'FP Info 3'!H31</f>
        <v>1418647.2450000001</v>
      </c>
      <c r="D4996" s="2" t="str">
        <f t="shared" si="77"/>
        <v>Error?</v>
      </c>
    </row>
    <row r="4997" spans="1:4" x14ac:dyDescent="0.2">
      <c r="A4997" s="12">
        <v>4936</v>
      </c>
      <c r="B4997" s="1831">
        <f>'FP Info 3'!H37</f>
        <v>143900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10778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383191</v>
      </c>
      <c r="D5061" s="2" t="str">
        <f t="shared" si="78"/>
        <v>Error?</v>
      </c>
    </row>
    <row r="5062" spans="1:4" x14ac:dyDescent="0.2">
      <c r="A5062" s="10">
        <v>5001</v>
      </c>
      <c r="B5062" s="1831"/>
      <c r="D5062" s="2" t="str">
        <f t="shared" si="78"/>
        <v>OK</v>
      </c>
    </row>
    <row r="5063" spans="1:4" x14ac:dyDescent="0.2">
      <c r="A5063" s="5">
        <v>5002</v>
      </c>
      <c r="B5063" s="1831">
        <f>'Revenues 9-14'!C7</f>
        <v>3933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397902</v>
      </c>
      <c r="C5066" s="2" t="s">
        <v>569</v>
      </c>
      <c r="D5066" s="2" t="str">
        <f t="shared" si="78"/>
        <v>Error?</v>
      </c>
    </row>
    <row r="5067" spans="1:4" x14ac:dyDescent="0.2">
      <c r="A5067" s="5">
        <v>5006</v>
      </c>
      <c r="B5067" s="1831">
        <f>'Revenues 9-14'!C14</f>
        <v>1569</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171635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173204</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18400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18400</v>
      </c>
      <c r="C5087" s="2" t="s">
        <v>569</v>
      </c>
      <c r="D5087" s="2" t="str">
        <f t="shared" si="78"/>
        <v>Error?</v>
      </c>
    </row>
    <row r="5088" spans="1:4" x14ac:dyDescent="0.2">
      <c r="A5088" s="5">
        <v>5027</v>
      </c>
      <c r="B5088" s="1831">
        <f>'Revenues 9-14'!C65</f>
        <v>12408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12408</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2237</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18002</v>
      </c>
      <c r="C5096" s="2" t="s">
        <v>569</v>
      </c>
      <c r="D5096" s="2" t="str">
        <f t="shared" si="78"/>
        <v>Error?</v>
      </c>
    </row>
    <row r="5097" spans="1:4" x14ac:dyDescent="0.2">
      <c r="A5097" s="5">
        <v>5036</v>
      </c>
      <c r="B5097" s="1831">
        <f>'Revenues 9-14'!C77</f>
        <v>5125</v>
      </c>
      <c r="D5097" s="2" t="str">
        <f t="shared" si="78"/>
        <v>Error?</v>
      </c>
    </row>
    <row r="5098" spans="1:4" x14ac:dyDescent="0.2">
      <c r="A5098" s="5">
        <v>5037</v>
      </c>
      <c r="B5098" s="1831">
        <f>'Revenues 9-14'!C78</f>
        <v>5928</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79</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11132</v>
      </c>
      <c r="C5102" s="2" t="s">
        <v>569</v>
      </c>
      <c r="D5102" s="2" t="str">
        <f t="shared" si="78"/>
        <v>Error?</v>
      </c>
    </row>
    <row r="5103" spans="1:4" x14ac:dyDescent="0.2">
      <c r="A5103" s="5">
        <v>5042</v>
      </c>
      <c r="B5103" s="1831">
        <f>'Revenues 9-14'!C84</f>
        <v>2430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14</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2444</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1500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974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2474</v>
      </c>
      <c r="C5120" s="2" t="s">
        <v>569</v>
      </c>
      <c r="D5120" s="2" t="str">
        <f t="shared" si="79"/>
        <v>Error?</v>
      </c>
    </row>
    <row r="5121" spans="1:4" x14ac:dyDescent="0.2">
      <c r="A5121" s="5">
        <v>5060</v>
      </c>
      <c r="B5121" s="1831">
        <f>'Revenues 9-14'!C109</f>
        <v>635966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990336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990336</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25927</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25927</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1030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27707</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1018043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53113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22294</v>
      </c>
      <c r="D5241" s="2" t="str">
        <f t="shared" si="80"/>
        <v>Error?</v>
      </c>
    </row>
    <row r="5242" spans="1:4" x14ac:dyDescent="0.2">
      <c r="A5242" s="5">
        <v>5181</v>
      </c>
      <c r="B5242" s="1831">
        <f>'Revenues 9-14'!C194</f>
        <v>22892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98299</v>
      </c>
      <c r="C5246" s="2" t="s">
        <v>569</v>
      </c>
      <c r="D5246" s="2" t="str">
        <f t="shared" si="80"/>
        <v>Error?</v>
      </c>
    </row>
    <row r="5247" spans="1:4" x14ac:dyDescent="0.2">
      <c r="A5247" s="5">
        <v>5186</v>
      </c>
      <c r="B5247" s="1831">
        <f>'Revenues 9-14'!C200</f>
        <v>160300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15003</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160300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1565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48816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50381</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358220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358220</v>
      </c>
      <c r="C5326" s="2" t="s">
        <v>569</v>
      </c>
      <c r="D5326" s="2" t="str">
        <f t="shared" si="82"/>
        <v>Error?</v>
      </c>
    </row>
    <row r="5327" spans="1:5" x14ac:dyDescent="0.2">
      <c r="A5327" s="5">
        <v>5266</v>
      </c>
      <c r="B5327" s="1831">
        <f>'Revenues 9-14'!C268</f>
        <v>2012229</v>
      </c>
      <c r="C5327" s="2" t="s">
        <v>569</v>
      </c>
      <c r="D5327" s="2" t="str">
        <f t="shared" si="82"/>
        <v>Error?</v>
      </c>
    </row>
    <row r="5328" spans="1:5" x14ac:dyDescent="0.2">
      <c r="A5328" s="5">
        <v>5267</v>
      </c>
      <c r="B5328" s="1831">
        <f>'Revenues 9-14'!D5</f>
        <v>77200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77200</v>
      </c>
      <c r="C5334" s="2" t="s">
        <v>569</v>
      </c>
      <c r="D5334" s="2" t="str">
        <f t="shared" si="82"/>
        <v>Error?</v>
      </c>
    </row>
    <row r="5335" spans="1:4" x14ac:dyDescent="0.2">
      <c r="A5335" s="5">
        <v>5274</v>
      </c>
      <c r="B5335" s="1831">
        <f>'Revenues 9-14'!D14</f>
        <v>304</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304</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210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166</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376</v>
      </c>
      <c r="C5355" s="2" t="s">
        <v>569</v>
      </c>
      <c r="D5355" s="2" t="str">
        <f t="shared" si="82"/>
        <v>Error?</v>
      </c>
    </row>
    <row r="5356" spans="1:4" x14ac:dyDescent="0.2">
      <c r="A5356" s="5">
        <v>5295</v>
      </c>
      <c r="B5356" s="1831">
        <f>'Revenues 9-14'!D109</f>
        <v>77880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127880</v>
      </c>
      <c r="C5508" s="2" t="s">
        <v>569</v>
      </c>
      <c r="D5508" s="2" t="str">
        <f t="shared" si="85"/>
        <v>Error?</v>
      </c>
    </row>
    <row r="5509" spans="1:4" x14ac:dyDescent="0.2">
      <c r="A5509" s="5">
        <v>5448</v>
      </c>
      <c r="B5509" s="1831">
        <f>'Revenues 9-14'!E5</f>
        <v>144923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144923</v>
      </c>
      <c r="C5513" s="2" t="s">
        <v>569</v>
      </c>
      <c r="D5513" s="2" t="str">
        <f t="shared" si="85"/>
        <v>Error?</v>
      </c>
    </row>
    <row r="5514" spans="1:4" x14ac:dyDescent="0.2">
      <c r="A5514" s="5">
        <v>5453</v>
      </c>
      <c r="B5514" s="1831">
        <f>'Revenues 9-14'!E14</f>
        <v>571</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571</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145494</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145494</v>
      </c>
      <c r="C5552" s="2" t="s">
        <v>569</v>
      </c>
      <c r="D5552" s="2" t="str">
        <f t="shared" si="85"/>
        <v>Error?</v>
      </c>
    </row>
    <row r="5553" spans="1:4" x14ac:dyDescent="0.2">
      <c r="A5553" s="5">
        <v>5492</v>
      </c>
      <c r="B5553" s="1831">
        <f>'Revenues 9-14'!F5</f>
        <v>23375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23375</v>
      </c>
      <c r="C5557" s="2" t="s">
        <v>569</v>
      </c>
      <c r="D5557" s="2" t="str">
        <f t="shared" si="85"/>
        <v>Error?</v>
      </c>
    </row>
    <row r="5558" spans="1:4" x14ac:dyDescent="0.2">
      <c r="A5558" s="5">
        <v>5497</v>
      </c>
      <c r="B5558" s="1831">
        <f>'Revenues 9-14'!F14</f>
        <v>92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92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10801</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10801</v>
      </c>
      <c r="C5587" s="2" t="s">
        <v>569</v>
      </c>
      <c r="D5587" s="2" t="str">
        <f t="shared" si="86"/>
        <v>Error?</v>
      </c>
    </row>
    <row r="5588" spans="1:4" x14ac:dyDescent="0.2">
      <c r="A5588" s="5">
        <v>5527</v>
      </c>
      <c r="B5588" s="1831">
        <f>'Revenues 9-14'!F109</f>
        <v>34268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46601</v>
      </c>
      <c r="D5615" s="2" t="str">
        <f t="shared" si="86"/>
        <v>Error?</v>
      </c>
    </row>
    <row r="5616" spans="1:4" x14ac:dyDescent="0.2">
      <c r="A5616" s="10">
        <v>5555</v>
      </c>
      <c r="B5616" s="1831"/>
      <c r="D5616" s="2" t="str">
        <f t="shared" si="86"/>
        <v>OK</v>
      </c>
    </row>
    <row r="5617" spans="1:5" x14ac:dyDescent="0.2">
      <c r="A5617" s="5">
        <v>5556</v>
      </c>
      <c r="B5617" s="1831">
        <f>'Revenues 9-14'!F153</f>
        <v>20918</v>
      </c>
      <c r="D5617" s="2" t="str">
        <f t="shared" si="86"/>
        <v>Error?</v>
      </c>
    </row>
    <row r="5618" spans="1:5" x14ac:dyDescent="0.2">
      <c r="A5618" s="5">
        <v>5557</v>
      </c>
      <c r="B5618" s="1831">
        <f>'Revenues 9-14'!F155</f>
        <v>67519</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67519</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67519</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101787</v>
      </c>
      <c r="C5720" s="2" t="s">
        <v>569</v>
      </c>
      <c r="D5720" s="2" t="str">
        <f t="shared" si="88"/>
        <v>Error?</v>
      </c>
    </row>
    <row r="5721" spans="1:4" x14ac:dyDescent="0.2">
      <c r="A5721" s="5">
        <v>5660</v>
      </c>
      <c r="B5721" s="1831">
        <f>'Revenues 9-14'!G5</f>
        <v>74440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26299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100739</v>
      </c>
      <c r="C5725" s="2" t="s">
        <v>569</v>
      </c>
      <c r="D5725" s="2" t="str">
        <f t="shared" si="88"/>
        <v>Error?</v>
      </c>
    </row>
    <row r="5726" spans="1:4" x14ac:dyDescent="0.2">
      <c r="A5726" s="5">
        <v>5665</v>
      </c>
      <c r="B5726" s="1831">
        <f>'Revenues 9-14'!G14</f>
        <v>397</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43648</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44045</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144784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147903</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147903</v>
      </c>
      <c r="C5915" s="2" t="s">
        <v>569</v>
      </c>
      <c r="D5915" s="2" t="str">
        <f t="shared" si="91"/>
        <v>Error?</v>
      </c>
    </row>
    <row r="5916" spans="1:4" x14ac:dyDescent="0.2">
      <c r="A5916" s="5">
        <v>5855</v>
      </c>
      <c r="B5916" s="1831">
        <f>'Revenues 9-14'!I5</f>
        <v>8463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8463</v>
      </c>
      <c r="C5918" s="2" t="s">
        <v>569</v>
      </c>
      <c r="D5918" s="2" t="str">
        <f t="shared" si="91"/>
        <v>Error?</v>
      </c>
    </row>
    <row r="5919" spans="1:4" x14ac:dyDescent="0.2">
      <c r="A5919" s="5">
        <v>5858</v>
      </c>
      <c r="B5919" s="1831">
        <f>'Revenues 9-14'!I14</f>
        <v>33</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33</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8496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10778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10778</v>
      </c>
      <c r="C5987" s="2" t="s">
        <v>569</v>
      </c>
      <c r="D5987" s="2" t="str">
        <f t="shared" si="92"/>
        <v>Error?</v>
      </c>
    </row>
    <row r="5988" spans="1:4" x14ac:dyDescent="0.2">
      <c r="A5988" s="5">
        <v>5927</v>
      </c>
      <c r="B5988" s="1831">
        <f>'Revenues 9-14'!K14</f>
        <v>43</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43</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10821</v>
      </c>
      <c r="C6023" s="2" t="s">
        <v>569</v>
      </c>
      <c r="D6023" s="2" t="str">
        <f t="shared" si="93"/>
        <v>Error?</v>
      </c>
    </row>
    <row r="6024" spans="1:5" x14ac:dyDescent="0.2">
      <c r="A6024" s="5">
        <v>5963</v>
      </c>
      <c r="B6024" s="1831">
        <f>'Revenues 9-14'!G109</f>
        <v>144784</v>
      </c>
      <c r="C6024" s="2" t="s">
        <v>569</v>
      </c>
      <c r="D6024" s="2" t="str">
        <f t="shared" si="93"/>
        <v>Error?</v>
      </c>
    </row>
    <row r="6025" spans="1:5" x14ac:dyDescent="0.2">
      <c r="A6025" s="5">
        <v>5964</v>
      </c>
      <c r="B6025" s="1831">
        <f>'Revenues 9-14'!H109</f>
        <v>147903</v>
      </c>
      <c r="C6025" s="2" t="s">
        <v>569</v>
      </c>
      <c r="D6025" s="2" t="str">
        <f t="shared" si="93"/>
        <v>Error?</v>
      </c>
    </row>
    <row r="6026" spans="1:5" x14ac:dyDescent="0.2">
      <c r="A6026" s="5">
        <v>5965</v>
      </c>
      <c r="B6026" s="1831">
        <f>'Revenues 9-14'!I109</f>
        <v>8496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10821</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15765</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8882</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175.44900000000001</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37279</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37279</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37279</v>
      </c>
      <c r="D6216" s="2" t="str">
        <f t="shared" si="96"/>
        <v>Error?</v>
      </c>
      <c r="E6216" s="2" t="s">
        <v>189</v>
      </c>
    </row>
    <row r="6217" spans="1:5" x14ac:dyDescent="0.2">
      <c r="A6217">
        <v>6156</v>
      </c>
      <c r="B6217" s="1831">
        <f>'Assets-Liab 5-6'!J4</f>
        <v>37279</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199852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199852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199852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203173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203173</v>
      </c>
      <c r="D6229" s="2" t="str">
        <f t="shared" si="96"/>
        <v>Error?</v>
      </c>
      <c r="E6229" s="2" t="s">
        <v>189</v>
      </c>
    </row>
    <row r="6230" spans="1:5" x14ac:dyDescent="0.2">
      <c r="A6230">
        <v>6169</v>
      </c>
      <c r="B6230" s="1831">
        <f>'Acct Summary 7-8'!J20</f>
        <v>-3321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-3321</v>
      </c>
      <c r="D6263" s="2" t="str">
        <f t="shared" si="96"/>
        <v>Error?</v>
      </c>
      <c r="E6263" s="2" t="s">
        <v>189</v>
      </c>
    </row>
    <row r="6264" spans="1:5" x14ac:dyDescent="0.2">
      <c r="A6264">
        <v>6203</v>
      </c>
      <c r="B6264" s="1831">
        <f>'Acct Summary 7-8'!J79</f>
        <v>40600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37279</v>
      </c>
      <c r="D6266" s="2" t="str">
        <f t="shared" si="96"/>
        <v>Error?</v>
      </c>
      <c r="E6266" s="2" t="s">
        <v>189</v>
      </c>
    </row>
    <row r="6267" spans="1:5" x14ac:dyDescent="0.2">
      <c r="A6267">
        <v>6206</v>
      </c>
      <c r="B6267" s="1831">
        <f>'Acct Summary 7-8'!C82</f>
        <v>275244</v>
      </c>
      <c r="D6267" s="2" t="str">
        <f t="shared" si="96"/>
        <v>Error?</v>
      </c>
      <c r="E6267" s="2" t="s">
        <v>189</v>
      </c>
    </row>
    <row r="6268" spans="1:5" x14ac:dyDescent="0.2">
      <c r="A6268">
        <v>6207</v>
      </c>
      <c r="B6268" s="1831">
        <f>'Acct Summary 7-8'!D82</f>
        <v>49808</v>
      </c>
      <c r="D6268" s="2" t="str">
        <f t="shared" si="96"/>
        <v>Error?</v>
      </c>
      <c r="E6268" s="2" t="s">
        <v>189</v>
      </c>
    </row>
    <row r="6269" spans="1:5" x14ac:dyDescent="0.2">
      <c r="A6269">
        <v>6208</v>
      </c>
      <c r="B6269" s="1831">
        <f>'Acct Summary 7-8'!E82</f>
        <v>-91</v>
      </c>
      <c r="D6269" s="2" t="str">
        <f t="shared" si="96"/>
        <v>Error?</v>
      </c>
      <c r="E6269" s="2" t="s">
        <v>189</v>
      </c>
    </row>
    <row r="6270" spans="1:5" x14ac:dyDescent="0.2">
      <c r="A6270">
        <v>6209</v>
      </c>
      <c r="B6270" s="1831">
        <f>'Acct Summary 7-8'!F82</f>
        <v>38252</v>
      </c>
      <c r="D6270" s="2" t="str">
        <f t="shared" si="96"/>
        <v>Error?</v>
      </c>
      <c r="E6270" s="2" t="s">
        <v>189</v>
      </c>
    </row>
    <row r="6271" spans="1:5" x14ac:dyDescent="0.2">
      <c r="A6271">
        <v>6210</v>
      </c>
      <c r="B6271" s="1831">
        <f>'Acct Summary 7-8'!G82</f>
        <v>7984</v>
      </c>
      <c r="D6271" s="2" t="str">
        <f t="shared" ref="D6271:D6334" si="97">IF(ISBLANK(B6271),"OK",IF(A6271-B6271=0,"OK","Error?"))</f>
        <v>Error?</v>
      </c>
      <c r="E6271" s="2" t="s">
        <v>189</v>
      </c>
    </row>
    <row r="6272" spans="1:5" x14ac:dyDescent="0.2">
      <c r="A6272">
        <v>6211</v>
      </c>
      <c r="B6272" s="1831">
        <f>'Acct Summary 7-8'!H82</f>
        <v>48449</v>
      </c>
      <c r="D6272" s="2" t="str">
        <f t="shared" si="97"/>
        <v>Error?</v>
      </c>
      <c r="E6272" s="2" t="s">
        <v>189</v>
      </c>
    </row>
    <row r="6273" spans="1:5" x14ac:dyDescent="0.2">
      <c r="A6273">
        <v>6212</v>
      </c>
      <c r="B6273" s="1831">
        <f>'Acct Summary 7-8'!I82</f>
        <v>-46504</v>
      </c>
      <c r="D6273" s="2" t="str">
        <f t="shared" si="97"/>
        <v>Error?</v>
      </c>
      <c r="E6273" s="2" t="s">
        <v>189</v>
      </c>
    </row>
    <row r="6274" spans="1:5" x14ac:dyDescent="0.2">
      <c r="A6274">
        <v>6213</v>
      </c>
      <c r="B6274" s="1831">
        <f>'Acct Summary 7-8'!J82</f>
        <v>-3321</v>
      </c>
      <c r="D6274" s="2" t="str">
        <f t="shared" si="97"/>
        <v>Error?</v>
      </c>
      <c r="E6274" s="2" t="s">
        <v>189</v>
      </c>
    </row>
    <row r="6275" spans="1:5" x14ac:dyDescent="0.2">
      <c r="A6275">
        <v>6214</v>
      </c>
      <c r="B6275" s="1831">
        <f>'Acct Summary 7-8'!K82</f>
        <v>-15900</v>
      </c>
      <c r="D6275" s="2" t="str">
        <f t="shared" si="97"/>
        <v>Error?</v>
      </c>
      <c r="E6275" s="2" t="s">
        <v>189</v>
      </c>
    </row>
    <row r="6276" spans="1:5" x14ac:dyDescent="0.2">
      <c r="A6276">
        <v>6215</v>
      </c>
      <c r="B6276" s="1831">
        <f>'Acct Summary 7-8'!C83</f>
        <v>0.29859697046293576</v>
      </c>
      <c r="D6276" s="2" t="str">
        <f t="shared" si="97"/>
        <v>Error?</v>
      </c>
      <c r="E6276" s="2" t="s">
        <v>189</v>
      </c>
    </row>
    <row r="6277" spans="1:5" x14ac:dyDescent="0.2">
      <c r="A6277">
        <v>6216</v>
      </c>
      <c r="B6277" s="1831">
        <f>'Acct Summary 7-8'!D83</f>
        <v>0.43084268982578761</v>
      </c>
      <c r="D6277" s="2" t="str">
        <f t="shared" si="97"/>
        <v>Error?</v>
      </c>
      <c r="E6277" s="2" t="s">
        <v>189</v>
      </c>
    </row>
    <row r="6278" spans="1:5" x14ac:dyDescent="0.2">
      <c r="A6278">
        <v>6217</v>
      </c>
      <c r="B6278" s="1831">
        <f>'Acct Summary 7-8'!E83</f>
        <v>-4.2936680192507317E-3</v>
      </c>
      <c r="D6278" s="2" t="str">
        <f t="shared" si="97"/>
        <v>Error?</v>
      </c>
      <c r="E6278" s="2" t="s">
        <v>189</v>
      </c>
    </row>
    <row r="6279" spans="1:5" x14ac:dyDescent="0.2">
      <c r="A6279">
        <v>6218</v>
      </c>
      <c r="B6279" s="1831">
        <f>'Acct Summary 7-8'!F83</f>
        <v>0.57076351482415433</v>
      </c>
      <c r="D6279" s="2" t="str">
        <f t="shared" si="97"/>
        <v>Error?</v>
      </c>
      <c r="E6279" s="2" t="s">
        <v>189</v>
      </c>
    </row>
    <row r="6280" spans="1:5" x14ac:dyDescent="0.2">
      <c r="A6280">
        <v>6219</v>
      </c>
      <c r="B6280" s="1831">
        <f>'Acct Summary 7-8'!G83</f>
        <v>0.45630679545064867</v>
      </c>
      <c r="D6280" s="2" t="str">
        <f t="shared" si="97"/>
        <v>Error?</v>
      </c>
      <c r="E6280" s="2" t="s">
        <v>189</v>
      </c>
    </row>
    <row r="6281" spans="1:5" x14ac:dyDescent="0.2">
      <c r="A6281">
        <v>6220</v>
      </c>
      <c r="B6281" s="1831">
        <f>'Acct Summary 7-8'!H83</f>
        <v>2.5705114601018675</v>
      </c>
      <c r="D6281" s="2" t="str">
        <f t="shared" si="97"/>
        <v>Error?</v>
      </c>
      <c r="E6281" s="2" t="s">
        <v>189</v>
      </c>
    </row>
    <row r="6282" spans="1:5" x14ac:dyDescent="0.2">
      <c r="A6282">
        <v>6221</v>
      </c>
      <c r="B6282" s="1831">
        <f>'Acct Summary 7-8'!I83</f>
        <v>-3.4186576490480043</v>
      </c>
      <c r="D6282" s="2" t="str">
        <f t="shared" si="97"/>
        <v>Error?</v>
      </c>
      <c r="E6282" s="2" t="s">
        <v>189</v>
      </c>
    </row>
    <row r="6283" spans="1:5" x14ac:dyDescent="0.2">
      <c r="A6283">
        <v>6222</v>
      </c>
      <c r="B6283" s="1831">
        <f>'Acct Summary 7-8'!J83</f>
        <v>-8.9085007645054851E-2</v>
      </c>
      <c r="D6283" s="2" t="str">
        <f t="shared" si="97"/>
        <v>Error?</v>
      </c>
      <c r="E6283" s="2" t="s">
        <v>189</v>
      </c>
    </row>
    <row r="6284" spans="1:5" x14ac:dyDescent="0.2">
      <c r="A6284">
        <v>6223</v>
      </c>
      <c r="B6284" s="1831">
        <f>'Acct Summary 7-8'!K83</f>
        <v>-0.36542483509917034</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194778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194778</v>
      </c>
      <c r="D6301" s="2" t="str">
        <f t="shared" si="97"/>
        <v>Error?</v>
      </c>
      <c r="E6301" s="2" t="s">
        <v>189</v>
      </c>
    </row>
    <row r="6302" spans="1:5" x14ac:dyDescent="0.2">
      <c r="A6302">
        <v>6241</v>
      </c>
      <c r="B6302" s="1831">
        <f>'Revenues 9-14'!J14</f>
        <v>768</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768</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4306</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4306</v>
      </c>
      <c r="D6351" s="2" t="str">
        <f t="shared" si="98"/>
        <v>Error?</v>
      </c>
      <c r="E6351" s="2" t="s">
        <v>189</v>
      </c>
    </row>
    <row r="6352" spans="1:5" x14ac:dyDescent="0.2">
      <c r="A6352">
        <v>6291</v>
      </c>
      <c r="B6352" s="1831">
        <f>'Revenues 9-14'!J109</f>
        <v>199852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203173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199852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38176</v>
      </c>
      <c r="D7093" s="2" t="str">
        <f t="shared" si="109"/>
        <v>Error?</v>
      </c>
    </row>
    <row r="7094" spans="1:4" x14ac:dyDescent="0.2">
      <c r="A7094">
        <v>7033</v>
      </c>
      <c r="B7094" s="1831">
        <f>'Expenditures 15-22'!K254</f>
        <v>38176</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42818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42818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132224</v>
      </c>
      <c r="D7172" s="2" t="str">
        <f t="shared" si="111"/>
        <v>Error?</v>
      </c>
    </row>
    <row r="7173" spans="1:4" x14ac:dyDescent="0.2">
      <c r="A7173">
        <v>7112</v>
      </c>
      <c r="B7173" s="1831">
        <f>'Expenditures 15-22'!D325</f>
        <v>27731</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159955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400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400</v>
      </c>
      <c r="D7198" s="2" t="str">
        <f t="shared" si="111"/>
        <v>Error?</v>
      </c>
    </row>
    <row r="7199" spans="1:4" x14ac:dyDescent="0.2">
      <c r="A7199">
        <v>7138</v>
      </c>
      <c r="B7199" s="1831">
        <f>'Expenditures 15-22'!C330</f>
        <v>132224</v>
      </c>
      <c r="D7199" s="2" t="str">
        <f t="shared" si="111"/>
        <v>Error?</v>
      </c>
    </row>
    <row r="7200" spans="1:4" x14ac:dyDescent="0.2">
      <c r="A7200">
        <v>7139</v>
      </c>
      <c r="B7200" s="1831">
        <f>'Expenditures 15-22'!D330</f>
        <v>27731</v>
      </c>
      <c r="D7200" s="2" t="str">
        <f t="shared" si="111"/>
        <v>Error?</v>
      </c>
    </row>
    <row r="7201" spans="1:4" x14ac:dyDescent="0.2">
      <c r="A7201">
        <v>7140</v>
      </c>
      <c r="B7201" s="1831">
        <f>'Expenditures 15-22'!E330</f>
        <v>43218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203173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132224</v>
      </c>
      <c r="D7216" s="2" t="str">
        <f t="shared" si="111"/>
        <v>Error?</v>
      </c>
    </row>
    <row r="7217" spans="1:4" x14ac:dyDescent="0.2">
      <c r="A7217">
        <v>7156</v>
      </c>
      <c r="B7217" s="1831">
        <f>'Expenditures 15-22'!D342</f>
        <v>27731</v>
      </c>
      <c r="D7217" s="2" t="str">
        <f t="shared" si="111"/>
        <v>Error?</v>
      </c>
    </row>
    <row r="7218" spans="1:4" x14ac:dyDescent="0.2">
      <c r="A7218">
        <v>7157</v>
      </c>
      <c r="B7218" s="1831">
        <f>'Expenditures 15-22'!E342</f>
        <v>43218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203173</v>
      </c>
      <c r="D7224" s="2" t="str">
        <f t="shared" si="111"/>
        <v>Error?</v>
      </c>
    </row>
    <row r="7225" spans="1:4" x14ac:dyDescent="0.2">
      <c r="A7225">
        <v>7164</v>
      </c>
      <c r="B7225" s="1831">
        <f>'Expenditures 15-22'!K343</f>
        <v>-3321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124509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147903</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147903</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3933</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99454</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5585</v>
      </c>
      <c r="D7724" s="2" t="str">
        <f t="shared" si="126"/>
        <v>Error?</v>
      </c>
      <c r="E7724" s="2" t="s">
        <v>822</v>
      </c>
      <c r="F7724" s="2"/>
    </row>
    <row r="7725" spans="1:6" x14ac:dyDescent="0.2">
      <c r="A7725">
        <v>7664</v>
      </c>
      <c r="B7725" s="1831">
        <f>'Rest Tax Levies-Tort Im 25'!J19</f>
        <v>42864</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48449</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147903</v>
      </c>
      <c r="D7730" s="2" t="str">
        <f t="shared" si="126"/>
        <v>Error?</v>
      </c>
      <c r="E7730" s="2" t="s">
        <v>822</v>
      </c>
    </row>
    <row r="7731" spans="1:6" x14ac:dyDescent="0.2">
      <c r="A7731">
        <v>7670</v>
      </c>
      <c r="B7731" s="1831">
        <f>'Revenues 9-14'!H103</f>
        <v>147903</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55000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1996</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500000</v>
      </c>
      <c r="D7817" s="2" t="str">
        <f t="shared" si="128"/>
        <v>Error?</v>
      </c>
      <c r="E7817" s="4" t="s">
        <v>1965</v>
      </c>
    </row>
    <row r="7818" spans="1:5" x14ac:dyDescent="0.2">
      <c r="A7818">
        <v>7757</v>
      </c>
      <c r="B7818" s="1831">
        <f>'PCTC-OEPP 27-28'!F172</f>
        <v>79017</v>
      </c>
      <c r="D7818" s="2" t="str">
        <f t="shared" si="128"/>
        <v>Error?</v>
      </c>
      <c r="E7818" s="4" t="s">
        <v>1979</v>
      </c>
    </row>
    <row r="7819" spans="1:5" x14ac:dyDescent="0.2">
      <c r="A7819">
        <v>7758</v>
      </c>
      <c r="B7819" s="1831">
        <f>'PCTC-OEPP 27-28'!F173</f>
        <v>0</v>
      </c>
      <c r="D7819" s="2" t="str">
        <f t="shared" si="128"/>
        <v>Error?</v>
      </c>
      <c r="E7819" s="4" t="s">
        <v>1979</v>
      </c>
    </row>
    <row r="7820" spans="1:5" x14ac:dyDescent="0.2">
      <c r="A7820">
        <v>7759</v>
      </c>
      <c r="B7820" s="1831">
        <f>'ICR Computation 30'!E40</f>
        <v>-21056</v>
      </c>
      <c r="D7820" s="2" t="str">
        <f t="shared" si="128"/>
        <v>Error?</v>
      </c>
    </row>
    <row r="7821" spans="1:5" x14ac:dyDescent="0.2">
      <c r="A7821">
        <v>7760</v>
      </c>
      <c r="B7821" s="1831">
        <f>'ICR Computation 30'!G40</f>
        <v>-21056</v>
      </c>
      <c r="D7821" s="2" t="str">
        <f t="shared" si="128"/>
        <v>Error?</v>
      </c>
    </row>
    <row r="7822" spans="1:5" x14ac:dyDescent="0.2">
      <c r="A7822" s="1">
        <v>7761</v>
      </c>
      <c r="B7822" s="1831">
        <f>'PCTC-OEPP 27-28'!F14</f>
        <v>2419150</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0</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215</v>
      </c>
      <c r="D7830" s="2" t="str">
        <f t="shared" si="129"/>
        <v>Error?</v>
      </c>
      <c r="E7830" s="4" t="s">
        <v>1997</v>
      </c>
    </row>
    <row r="7831" spans="1:5" x14ac:dyDescent="0.2">
      <c r="A7831">
        <v>7770</v>
      </c>
      <c r="B7831" s="1831">
        <f>'PCTC-OEPP 27-28'!F52</f>
        <v>1628</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293226</v>
      </c>
      <c r="D7834" s="2" t="str">
        <f t="shared" si="129"/>
        <v>Error?</v>
      </c>
      <c r="E7834" s="4" t="s">
        <v>1997</v>
      </c>
    </row>
    <row r="7835" spans="1:5" x14ac:dyDescent="0.2">
      <c r="A7835">
        <v>7774</v>
      </c>
      <c r="B7835" s="1831">
        <f>'PCTC-OEPP 27-28'!F78</f>
        <v>2125924</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12117.048259038238</v>
      </c>
      <c r="D7837" s="2" t="str">
        <f t="shared" si="129"/>
        <v>Error?</v>
      </c>
      <c r="E7837" s="4" t="s">
        <v>1997</v>
      </c>
    </row>
    <row r="7838" spans="1:5" x14ac:dyDescent="0.2">
      <c r="A7838">
        <v>7777</v>
      </c>
      <c r="B7838" s="1831">
        <f>'PCTC-OEPP 27-28'!F96</f>
        <v>11132</v>
      </c>
      <c r="D7838" s="2" t="str">
        <f t="shared" si="129"/>
        <v>Error?</v>
      </c>
      <c r="E7838" s="4" t="s">
        <v>1997</v>
      </c>
    </row>
    <row r="7839" spans="1:5" x14ac:dyDescent="0.2">
      <c r="A7839">
        <v>7778</v>
      </c>
      <c r="B7839" s="1831">
        <f>'PCTC-OEPP 27-28'!F102</f>
        <v>210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25927</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67519</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750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10336</v>
      </c>
      <c r="D7857" s="2" t="str">
        <f t="shared" si="129"/>
        <v>Error?</v>
      </c>
      <c r="E7857" s="4" t="s">
        <v>1997</v>
      </c>
    </row>
    <row r="7858" spans="1:5" x14ac:dyDescent="0.2">
      <c r="A7858">
        <v>7797</v>
      </c>
      <c r="B7858" s="1831">
        <f>'PCTC-OEPP 27-28'!F126</f>
        <v>98299</v>
      </c>
      <c r="D7858" s="2" t="str">
        <f t="shared" si="129"/>
        <v>Error?</v>
      </c>
      <c r="E7858" s="4" t="s">
        <v>1997</v>
      </c>
    </row>
    <row r="7859" spans="1:5" x14ac:dyDescent="0.2">
      <c r="A7859">
        <v>7798</v>
      </c>
      <c r="B7859" s="1831">
        <f>'PCTC-OEPP 27-28'!F127</f>
        <v>160300</v>
      </c>
      <c r="D7859" s="2" t="str">
        <f t="shared" si="129"/>
        <v>Error?</v>
      </c>
      <c r="E7859" s="4" t="s">
        <v>1997</v>
      </c>
    </row>
    <row r="7860" spans="1:5" x14ac:dyDescent="0.2">
      <c r="A7860">
        <v>7799</v>
      </c>
      <c r="B7860" s="1831">
        <f>'PCTC-OEPP 27-28'!F128</f>
        <v>15003</v>
      </c>
      <c r="D7860" s="2" t="str">
        <f t="shared" si="129"/>
        <v>Error?</v>
      </c>
      <c r="E7860" s="4" t="s">
        <v>1997</v>
      </c>
    </row>
    <row r="7861" spans="1:5" x14ac:dyDescent="0.2">
      <c r="A7861">
        <v>7800</v>
      </c>
      <c r="B7861" s="1831">
        <f>'PCTC-OEPP 27-28'!F129</f>
        <v>48816</v>
      </c>
      <c r="D7861" s="2" t="str">
        <f t="shared" si="129"/>
        <v>Error?</v>
      </c>
      <c r="E7861" s="4" t="s">
        <v>1997</v>
      </c>
    </row>
    <row r="7862" spans="1:5" x14ac:dyDescent="0.2">
      <c r="A7862">
        <v>7801</v>
      </c>
      <c r="B7862" s="1831">
        <f>'PCTC-OEPP 27-28'!F130</f>
        <v>0</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0</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0</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3437</v>
      </c>
      <c r="D7874" s="2" t="str">
        <f t="shared" si="129"/>
        <v>Error?</v>
      </c>
      <c r="E7874" s="4" t="s">
        <v>1997</v>
      </c>
    </row>
    <row r="7875" spans="1:5" x14ac:dyDescent="0.2">
      <c r="A7875">
        <v>7814</v>
      </c>
      <c r="B7875" s="1831">
        <f>'PCTC-OEPP 27-28'!F170</f>
        <v>20464</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612686</v>
      </c>
      <c r="D7877" s="2" t="str">
        <f t="shared" si="129"/>
        <v>Error?</v>
      </c>
      <c r="E7877" s="4" t="s">
        <v>1997</v>
      </c>
    </row>
    <row r="7878" spans="1:5" x14ac:dyDescent="0.2">
      <c r="A7878">
        <v>7817</v>
      </c>
      <c r="B7878" s="1831">
        <f>'PCTC-OEPP 27-28'!F176</f>
        <v>1513238</v>
      </c>
      <c r="D7878" s="2" t="str">
        <f t="shared" si="129"/>
        <v>Error?</v>
      </c>
      <c r="E7878" s="4" t="s">
        <v>1997</v>
      </c>
    </row>
    <row r="7879" spans="1:5" x14ac:dyDescent="0.2">
      <c r="A7879">
        <v>7818</v>
      </c>
      <c r="B7879" s="1831">
        <f>'PCTC-OEPP 27-28'!F178</f>
        <v>1637747</v>
      </c>
      <c r="D7879" s="2" t="str">
        <f t="shared" si="129"/>
        <v>Error?</v>
      </c>
      <c r="E7879" s="4" t="s">
        <v>1997</v>
      </c>
    </row>
    <row r="7880" spans="1:5" x14ac:dyDescent="0.2">
      <c r="A7880">
        <v>7819</v>
      </c>
      <c r="B7880" s="1831">
        <f>'PCTC-OEPP 27-28'!F180</f>
        <v>9334.6043579615725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zoomScale="110" zoomScaleNormal="110" workbookViewId="0">
      <selection activeCell="N23" sqref="N2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2" t="str">
        <f>'Single Audit Cover'!A7</f>
        <v>Desoto Cons SD 86</v>
      </c>
      <c r="C1" s="2493"/>
      <c r="D1" s="2493"/>
      <c r="E1" s="2493"/>
      <c r="F1" s="2493"/>
      <c r="G1" s="2493"/>
      <c r="H1" s="2493"/>
      <c r="I1" s="2493"/>
      <c r="J1" s="1178"/>
    </row>
    <row r="2" spans="2:10" s="295" customFormat="1" ht="12.75" customHeight="1" x14ac:dyDescent="0.2">
      <c r="B2" s="2494">
        <f>'Single Audit Cover'!E7</f>
        <v>30039086003</v>
      </c>
      <c r="C2" s="2495"/>
      <c r="D2" s="2495"/>
      <c r="E2" s="2495"/>
      <c r="F2" s="2495"/>
      <c r="G2" s="2495"/>
      <c r="H2" s="2495"/>
      <c r="I2" s="2495"/>
      <c r="J2" s="1178"/>
    </row>
    <row r="3" spans="2:10" s="295" customFormat="1" ht="12.75" customHeight="1" x14ac:dyDescent="0.2">
      <c r="B3" s="2496" t="s">
        <v>1276</v>
      </c>
      <c r="C3" s="2497"/>
      <c r="D3" s="2497"/>
      <c r="E3" s="2497"/>
      <c r="F3" s="2497"/>
      <c r="G3" s="2497"/>
      <c r="H3" s="2497"/>
      <c r="I3" s="2497"/>
      <c r="J3" s="1179"/>
    </row>
    <row r="4" spans="2:10" s="295" customFormat="1" ht="12.75" customHeight="1" x14ac:dyDescent="0.2">
      <c r="B4" s="2496" t="str">
        <f>'Single Audit Cover'!A4</f>
        <v>Year Ending June 30, 2020</v>
      </c>
      <c r="C4" s="2497"/>
      <c r="D4" s="2497"/>
      <c r="E4" s="2497"/>
      <c r="F4" s="2497"/>
      <c r="G4" s="2497"/>
      <c r="H4" s="2497"/>
      <c r="I4" s="2497"/>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496" t="s">
        <v>1275</v>
      </c>
      <c r="C7" s="2497"/>
      <c r="D7" s="2497"/>
      <c r="E7" s="2497"/>
      <c r="F7" s="2497"/>
      <c r="G7" s="2497"/>
      <c r="H7" s="2497"/>
      <c r="I7" s="2497"/>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498" t="s">
        <v>1156</v>
      </c>
      <c r="D11" s="2498"/>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2047</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2047</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499"/>
      <c r="E29" s="2499"/>
      <c r="F29" s="2499"/>
      <c r="G29" s="2499"/>
      <c r="H29" s="2499"/>
      <c r="I29" s="2499"/>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00" t="s">
        <v>1731</v>
      </c>
      <c r="D37" s="2501"/>
      <c r="E37" s="2501"/>
      <c r="F37" s="2502"/>
      <c r="G37" s="2500" t="s">
        <v>1578</v>
      </c>
      <c r="H37" s="2501"/>
      <c r="I37" s="2502"/>
    </row>
    <row r="38" spans="2:9" ht="16.5" customHeight="1" x14ac:dyDescent="0.2">
      <c r="B38" s="1200"/>
      <c r="C38" s="2488"/>
      <c r="D38" s="2489"/>
      <c r="E38" s="2489"/>
      <c r="F38" s="2490"/>
      <c r="G38" s="2503"/>
      <c r="H38" s="2504"/>
      <c r="I38" s="2505"/>
    </row>
    <row r="39" spans="2:9" ht="16.5" customHeight="1" x14ac:dyDescent="0.2">
      <c r="B39" s="1200"/>
      <c r="C39" s="2488"/>
      <c r="D39" s="2489"/>
      <c r="E39" s="2489"/>
      <c r="F39" s="2490"/>
      <c r="G39" s="2491"/>
      <c r="H39" s="2491"/>
      <c r="I39" s="2491"/>
    </row>
    <row r="40" spans="2:9" ht="16.5" customHeight="1" x14ac:dyDescent="0.2">
      <c r="B40" s="1200"/>
      <c r="C40" s="2488"/>
      <c r="D40" s="2489"/>
      <c r="E40" s="2489"/>
      <c r="F40" s="2490"/>
      <c r="G40" s="2491"/>
      <c r="H40" s="2491"/>
      <c r="I40" s="2491"/>
    </row>
    <row r="41" spans="2:9" ht="16.5" customHeight="1" x14ac:dyDescent="0.2">
      <c r="B41" s="1200"/>
      <c r="C41" s="2488"/>
      <c r="D41" s="2489"/>
      <c r="E41" s="2489"/>
      <c r="F41" s="2490"/>
      <c r="G41" s="2491"/>
      <c r="H41" s="2491"/>
      <c r="I41" s="2491"/>
    </row>
    <row r="42" spans="2:9" ht="16.5" customHeight="1" x14ac:dyDescent="0.2">
      <c r="B42" s="1200"/>
      <c r="C42" s="2488"/>
      <c r="D42" s="2489"/>
      <c r="E42" s="2489"/>
      <c r="F42" s="2490"/>
      <c r="G42" s="2491"/>
      <c r="H42" s="2491"/>
      <c r="I42" s="2491"/>
    </row>
    <row r="43" spans="2:9" ht="16.5" customHeight="1" x14ac:dyDescent="0.2">
      <c r="B43" s="1200"/>
      <c r="C43" s="2506" t="s">
        <v>1579</v>
      </c>
      <c r="D43" s="2507"/>
      <c r="E43" s="2507"/>
      <c r="F43" s="2508"/>
      <c r="G43" s="2509">
        <f>SUM(G38:I42)</f>
        <v>0</v>
      </c>
      <c r="H43" s="2509"/>
      <c r="I43" s="2509"/>
    </row>
    <row r="44" spans="2:9" ht="12.75" customHeight="1" x14ac:dyDescent="0.2"/>
    <row r="45" spans="2:9" ht="12.75" customHeight="1" x14ac:dyDescent="0.2">
      <c r="B45" s="1912" t="str">
        <f>"Total Federal Expenditures for 7/1/"&amp;MID('AFR20'!E2,3,2)-1&amp;"-6/30/"&amp;MID('AFR20'!E2,3,2)</f>
        <v>Total Federal Expenditures for 7/1/19-6/30/20</v>
      </c>
      <c r="C45" s="1913"/>
      <c r="D45" s="2510">
        <v>0</v>
      </c>
      <c r="E45" s="2511"/>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12"/>
      <c r="F49" s="2512"/>
      <c r="G49" s="2512"/>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9" firstPageNumber="39" orientation="portrait" useFirstPageNumber="1" r:id="rId1"/>
  <headerFooter alignWithMargins="0">
    <oddFooter>&amp;C&amp;"Times New Roman,Regular"&amp;11Page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topLeftCell="A13" zoomScale="110" zoomScaleNormal="110" workbookViewId="0">
      <selection activeCell="I16" sqref="I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2" t="str">
        <f>'Single Audit Cover'!A7</f>
        <v>Desoto Cons SD 86</v>
      </c>
      <c r="C1" s="2492"/>
      <c r="D1" s="2492"/>
      <c r="E1" s="2492"/>
      <c r="F1" s="2492"/>
      <c r="G1" s="2492"/>
      <c r="H1" s="2492"/>
      <c r="I1" s="2492"/>
      <c r="J1" s="2492"/>
      <c r="K1" s="2492"/>
      <c r="L1" s="1144"/>
      <c r="M1" s="1144"/>
    </row>
    <row r="2" spans="1:13" ht="12" customHeight="1" x14ac:dyDescent="0.2">
      <c r="B2" s="2494">
        <f>'Single Audit Cover'!E7</f>
        <v>30039086003</v>
      </c>
      <c r="C2" s="2494"/>
      <c r="D2" s="2494"/>
      <c r="E2" s="2494"/>
      <c r="F2" s="2494"/>
      <c r="G2" s="2494"/>
      <c r="H2" s="2494"/>
      <c r="I2" s="2494"/>
      <c r="J2" s="2494"/>
      <c r="K2" s="2494"/>
      <c r="L2" s="1145"/>
      <c r="M2" s="1146"/>
    </row>
    <row r="3" spans="1:13" ht="10.35" customHeight="1" x14ac:dyDescent="0.2">
      <c r="B3" s="2515" t="s">
        <v>1276</v>
      </c>
      <c r="C3" s="2515"/>
      <c r="D3" s="2515"/>
      <c r="E3" s="2515"/>
      <c r="F3" s="2515"/>
      <c r="G3" s="2515"/>
      <c r="H3" s="2515"/>
      <c r="I3" s="2515"/>
      <c r="J3" s="2515"/>
      <c r="K3" s="2515"/>
      <c r="L3" s="1147"/>
      <c r="M3" s="1147"/>
    </row>
    <row r="4" spans="1:13" ht="14.25" customHeight="1" x14ac:dyDescent="0.2">
      <c r="B4" s="2516" t="str">
        <f>'Single Audit Cover'!A4</f>
        <v>Year Ending June 30, 2020</v>
      </c>
      <c r="C4" s="2516"/>
      <c r="D4" s="2516"/>
      <c r="E4" s="2516"/>
      <c r="F4" s="2516"/>
      <c r="G4" s="2516"/>
      <c r="H4" s="2516"/>
      <c r="I4" s="2516"/>
      <c r="J4" s="2516"/>
      <c r="K4" s="2516"/>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16" t="s">
        <v>1287</v>
      </c>
      <c r="C7" s="2516"/>
      <c r="D7" s="2517"/>
      <c r="E7" s="2517"/>
      <c r="F7" s="2517"/>
      <c r="G7" s="2517"/>
      <c r="H7" s="2517"/>
      <c r="I7" s="2517"/>
      <c r="J7" s="2517"/>
      <c r="K7" s="25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1</v>
      </c>
      <c r="E10" s="300"/>
      <c r="F10" s="1156" t="s">
        <v>1286</v>
      </c>
      <c r="G10" s="1157"/>
      <c r="H10" s="1158" t="s">
        <v>1285</v>
      </c>
      <c r="I10" s="1157" t="s">
        <v>2047</v>
      </c>
      <c r="J10" s="1159" t="s">
        <v>1284</v>
      </c>
      <c r="K10" s="300"/>
      <c r="L10" s="1151"/>
    </row>
    <row r="11" spans="1:13" ht="13.5" customHeight="1" x14ac:dyDescent="0.2">
      <c r="B11" s="300"/>
      <c r="C11" s="300"/>
      <c r="D11" s="300"/>
      <c r="E11" s="300"/>
      <c r="F11" s="300"/>
      <c r="G11" s="1153"/>
      <c r="H11" s="300"/>
      <c r="I11" s="1160" t="s">
        <v>1283</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4" t="s">
        <v>2050</v>
      </c>
      <c r="C14" s="2514"/>
      <c r="D14" s="2514"/>
      <c r="E14" s="2514"/>
      <c r="F14" s="2514"/>
      <c r="G14" s="2514"/>
      <c r="H14" s="2514"/>
      <c r="I14" s="2514"/>
      <c r="J14" s="2514"/>
      <c r="K14" s="25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4" t="s">
        <v>2051</v>
      </c>
      <c r="C17" s="2514"/>
      <c r="D17" s="2514"/>
      <c r="E17" s="2514"/>
      <c r="F17" s="2514"/>
      <c r="G17" s="2514"/>
      <c r="H17" s="2514"/>
      <c r="I17" s="2514"/>
      <c r="J17" s="2514"/>
      <c r="K17" s="25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18" t="s">
        <v>2052</v>
      </c>
      <c r="C20" s="2518"/>
      <c r="D20" s="2514"/>
      <c r="E20" s="2514"/>
      <c r="F20" s="2514"/>
      <c r="G20" s="2514"/>
      <c r="H20" s="2514"/>
      <c r="I20" s="2514"/>
      <c r="J20" s="2514"/>
      <c r="K20" s="25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4" t="s">
        <v>2053</v>
      </c>
      <c r="C23" s="2514"/>
      <c r="D23" s="2514"/>
      <c r="E23" s="2514"/>
      <c r="F23" s="2514"/>
      <c r="G23" s="2514"/>
      <c r="H23" s="2514"/>
      <c r="I23" s="2514"/>
      <c r="J23" s="2514"/>
      <c r="K23" s="25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4" t="s">
        <v>2054</v>
      </c>
      <c r="C26" s="2514"/>
      <c r="D26" s="2514"/>
      <c r="E26" s="2514"/>
      <c r="F26" s="2514"/>
      <c r="G26" s="2514"/>
      <c r="H26" s="2514"/>
      <c r="I26" s="2514"/>
      <c r="J26" s="2514"/>
      <c r="K26" s="25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3" t="s">
        <v>2055</v>
      </c>
      <c r="C29" s="2513"/>
      <c r="D29" s="2514"/>
      <c r="E29" s="2514"/>
      <c r="F29" s="2514"/>
      <c r="G29" s="2514"/>
      <c r="H29" s="2514"/>
      <c r="I29" s="2514"/>
      <c r="J29" s="2514"/>
      <c r="K29" s="25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3" t="s">
        <v>2056</v>
      </c>
      <c r="C32" s="2513"/>
      <c r="D32" s="2514"/>
      <c r="E32" s="2514"/>
      <c r="F32" s="2514"/>
      <c r="G32" s="2514"/>
      <c r="H32" s="2514"/>
      <c r="I32" s="2514"/>
      <c r="J32" s="2514"/>
      <c r="K32" s="25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Footer>&amp;C&amp;"Times New Roman,Regular"&amp;11Page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3"/>
  <sheetViews>
    <sheetView showGridLines="0" zoomScale="110" zoomScaleNormal="110" workbookViewId="0">
      <selection activeCell="B3" sqref="B3:F3"/>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492" t="str">
        <f>'Single Audit Cover'!A7</f>
        <v>Desoto Cons SD 86</v>
      </c>
      <c r="C1" s="2492"/>
      <c r="D1" s="2492"/>
      <c r="E1" s="2492"/>
      <c r="F1" s="2492"/>
      <c r="G1" s="1240"/>
    </row>
    <row r="2" spans="2:7" s="1058" customFormat="1" ht="12.75" customHeight="1" x14ac:dyDescent="0.2">
      <c r="B2" s="2494">
        <f>'Single Audit Cover'!E7</f>
        <v>30039086003</v>
      </c>
      <c r="C2" s="2494"/>
      <c r="D2" s="2494"/>
      <c r="E2" s="2494"/>
      <c r="F2" s="2494"/>
      <c r="G2" s="1241"/>
    </row>
    <row r="3" spans="2:7" ht="12.75" customHeight="1" x14ac:dyDescent="0.2">
      <c r="B3" s="2515" t="s">
        <v>1746</v>
      </c>
      <c r="C3" s="2515"/>
      <c r="D3" s="2515"/>
      <c r="E3" s="2515"/>
      <c r="F3" s="2515"/>
      <c r="G3" s="1050"/>
    </row>
    <row r="4" spans="2:7" s="1058" customFormat="1" ht="12.75" customHeight="1" x14ac:dyDescent="0.2">
      <c r="B4" s="2519" t="str">
        <f>'Single Audit Cover'!A4</f>
        <v>Year Ending June 30, 2020</v>
      </c>
      <c r="C4" s="2519"/>
      <c r="D4" s="2519"/>
      <c r="E4" s="2519"/>
      <c r="F4" s="2519"/>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ht="76.5" x14ac:dyDescent="0.2">
      <c r="B8" s="2033" t="s">
        <v>2057</v>
      </c>
      <c r="C8" s="2033"/>
      <c r="D8" s="2031" t="s">
        <v>2058</v>
      </c>
      <c r="E8" s="2031"/>
      <c r="F8" s="2031" t="s">
        <v>2059</v>
      </c>
      <c r="G8" s="302"/>
    </row>
    <row r="9" spans="2:7" ht="13.5" customHeight="1" x14ac:dyDescent="0.2">
      <c r="B9" s="2030"/>
      <c r="C9" s="2030"/>
      <c r="D9" s="2032"/>
      <c r="E9" s="2032"/>
      <c r="F9" s="2032"/>
      <c r="G9" s="301"/>
    </row>
    <row r="10" spans="2:7" ht="13.5" customHeight="1" x14ac:dyDescent="0.2">
      <c r="B10" s="2030"/>
      <c r="C10" s="2030"/>
      <c r="D10" s="2032"/>
      <c r="E10" s="2032"/>
      <c r="F10" s="2032"/>
      <c r="G10" s="301"/>
    </row>
    <row r="11" spans="2:7" ht="51" x14ac:dyDescent="0.2">
      <c r="B11" s="2033" t="s">
        <v>2060</v>
      </c>
      <c r="C11" s="2030"/>
      <c r="D11" s="2032" t="s">
        <v>2061</v>
      </c>
      <c r="E11" s="2032"/>
      <c r="F11" s="2032" t="s">
        <v>2062</v>
      </c>
      <c r="G11" s="301"/>
    </row>
    <row r="12" spans="2:7" ht="13.5" customHeight="1" x14ac:dyDescent="0.2">
      <c r="B12" s="2030"/>
      <c r="C12" s="2030"/>
      <c r="D12" s="2032"/>
      <c r="E12" s="2032"/>
      <c r="F12" s="2032"/>
      <c r="G12" s="301"/>
    </row>
    <row r="13" spans="2:7" ht="13.5" customHeight="1" x14ac:dyDescent="0.2">
      <c r="B13" s="2030"/>
      <c r="C13" s="2030"/>
      <c r="D13" s="2032"/>
      <c r="E13" s="2032"/>
      <c r="F13" s="2032"/>
      <c r="G13" s="301"/>
    </row>
    <row r="14" spans="2:7" ht="13.5" customHeight="1" x14ac:dyDescent="0.2">
      <c r="B14" s="2030"/>
      <c r="C14" s="2030"/>
      <c r="D14" s="2032"/>
      <c r="E14" s="2032"/>
      <c r="F14" s="2032"/>
      <c r="G14" s="301"/>
    </row>
    <row r="15" spans="2:7" ht="13.5" customHeight="1" x14ac:dyDescent="0.2">
      <c r="B15" s="2030"/>
      <c r="C15" s="2030"/>
      <c r="D15" s="2032"/>
      <c r="E15" s="2032"/>
      <c r="F15" s="2032"/>
      <c r="G15" s="301"/>
    </row>
    <row r="16" spans="2:7" ht="13.5" customHeight="1" x14ac:dyDescent="0.2">
      <c r="B16" s="2030"/>
      <c r="C16" s="2030"/>
      <c r="D16" s="2032"/>
      <c r="E16" s="2032"/>
      <c r="F16" s="2032"/>
      <c r="G16" s="301"/>
    </row>
    <row r="17" spans="2:7" ht="13.5" customHeight="1" x14ac:dyDescent="0.2">
      <c r="B17" s="2030"/>
      <c r="C17" s="2030"/>
      <c r="D17" s="2032"/>
      <c r="E17" s="2032"/>
      <c r="F17" s="2032"/>
      <c r="G17" s="301"/>
    </row>
    <row r="18" spans="2:7" ht="13.5" customHeight="1" x14ac:dyDescent="0.2">
      <c r="B18" s="2030"/>
      <c r="C18" s="2030"/>
      <c r="D18" s="2032"/>
      <c r="E18" s="2032"/>
      <c r="F18" s="2032"/>
      <c r="G18" s="301"/>
    </row>
    <row r="19" spans="2:7" ht="13.5" customHeight="1" x14ac:dyDescent="0.2">
      <c r="B19" s="2030"/>
      <c r="C19" s="2030"/>
      <c r="D19" s="2032"/>
      <c r="E19" s="2032"/>
      <c r="F19" s="2032"/>
      <c r="G19" s="301"/>
    </row>
    <row r="20" spans="2:7" ht="13.5" customHeight="1" x14ac:dyDescent="0.2">
      <c r="B20" s="2030"/>
      <c r="C20" s="2030"/>
      <c r="D20" s="2032"/>
      <c r="E20" s="2032"/>
      <c r="F20" s="2032"/>
      <c r="G20" s="301"/>
    </row>
    <row r="21" spans="2:7" ht="13.5" customHeight="1" x14ac:dyDescent="0.2">
      <c r="B21" s="2030"/>
      <c r="C21" s="2030"/>
      <c r="D21" s="2032"/>
      <c r="E21" s="2032"/>
      <c r="F21" s="2032"/>
      <c r="G21" s="301"/>
    </row>
    <row r="22" spans="2:7" ht="13.5" customHeight="1" x14ac:dyDescent="0.2">
      <c r="B22" s="2030"/>
      <c r="C22" s="2030"/>
      <c r="D22" s="2032"/>
      <c r="E22" s="2032"/>
      <c r="F22" s="2032"/>
      <c r="G22" s="301"/>
    </row>
    <row r="23" spans="2:7" ht="13.5" customHeight="1" x14ac:dyDescent="0.2">
      <c r="B23" s="2030"/>
      <c r="C23" s="2030"/>
      <c r="D23" s="2032"/>
      <c r="E23" s="2032"/>
      <c r="F23" s="2032"/>
      <c r="G23" s="301"/>
    </row>
    <row r="24" spans="2:7" ht="13.5" customHeight="1" x14ac:dyDescent="0.2">
      <c r="B24" s="2030"/>
      <c r="C24" s="2030"/>
      <c r="D24" s="2032"/>
      <c r="E24" s="2032"/>
      <c r="F24" s="2032"/>
      <c r="G24" s="301"/>
    </row>
    <row r="25" spans="2:7" ht="13.5" customHeight="1" x14ac:dyDescent="0.2">
      <c r="B25" s="2030"/>
      <c r="C25" s="2030"/>
      <c r="D25" s="2032"/>
      <c r="E25" s="2032"/>
      <c r="F25" s="2032"/>
      <c r="G25" s="301"/>
    </row>
    <row r="26" spans="2:7" ht="13.5" customHeight="1" x14ac:dyDescent="0.2">
      <c r="B26" s="2030"/>
      <c r="C26" s="2030"/>
      <c r="D26" s="2032"/>
      <c r="E26" s="2032"/>
      <c r="F26" s="2032"/>
      <c r="G26" s="301"/>
    </row>
    <row r="27" spans="2:7" ht="13.5" customHeight="1" x14ac:dyDescent="0.2">
      <c r="B27" s="2030"/>
      <c r="C27" s="2030"/>
      <c r="D27" s="2032"/>
      <c r="E27" s="2032"/>
      <c r="F27" s="2032"/>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5"/>
      <c r="C31" s="1245"/>
      <c r="D31" s="301"/>
      <c r="E31" s="301"/>
      <c r="F31" s="301"/>
      <c r="G31" s="301"/>
    </row>
    <row r="32" spans="2:7" ht="13.5" customHeight="1" x14ac:dyDescent="0.2">
      <c r="B32" s="1246"/>
      <c r="C32" s="1246"/>
      <c r="D32" s="301"/>
      <c r="E32" s="301"/>
      <c r="F32" s="301"/>
      <c r="G32" s="301"/>
    </row>
    <row r="33" spans="2:7" ht="13.5" customHeight="1" x14ac:dyDescent="0.2">
      <c r="B33" s="1247"/>
      <c r="C33" s="1247"/>
      <c r="D33" s="301"/>
      <c r="E33" s="301"/>
      <c r="F33" s="301"/>
      <c r="G33" s="301"/>
    </row>
    <row r="34" spans="2:7" ht="13.5" customHeight="1" x14ac:dyDescent="0.2">
      <c r="B34" s="1248"/>
      <c r="C34" s="1248"/>
      <c r="D34" s="301"/>
      <c r="E34" s="301"/>
      <c r="F34" s="301"/>
      <c r="G34" s="301"/>
    </row>
    <row r="35" spans="2:7" ht="13.5" customHeight="1" x14ac:dyDescent="0.2">
      <c r="B35" s="1247"/>
      <c r="C35" s="1247"/>
      <c r="D35" s="301"/>
      <c r="E35" s="301"/>
      <c r="F35" s="301"/>
      <c r="G35" s="301"/>
    </row>
    <row r="36" spans="2:7" ht="13.5" customHeight="1" x14ac:dyDescent="0.2">
      <c r="B36" s="1248"/>
      <c r="C36" s="1248"/>
      <c r="D36" s="301"/>
      <c r="E36" s="301"/>
      <c r="F36" s="301"/>
      <c r="G36" s="301"/>
    </row>
    <row r="37" spans="2:7" ht="13.5" customHeight="1" x14ac:dyDescent="0.2">
      <c r="B37" s="1248"/>
      <c r="C37" s="1248"/>
      <c r="D37" s="301"/>
      <c r="E37" s="301"/>
      <c r="F37" s="301"/>
      <c r="G37" s="301"/>
    </row>
    <row r="38" spans="2:7" ht="13.5" customHeight="1" x14ac:dyDescent="0.2">
      <c r="B38" s="1247"/>
      <c r="C38" s="1247"/>
      <c r="D38" s="301"/>
      <c r="E38" s="301"/>
      <c r="F38" s="301"/>
      <c r="G38" s="301"/>
    </row>
    <row r="39" spans="2:7" ht="13.5" customHeight="1" x14ac:dyDescent="0.2">
      <c r="B39" s="1248"/>
      <c r="C39" s="1248"/>
      <c r="D39" s="301"/>
      <c r="E39" s="301"/>
      <c r="F39" s="301"/>
      <c r="G39" s="301"/>
    </row>
    <row r="40" spans="2:7" ht="13.5" customHeight="1" x14ac:dyDescent="0.2">
      <c r="B40" s="1247"/>
      <c r="C40" s="1247"/>
      <c r="D40" s="301"/>
      <c r="E40" s="301"/>
      <c r="F40" s="301"/>
      <c r="G40" s="301"/>
    </row>
    <row r="41" spans="2:7" ht="13.5" customHeight="1" x14ac:dyDescent="0.2">
      <c r="B41" s="1249"/>
      <c r="C41" s="1249"/>
      <c r="D41" s="301"/>
      <c r="E41" s="301"/>
      <c r="F41" s="301"/>
      <c r="G41" s="301"/>
    </row>
    <row r="42" spans="2:7" ht="13.5" customHeight="1" x14ac:dyDescent="0.2">
      <c r="B42" s="1250"/>
      <c r="C42" s="1250"/>
      <c r="D42" s="301"/>
      <c r="E42" s="301"/>
      <c r="F42" s="301"/>
      <c r="G42" s="301"/>
    </row>
    <row r="43" spans="2:7" ht="12.75" customHeight="1" x14ac:dyDescent="0.2">
      <c r="B43" s="1251"/>
      <c r="C43" s="1251"/>
      <c r="D43" s="1252"/>
      <c r="E43" s="1252"/>
      <c r="F43" s="1252"/>
      <c r="G43" s="301"/>
    </row>
    <row r="44" spans="2:7" ht="12.2" customHeight="1" x14ac:dyDescent="0.2">
      <c r="B44" s="1033" t="s">
        <v>1304</v>
      </c>
      <c r="C44" s="1033"/>
      <c r="D44" s="300"/>
      <c r="E44" s="300"/>
    </row>
    <row r="45" spans="2:7" ht="12.2" customHeight="1" x14ac:dyDescent="0.2">
      <c r="B45" s="1253" t="s">
        <v>1748</v>
      </c>
      <c r="C45" s="1253"/>
    </row>
    <row r="46" spans="2:7" ht="12.2" customHeight="1" x14ac:dyDescent="0.2">
      <c r="B46" s="1253" t="s">
        <v>1749</v>
      </c>
      <c r="C46" s="1253"/>
    </row>
    <row r="47" spans="2:7" ht="12.2" customHeight="1" x14ac:dyDescent="0.2">
      <c r="B47" s="1254" t="s">
        <v>1303</v>
      </c>
      <c r="C47" s="1254"/>
    </row>
    <row r="48" spans="2:7" ht="12.2" customHeight="1" x14ac:dyDescent="0.2">
      <c r="B48" s="1254" t="s">
        <v>1302</v>
      </c>
      <c r="C48" s="1254"/>
    </row>
    <row r="49" spans="2:7" ht="12.2" customHeight="1" x14ac:dyDescent="0.2">
      <c r="B49" s="1254" t="s">
        <v>1301</v>
      </c>
      <c r="C49" s="1254"/>
    </row>
    <row r="50" spans="2:7" ht="12.2" customHeight="1" x14ac:dyDescent="0.2">
      <c r="B50" s="1254" t="s">
        <v>1300</v>
      </c>
      <c r="C50" s="1254"/>
    </row>
    <row r="53" spans="2:7" ht="12.75" customHeight="1" x14ac:dyDescent="0.2"/>
    <row r="54" spans="2:7" ht="12.75" customHeight="1" x14ac:dyDescent="0.2">
      <c r="B54" s="1043"/>
      <c r="C54" s="1043"/>
    </row>
    <row r="55" spans="2:7" ht="12.75" customHeight="1" x14ac:dyDescent="0.2"/>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3" spans="2:7" ht="12.75" customHeight="1" x14ac:dyDescent="0.2">
      <c r="B63" s="300"/>
      <c r="C63" s="300"/>
      <c r="D63" s="300"/>
      <c r="E63" s="300"/>
      <c r="F63" s="300"/>
      <c r="G63" s="300"/>
    </row>
    <row r="67" spans="2:3" x14ac:dyDescent="0.2">
      <c r="B67" s="1175"/>
      <c r="C67" s="1175"/>
    </row>
    <row r="68" spans="2:3" x14ac:dyDescent="0.2">
      <c r="B68" s="1076"/>
      <c r="C68" s="1076"/>
    </row>
    <row r="69" spans="2:3" x14ac:dyDescent="0.2">
      <c r="B69" s="1076"/>
      <c r="C69" s="1076"/>
    </row>
    <row r="70" spans="2:3" x14ac:dyDescent="0.2">
      <c r="B70" s="1176"/>
      <c r="C70" s="1176"/>
    </row>
    <row r="71" spans="2:3" x14ac:dyDescent="0.2">
      <c r="B71" s="1176"/>
      <c r="C71" s="1176"/>
    </row>
    <row r="72" spans="2:3" x14ac:dyDescent="0.2">
      <c r="B72" s="1176"/>
      <c r="C72" s="1176"/>
    </row>
    <row r="73" spans="2:3" x14ac:dyDescent="0.2">
      <c r="B73" s="1076"/>
      <c r="C73" s="1076"/>
    </row>
  </sheetData>
  <mergeCells count="4">
    <mergeCell ref="B1:F1"/>
    <mergeCell ref="B2:F2"/>
    <mergeCell ref="B3:F3"/>
    <mergeCell ref="B4:F4"/>
  </mergeCells>
  <printOptions horizontalCentered="1"/>
  <pageMargins left="0.32" right="0.27" top="0.52" bottom="0.57999999999999996" header="0.26" footer="0.26"/>
  <pageSetup scale="93" firstPageNumber="41" orientation="portrait" useFirstPageNumber="1" r:id="rId1"/>
  <headerFooter alignWithMargins="0">
    <oddFooter>&amp;C&amp;"Times New Roman,Regular"&amp;11Page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colorId="8" zoomScale="110" zoomScaleNormal="110" workbookViewId="0">
      <selection activeCell="C9" sqref="C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20" t="s">
        <v>660</v>
      </c>
      <c r="B3" s="2521"/>
      <c r="C3" s="2521"/>
      <c r="D3" s="2522"/>
    </row>
    <row r="4" spans="1:4" x14ac:dyDescent="0.2">
      <c r="A4" s="931" t="s">
        <v>1674</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1" t="s">
        <v>1490</v>
      </c>
      <c r="D7" s="2532"/>
    </row>
    <row r="8" spans="1:4" s="542" customFormat="1" ht="12.75" x14ac:dyDescent="0.2">
      <c r="A8" s="917"/>
      <c r="B8" s="872"/>
      <c r="C8" s="875" t="s">
        <v>1489</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23" t="s">
        <v>1001</v>
      </c>
      <c r="B15" s="2524"/>
      <c r="C15" s="2524"/>
      <c r="D15" s="2525"/>
    </row>
    <row r="16" spans="1:4" s="542" customFormat="1" ht="24" customHeight="1" x14ac:dyDescent="0.2">
      <c r="A16" s="2526" t="s">
        <v>658</v>
      </c>
      <c r="B16" s="2527"/>
      <c r="C16" s="2527"/>
      <c r="D16" s="2528"/>
    </row>
    <row r="17" spans="1:10" s="542" customFormat="1" ht="12.75" customHeight="1" x14ac:dyDescent="0.2">
      <c r="A17" s="935" t="s">
        <v>1675</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35" t="s">
        <v>311</v>
      </c>
      <c r="D21" s="2536"/>
    </row>
    <row r="22" spans="1:10" ht="12.75" x14ac:dyDescent="0.2">
      <c r="A22" s="918"/>
      <c r="B22" s="919">
        <v>2</v>
      </c>
      <c r="C22" s="2533" t="s">
        <v>1510</v>
      </c>
      <c r="D22" s="253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7" t="s">
        <v>533</v>
      </c>
      <c r="D43" s="2538"/>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29" t="s">
        <v>779</v>
      </c>
      <c r="D56" s="2530"/>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9" t="s">
        <v>1677</v>
      </c>
      <c r="D70" s="2530"/>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97" t="str">
        <f>IF('Contracts Paid in CY 29'!$D$23&gt;0,"OK","PLEASE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8" firstPageNumber="3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2" sqref="B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1829</v>
      </c>
      <c r="C4" s="157" t="s">
        <v>1161</v>
      </c>
      <c r="D4" s="164" t="s">
        <v>10</v>
      </c>
      <c r="E4" s="165" t="s">
        <v>22</v>
      </c>
    </row>
    <row r="5" spans="1:5" x14ac:dyDescent="0.2">
      <c r="A5" s="163" t="s">
        <v>1831</v>
      </c>
      <c r="C5" s="157" t="s">
        <v>1161</v>
      </c>
      <c r="D5" s="164" t="s">
        <v>10</v>
      </c>
      <c r="E5" s="165" t="s">
        <v>22</v>
      </c>
    </row>
    <row r="6" spans="1:5" x14ac:dyDescent="0.2">
      <c r="A6" s="163" t="s">
        <v>1830</v>
      </c>
      <c r="C6" s="157" t="s">
        <v>1161</v>
      </c>
      <c r="D6" s="162" t="s">
        <v>11</v>
      </c>
      <c r="E6" s="165" t="s">
        <v>935</v>
      </c>
    </row>
    <row r="7" spans="1:5" x14ac:dyDescent="0.2">
      <c r="A7" s="163" t="s">
        <v>1832</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1833</v>
      </c>
      <c r="C11" s="157" t="s">
        <v>1161</v>
      </c>
      <c r="D11" s="164" t="s">
        <v>14</v>
      </c>
      <c r="E11" s="165" t="s">
        <v>1148</v>
      </c>
    </row>
    <row r="12" spans="1:5" x14ac:dyDescent="0.2">
      <c r="B12" s="164" t="s">
        <v>1834</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1835</v>
      </c>
      <c r="C15" s="157" t="s">
        <v>1161</v>
      </c>
      <c r="D15" s="164" t="s">
        <v>17</v>
      </c>
      <c r="E15" s="165" t="s">
        <v>631</v>
      </c>
    </row>
    <row r="16" spans="1:5" x14ac:dyDescent="0.2">
      <c r="A16" s="167"/>
      <c r="B16" s="157" t="s">
        <v>1836</v>
      </c>
      <c r="C16" s="157" t="s">
        <v>1161</v>
      </c>
      <c r="D16" s="164" t="s">
        <v>676</v>
      </c>
      <c r="E16" s="165" t="s">
        <v>1033</v>
      </c>
    </row>
    <row r="17" spans="1:5" x14ac:dyDescent="0.2">
      <c r="B17" s="162" t="s">
        <v>981</v>
      </c>
      <c r="C17" s="157" t="s">
        <v>1161</v>
      </c>
    </row>
    <row r="18" spans="1:5" x14ac:dyDescent="0.2">
      <c r="B18" s="162" t="s">
        <v>1842</v>
      </c>
      <c r="D18" s="164" t="s">
        <v>18</v>
      </c>
      <c r="E18" s="165" t="s">
        <v>1034</v>
      </c>
    </row>
    <row r="19" spans="1:5" x14ac:dyDescent="0.2">
      <c r="A19" s="163" t="s">
        <v>1092</v>
      </c>
      <c r="C19" s="157" t="s">
        <v>1161</v>
      </c>
      <c r="D19" s="164"/>
      <c r="E19" s="166"/>
    </row>
    <row r="20" spans="1:5" x14ac:dyDescent="0.2">
      <c r="B20" s="162" t="s">
        <v>1837</v>
      </c>
      <c r="C20" s="157" t="s">
        <v>1161</v>
      </c>
      <c r="D20" s="164" t="s">
        <v>19</v>
      </c>
      <c r="E20" s="165" t="s">
        <v>51</v>
      </c>
    </row>
    <row r="21" spans="1:5" x14ac:dyDescent="0.2">
      <c r="B21" s="162" t="s">
        <v>1838</v>
      </c>
      <c r="C21" s="157" t="s">
        <v>1161</v>
      </c>
      <c r="D21" s="164" t="s">
        <v>20</v>
      </c>
      <c r="E21" s="165" t="s">
        <v>1596</v>
      </c>
    </row>
    <row r="22" spans="1:5" x14ac:dyDescent="0.2">
      <c r="A22" s="163"/>
      <c r="B22" s="157" t="s">
        <v>1826</v>
      </c>
      <c r="C22" s="157" t="s">
        <v>1161</v>
      </c>
      <c r="D22" s="162" t="s">
        <v>1828</v>
      </c>
      <c r="E22" s="1469" t="s">
        <v>1597</v>
      </c>
    </row>
    <row r="23" spans="1:5" x14ac:dyDescent="0.2">
      <c r="A23" s="163"/>
      <c r="B23" s="157" t="s">
        <v>1827</v>
      </c>
      <c r="D23" s="162" t="s">
        <v>632</v>
      </c>
      <c r="E23" s="1469" t="s">
        <v>953</v>
      </c>
    </row>
    <row r="24" spans="1:5" x14ac:dyDescent="0.2">
      <c r="A24" s="163" t="s">
        <v>1595</v>
      </c>
      <c r="C24" s="157" t="s">
        <v>1161</v>
      </c>
      <c r="D24" s="162" t="s">
        <v>1379</v>
      </c>
      <c r="E24" s="165" t="s">
        <v>954</v>
      </c>
    </row>
    <row r="25" spans="1:5" x14ac:dyDescent="0.2">
      <c r="A25" s="163" t="s">
        <v>1839</v>
      </c>
      <c r="C25" s="157" t="s">
        <v>1161</v>
      </c>
      <c r="D25" s="164" t="s">
        <v>21</v>
      </c>
      <c r="E25" s="165" t="s">
        <v>1035</v>
      </c>
    </row>
    <row r="26" spans="1:5" x14ac:dyDescent="0.2">
      <c r="A26" s="163" t="s">
        <v>1840</v>
      </c>
      <c r="C26" s="157" t="s">
        <v>1161</v>
      </c>
      <c r="D26" s="164" t="s">
        <v>559</v>
      </c>
      <c r="E26" s="165" t="s">
        <v>1036</v>
      </c>
    </row>
    <row r="27" spans="1:5" x14ac:dyDescent="0.2">
      <c r="A27" s="163" t="s">
        <v>1841</v>
      </c>
      <c r="C27" s="157" t="s">
        <v>1161</v>
      </c>
      <c r="D27" s="164" t="s">
        <v>553</v>
      </c>
      <c r="E27" s="165" t="s">
        <v>678</v>
      </c>
    </row>
    <row r="28" spans="1:5" x14ac:dyDescent="0.2">
      <c r="A28" s="163" t="s">
        <v>1843</v>
      </c>
      <c r="D28" s="164" t="s">
        <v>679</v>
      </c>
      <c r="E28" s="165" t="s">
        <v>1352</v>
      </c>
    </row>
    <row r="29" spans="1:5" x14ac:dyDescent="0.2">
      <c r="A29" s="163" t="s">
        <v>1844</v>
      </c>
      <c r="D29" s="164" t="s">
        <v>1380</v>
      </c>
      <c r="E29" s="165" t="s">
        <v>1361</v>
      </c>
    </row>
    <row r="30" spans="1:5" x14ac:dyDescent="0.2">
      <c r="A30" s="168" t="s">
        <v>1845</v>
      </c>
      <c r="C30" s="157" t="s">
        <v>1161</v>
      </c>
      <c r="D30" s="164" t="s">
        <v>40</v>
      </c>
      <c r="E30" s="165" t="s">
        <v>975</v>
      </c>
    </row>
    <row r="31" spans="1:5" x14ac:dyDescent="0.2">
      <c r="A31" s="163" t="s">
        <v>1507</v>
      </c>
      <c r="C31" s="157" t="s">
        <v>1161</v>
      </c>
      <c r="D31" s="162"/>
      <c r="E31" s="166"/>
    </row>
    <row r="32" spans="1:5" x14ac:dyDescent="0.2">
      <c r="B32" s="162" t="s">
        <v>1846</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542" t="s">
        <v>1058</v>
      </c>
      <c r="B35" s="2542"/>
      <c r="C35" s="2542"/>
      <c r="D35" s="2542"/>
      <c r="E35" s="25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539" t="s">
        <v>686</v>
      </c>
      <c r="B40" s="2539"/>
      <c r="C40" s="2539"/>
      <c r="D40" s="2539"/>
      <c r="E40" s="2539"/>
    </row>
    <row r="41" spans="1:5" x14ac:dyDescent="0.2">
      <c r="A41" s="2540" t="s">
        <v>1594</v>
      </c>
      <c r="B41" s="2540"/>
      <c r="C41" s="2540"/>
      <c r="D41" s="2540"/>
      <c r="E41" s="2540"/>
    </row>
    <row r="42" spans="1:5" ht="12.75" customHeight="1" x14ac:dyDescent="0.2">
      <c r="A42" s="2541" t="s">
        <v>1015</v>
      </c>
      <c r="B42" s="2541"/>
      <c r="C42" s="2541"/>
      <c r="D42" s="2541"/>
      <c r="E42" s="254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3" fitToHeight="0"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topLeftCell="A28"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6" t="s">
        <v>1183</v>
      </c>
      <c r="B2" s="2566"/>
      <c r="C2" s="2566"/>
      <c r="D2" s="2566"/>
      <c r="E2" s="2566"/>
      <c r="F2" s="2566"/>
      <c r="G2" s="2566"/>
      <c r="H2" s="2566"/>
      <c r="I2" s="2566"/>
      <c r="J2" s="2566"/>
      <c r="K2" s="2566"/>
      <c r="L2" s="2566"/>
    </row>
    <row r="3" spans="1:29" ht="13.5" customHeight="1" x14ac:dyDescent="0.2">
      <c r="A3" s="2552" t="s">
        <v>1182</v>
      </c>
      <c r="B3" s="2552"/>
      <c r="C3" s="2552"/>
      <c r="D3" s="2552"/>
      <c r="E3" s="2552"/>
      <c r="F3" s="2552"/>
      <c r="G3" s="2552"/>
      <c r="H3" s="2552"/>
      <c r="I3" s="2552"/>
      <c r="J3" s="2552"/>
      <c r="K3" s="2552"/>
      <c r="L3" s="2552"/>
    </row>
    <row r="4" spans="1:29" ht="13.5" customHeight="1" x14ac:dyDescent="0.2">
      <c r="A4" s="2583" t="str">
        <f>"Year Ending June 30, "&amp;'AFR20'!E2</f>
        <v>Year Ending June 30, 2020</v>
      </c>
      <c r="B4" s="2584"/>
      <c r="C4" s="2584"/>
      <c r="D4" s="2584"/>
      <c r="E4" s="2584"/>
      <c r="F4" s="2584"/>
      <c r="G4" s="2584"/>
      <c r="H4" s="2584"/>
      <c r="I4" s="2584"/>
      <c r="J4" s="2584"/>
      <c r="K4" s="2584"/>
      <c r="L4" s="258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6" t="str">
        <f>COVER!A17</f>
        <v>Desoto Cons SD 86</v>
      </c>
      <c r="B7" s="2547"/>
      <c r="C7" s="2547"/>
      <c r="D7" s="2585"/>
      <c r="E7" s="2586">
        <f>COVER!A13</f>
        <v>30039086003</v>
      </c>
      <c r="F7" s="2587"/>
      <c r="G7" s="2553" t="str">
        <f>COVER!T23</f>
        <v>065-012078</v>
      </c>
      <c r="H7" s="2554"/>
      <c r="I7" s="2554"/>
      <c r="J7" s="2554"/>
      <c r="K7" s="2554"/>
      <c r="L7" s="2555"/>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6"/>
      <c r="B9" s="2557"/>
      <c r="C9" s="2557"/>
      <c r="D9" s="2557"/>
      <c r="E9" s="2557"/>
      <c r="F9" s="2558"/>
      <c r="G9" s="2559" t="str">
        <f>COVER!T13</f>
        <v>Emling&amp; Hoffman, P.C.</v>
      </c>
      <c r="H9" s="2560"/>
      <c r="I9" s="2560"/>
      <c r="J9" s="2560"/>
      <c r="K9" s="2560"/>
      <c r="L9" s="2561"/>
    </row>
    <row r="10" spans="1:29" ht="13.5" customHeight="1" x14ac:dyDescent="0.2">
      <c r="A10" s="2543" t="str">
        <f>COVER!A38</f>
        <v>Nathaniel Wilson</v>
      </c>
      <c r="B10" s="2544"/>
      <c r="C10" s="2544"/>
      <c r="D10" s="2544"/>
      <c r="E10" s="2544"/>
      <c r="F10" s="2545"/>
      <c r="G10" s="2559" t="str">
        <f>COVER!T17</f>
        <v>105 E Main St</v>
      </c>
      <c r="H10" s="2572"/>
      <c r="I10" s="2572"/>
      <c r="J10" s="2572"/>
      <c r="K10" s="2572"/>
      <c r="L10" s="2573"/>
    </row>
    <row r="11" spans="1:29" ht="13.5" customHeight="1" x14ac:dyDescent="0.2">
      <c r="A11" s="963" t="s">
        <v>1505</v>
      </c>
      <c r="B11" s="964"/>
      <c r="C11" s="965"/>
      <c r="D11" s="970"/>
      <c r="E11" s="965"/>
      <c r="F11" s="969"/>
      <c r="G11" s="2559" t="str">
        <f>COVER!T19</f>
        <v>Du Quoin</v>
      </c>
      <c r="H11" s="2572"/>
      <c r="I11" s="2572"/>
      <c r="J11" s="2572"/>
      <c r="K11" s="2572"/>
      <c r="L11" s="2573"/>
    </row>
    <row r="12" spans="1:29" ht="13.5" customHeight="1" x14ac:dyDescent="0.2">
      <c r="A12" s="2577" t="s">
        <v>1504</v>
      </c>
      <c r="B12" s="2578"/>
      <c r="C12" s="2578"/>
      <c r="D12" s="2578"/>
      <c r="E12" s="2578"/>
      <c r="F12" s="2579"/>
      <c r="G12" s="2574"/>
      <c r="H12" s="2575"/>
      <c r="I12" s="2575"/>
      <c r="J12" s="2575"/>
      <c r="K12" s="2575"/>
      <c r="L12" s="2576"/>
    </row>
    <row r="13" spans="1:29" ht="13.5" customHeight="1" x14ac:dyDescent="0.2">
      <c r="A13" s="2559"/>
      <c r="B13" s="2572"/>
      <c r="C13" s="2572"/>
      <c r="D13" s="2572"/>
      <c r="E13" s="2572"/>
      <c r="F13" s="2573"/>
      <c r="G13" s="2567" t="s">
        <v>1506</v>
      </c>
      <c r="H13" s="2568"/>
      <c r="I13" s="2580" t="str">
        <f>COVER!T25</f>
        <v>donhoffman@emlingcpa.com</v>
      </c>
      <c r="J13" s="2581"/>
      <c r="K13" s="2581"/>
      <c r="L13" s="2582"/>
    </row>
    <row r="14" spans="1:29" ht="13.5" customHeight="1" x14ac:dyDescent="0.2">
      <c r="A14" s="2559" t="str">
        <f>COVER!A19</f>
        <v>311 Hurst Rd</v>
      </c>
      <c r="B14" s="2572"/>
      <c r="C14" s="2572"/>
      <c r="D14" s="2572"/>
      <c r="E14" s="2572"/>
      <c r="F14" s="2573"/>
      <c r="G14" s="974" t="s">
        <v>1177</v>
      </c>
      <c r="H14" s="972"/>
      <c r="I14" s="972"/>
      <c r="J14" s="972"/>
      <c r="K14" s="972"/>
      <c r="L14" s="973"/>
    </row>
    <row r="15" spans="1:29" ht="13.5" customHeight="1" x14ac:dyDescent="0.2">
      <c r="A15" s="2559" t="str">
        <f>COVER!A21</f>
        <v>DeSoto</v>
      </c>
      <c r="B15" s="2572"/>
      <c r="C15" s="2572"/>
      <c r="D15" s="2572"/>
      <c r="E15" s="2572"/>
      <c r="F15" s="2573"/>
      <c r="G15" s="2569" t="str">
        <f>COVER!T15</f>
        <v>Donald L Hoffman</v>
      </c>
      <c r="H15" s="2570"/>
      <c r="I15" s="2570"/>
      <c r="J15" s="2570"/>
      <c r="K15" s="2570"/>
      <c r="L15" s="2571"/>
    </row>
    <row r="16" spans="1:29" ht="12.2" customHeight="1" x14ac:dyDescent="0.2">
      <c r="A16" s="2549">
        <f>COVER!A25</f>
        <v>62924</v>
      </c>
      <c r="B16" s="2550"/>
      <c r="C16" s="2550"/>
      <c r="D16" s="2550"/>
      <c r="E16" s="2550"/>
      <c r="F16" s="2551"/>
      <c r="G16" s="2562"/>
      <c r="H16" s="2563"/>
      <c r="I16" s="2563"/>
      <c r="J16" s="2563"/>
      <c r="K16" s="2563"/>
      <c r="L16" s="2564"/>
    </row>
    <row r="17" spans="1:13" ht="12.2" customHeight="1" x14ac:dyDescent="0.2">
      <c r="A17" s="2565"/>
      <c r="B17" s="2550"/>
      <c r="C17" s="2550"/>
      <c r="D17" s="2550"/>
      <c r="E17" s="2550"/>
      <c r="F17" s="2551"/>
      <c r="G17" s="974" t="s">
        <v>1176</v>
      </c>
      <c r="H17" s="972"/>
      <c r="I17" s="972"/>
      <c r="J17" s="972"/>
      <c r="K17" s="976" t="s">
        <v>1175</v>
      </c>
      <c r="L17" s="969"/>
      <c r="M17" s="962"/>
    </row>
    <row r="18" spans="1:13" ht="12.2" customHeight="1" x14ac:dyDescent="0.2">
      <c r="A18" s="2543"/>
      <c r="B18" s="2544"/>
      <c r="C18" s="2544"/>
      <c r="D18" s="2544"/>
      <c r="E18" s="2544"/>
      <c r="F18" s="2545"/>
      <c r="G18" s="2546" t="str">
        <f>COVER!T21</f>
        <v>618-542-4747</v>
      </c>
      <c r="H18" s="2547"/>
      <c r="I18" s="2547"/>
      <c r="J18" s="2547"/>
      <c r="K18" s="2546" t="str">
        <f>COVER!X21</f>
        <v>618-542-6141</v>
      </c>
      <c r="L18" s="254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8" t="str">
        <f>'Single Audit Cover'!A7</f>
        <v>Desoto Cons SD 86</v>
      </c>
      <c r="B1" s="2589"/>
      <c r="C1" s="2589"/>
      <c r="D1" s="2589"/>
    </row>
    <row r="2" spans="1:11" s="991" customFormat="1" ht="12.75" x14ac:dyDescent="0.2">
      <c r="A2" s="2590">
        <f>'Single Audit Cover'!E7</f>
        <v>30039086003</v>
      </c>
      <c r="B2" s="2591"/>
      <c r="C2" s="2591"/>
      <c r="D2" s="2591"/>
    </row>
    <row r="3" spans="1:11" s="991" customFormat="1" ht="12.75" x14ac:dyDescent="0.2">
      <c r="A3" s="2588" t="s">
        <v>1499</v>
      </c>
      <c r="B3" s="2589"/>
      <c r="C3" s="2589"/>
      <c r="D3" s="258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1968</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scale="65" firstPageNumber="36" orientation="portrait" useFirstPageNumber="1"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I22" sqref="I22:S2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20560105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1.8669100000000001E-2</v>
      </c>
      <c r="E10" s="333" t="s">
        <v>998</v>
      </c>
      <c r="F10" s="332">
        <v>3.7613999999999998E-3</v>
      </c>
      <c r="G10" s="333" t="s">
        <v>998</v>
      </c>
      <c r="H10" s="332">
        <v>1.3978E-3</v>
      </c>
      <c r="I10" s="333" t="s">
        <v>999</v>
      </c>
      <c r="J10" s="1423">
        <f>ROUND(D10+F10+H10,5)</f>
        <v>2.383E-2</v>
      </c>
      <c r="K10" s="217"/>
      <c r="L10" s="332">
        <v>4.124E-4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2250392</v>
      </c>
      <c r="E16" s="1546"/>
      <c r="F16" s="1545">
        <f>SUM('Acct Summary 7-8'!C17,'Acct Summary 7-8'!D17,'Acct Summary 7-8'!F17)</f>
        <v>1933592</v>
      </c>
      <c r="G16" s="1546"/>
      <c r="H16" s="1545">
        <f>SUM(D16-F16)</f>
        <v>316800</v>
      </c>
      <c r="I16" s="1547"/>
      <c r="J16" s="1545">
        <f>SUM('Acct Summary 7-8'!C81,'Acct Summary 7-8'!D81,'Acct Summary 7-8'!F81,'Acct Summary 7-8'!I81)</f>
        <v>1118019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582</v>
      </c>
      <c r="D31" s="232" t="s">
        <v>1065</v>
      </c>
      <c r="E31" s="217"/>
      <c r="F31" s="217"/>
      <c r="G31" s="340"/>
      <c r="H31" s="1424">
        <f>IF(B31="X",(J7*0.069),IF(B32="X",(J7*0.138),"Enter x in a.or b."))</f>
        <v>1418647.2450000001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143900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Footer>&amp;C&amp;"Times New Roman,Regular"&amp;11Page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3" t="str">
        <f>'Single Audit Cover'!A7</f>
        <v>Desoto Cons SD 86</v>
      </c>
      <c r="B1" s="2593"/>
      <c r="C1" s="2593"/>
      <c r="D1" s="2593"/>
      <c r="E1" s="2593"/>
    </row>
    <row r="2" spans="1:5" x14ac:dyDescent="0.2">
      <c r="A2" s="2594">
        <f>'Single Audit Cover'!E7</f>
        <v>30039086003</v>
      </c>
      <c r="B2" s="2594"/>
      <c r="C2" s="2594"/>
      <c r="D2" s="2594"/>
      <c r="E2" s="2594"/>
    </row>
    <row r="3" spans="1:5" ht="4.5" customHeight="1" x14ac:dyDescent="0.2"/>
    <row r="4" spans="1:5" x14ac:dyDescent="0.2">
      <c r="A4" s="2593" t="s">
        <v>1236</v>
      </c>
      <c r="B4" s="2593"/>
      <c r="C4" s="2593"/>
      <c r="D4" s="2593"/>
      <c r="E4" s="2593"/>
    </row>
    <row r="5" spans="1:5" x14ac:dyDescent="0.2">
      <c r="A5" s="2596" t="str">
        <f>'Single Audit Cover'!A4</f>
        <v>Year Ending June 30, 2020</v>
      </c>
      <c r="B5" s="2596"/>
      <c r="C5" s="2596"/>
      <c r="D5" s="2596"/>
      <c r="E5" s="2596"/>
    </row>
    <row r="6" spans="1:5" x14ac:dyDescent="0.2">
      <c r="A6" s="2593" t="s">
        <v>1235</v>
      </c>
      <c r="B6" s="2593"/>
      <c r="C6" s="2593"/>
      <c r="D6" s="2593"/>
      <c r="E6" s="2593"/>
    </row>
    <row r="8" spans="1:5" x14ac:dyDescent="0.2">
      <c r="A8" s="1036" t="s">
        <v>1234</v>
      </c>
    </row>
    <row r="10" spans="1:5" x14ac:dyDescent="0.2">
      <c r="A10" s="1037" t="s">
        <v>1233</v>
      </c>
      <c r="B10" s="1038" t="s">
        <v>1232</v>
      </c>
      <c r="C10" s="1038"/>
      <c r="D10" s="1039">
        <f>SUM('Acct Summary 7-8'!C7:K7)</f>
        <v>358220</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2003</v>
      </c>
      <c r="B14" s="1038"/>
      <c r="C14" s="1038"/>
      <c r="D14" s="1040">
        <f>'ICR Computation 30'!E11</f>
        <v>8882</v>
      </c>
    </row>
    <row r="15" spans="1:5" x14ac:dyDescent="0.2">
      <c r="A15" s="1037"/>
      <c r="B15" s="1038"/>
      <c r="C15" s="1038"/>
    </row>
    <row r="16" spans="1:5" x14ac:dyDescent="0.2">
      <c r="A16" s="1037" t="s">
        <v>1814</v>
      </c>
      <c r="B16" s="1038"/>
      <c r="C16" s="1038"/>
    </row>
    <row r="17" spans="1:4" x14ac:dyDescent="0.2">
      <c r="A17" s="1037" t="s">
        <v>1963</v>
      </c>
      <c r="B17" s="1038" t="s">
        <v>1227</v>
      </c>
      <c r="C17" s="1038"/>
      <c r="D17" s="1040">
        <f>-SUM('Revenues 9-14'!C264:D264,'Revenues 9-14'!F264:G264)</f>
        <v>-20464</v>
      </c>
    </row>
    <row r="19" spans="1:4" ht="13.5" thickBot="1" x14ac:dyDescent="0.25">
      <c r="A19" s="1041" t="s">
        <v>1226</v>
      </c>
      <c r="D19" s="1042">
        <f>SUM(D10:D17)</f>
        <v>346638</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95"/>
      <c r="B24" s="2595"/>
      <c r="D24" s="1044"/>
    </row>
    <row r="25" spans="1:4" x14ac:dyDescent="0.2">
      <c r="A25" s="2592"/>
      <c r="B25" s="2592"/>
      <c r="D25" s="1044"/>
    </row>
    <row r="26" spans="1:4" x14ac:dyDescent="0.2">
      <c r="A26" s="2592"/>
      <c r="B26" s="2592"/>
      <c r="D26" s="1044"/>
    </row>
    <row r="27" spans="1:4" x14ac:dyDescent="0.2">
      <c r="A27" s="2592"/>
      <c r="B27" s="2592"/>
      <c r="D27" s="1044"/>
    </row>
    <row r="28" spans="1:4" x14ac:dyDescent="0.2">
      <c r="A28" s="2592"/>
      <c r="B28" s="2592"/>
      <c r="D28" s="1044"/>
    </row>
    <row r="29" spans="1:4" x14ac:dyDescent="0.2">
      <c r="A29" s="2592"/>
      <c r="B29" s="2592"/>
      <c r="D29" s="1044"/>
    </row>
    <row r="30" spans="1:4" x14ac:dyDescent="0.2">
      <c r="A30" s="2592"/>
      <c r="B30" s="2592"/>
      <c r="D30" s="1044"/>
    </row>
    <row r="32" spans="1:4" x14ac:dyDescent="0.2">
      <c r="A32" s="1036" t="s">
        <v>1224</v>
      </c>
      <c r="D32" s="1039">
        <f>SUM(D19:D30)</f>
        <v>346638</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92"/>
      <c r="B40" s="2592"/>
      <c r="D40" s="1044"/>
    </row>
    <row r="41" spans="1:4" x14ac:dyDescent="0.2">
      <c r="A41" s="2592"/>
      <c r="B41" s="2592"/>
      <c r="D41" s="1047"/>
    </row>
    <row r="42" spans="1:4" x14ac:dyDescent="0.2">
      <c r="A42" s="2592"/>
      <c r="B42" s="2592"/>
      <c r="D42" s="1047"/>
    </row>
    <row r="43" spans="1:4" x14ac:dyDescent="0.2">
      <c r="A43" s="2592"/>
      <c r="B43" s="2592"/>
      <c r="D43" s="1047"/>
    </row>
    <row r="44" spans="1:4" x14ac:dyDescent="0.2">
      <c r="A44" s="2592"/>
      <c r="B44" s="2592"/>
      <c r="D44" s="1047"/>
    </row>
    <row r="45" spans="1:4" x14ac:dyDescent="0.2">
      <c r="A45" s="2592"/>
      <c r="B45" s="2592"/>
      <c r="D45" s="1047"/>
    </row>
    <row r="47" spans="1:4" x14ac:dyDescent="0.2">
      <c r="B47" s="1048" t="s">
        <v>1218</v>
      </c>
      <c r="C47" s="1048"/>
      <c r="D47" s="1049">
        <f>SUM(D35:D45)</f>
        <v>0</v>
      </c>
    </row>
    <row r="49" spans="2:4" x14ac:dyDescent="0.2">
      <c r="B49" s="1048" t="s">
        <v>1217</v>
      </c>
      <c r="C49" s="1048"/>
      <c r="D49" s="1049">
        <f>D32-D47</f>
        <v>346638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2" t="str">
        <f>'Single Audit Cover'!A7</f>
        <v>Desoto Cons SD 86</v>
      </c>
      <c r="C1" s="2597"/>
      <c r="D1" s="2597"/>
      <c r="E1" s="2597"/>
      <c r="F1" s="2597"/>
      <c r="G1" s="2597"/>
      <c r="H1" s="2597"/>
      <c r="I1" s="2597"/>
      <c r="J1" s="2597"/>
      <c r="K1" s="2597"/>
      <c r="L1" s="2597"/>
      <c r="M1" s="2597"/>
    </row>
    <row r="2" spans="2:14" ht="15" x14ac:dyDescent="0.2">
      <c r="B2" s="2598">
        <f>'Single Audit Cover'!E7</f>
        <v>30039086003</v>
      </c>
      <c r="C2" s="2598"/>
      <c r="D2" s="2598"/>
      <c r="E2" s="2598"/>
      <c r="F2" s="2598"/>
      <c r="G2" s="2598"/>
      <c r="H2" s="2598"/>
      <c r="I2" s="2598"/>
      <c r="J2" s="2598"/>
      <c r="K2" s="2598"/>
      <c r="L2" s="2598"/>
      <c r="M2" s="2598"/>
      <c r="N2" s="1078"/>
    </row>
    <row r="3" spans="2:14" ht="15" x14ac:dyDescent="0.2">
      <c r="B3" s="2599" t="s">
        <v>1210</v>
      </c>
      <c r="C3" s="2599"/>
      <c r="D3" s="2599"/>
      <c r="E3" s="2599"/>
      <c r="F3" s="2599"/>
      <c r="G3" s="2599"/>
      <c r="H3" s="2599"/>
      <c r="I3" s="2599"/>
      <c r="J3" s="2599"/>
      <c r="K3" s="2599"/>
      <c r="L3" s="2599"/>
      <c r="M3" s="2599"/>
      <c r="N3" s="1078"/>
    </row>
    <row r="4" spans="2:14" ht="15" x14ac:dyDescent="0.2">
      <c r="B4" s="2600" t="str">
        <f>'Single Audit Cover'!A4</f>
        <v>Year Ending June 30, 2020</v>
      </c>
      <c r="C4" s="2600"/>
      <c r="D4" s="2600"/>
      <c r="E4" s="2600"/>
      <c r="F4" s="2600"/>
      <c r="G4" s="2600"/>
      <c r="H4" s="2600"/>
      <c r="I4" s="2600"/>
      <c r="J4" s="2600"/>
      <c r="K4" s="2600"/>
      <c r="L4" s="2600"/>
      <c r="M4" s="2600"/>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2" t="str">
        <f>'Single Audit Cover'!A7</f>
        <v>Desoto Cons SD 86</v>
      </c>
      <c r="B1" s="2602"/>
      <c r="C1" s="2602"/>
      <c r="D1" s="2602"/>
      <c r="E1" s="2602"/>
      <c r="F1" s="2602"/>
    </row>
    <row r="2" spans="1:7" ht="13.5" customHeight="1" x14ac:dyDescent="0.2">
      <c r="A2" s="2598">
        <f>'Single Audit Cover'!E7</f>
        <v>30039086003</v>
      </c>
      <c r="B2" s="2598"/>
      <c r="C2" s="2598"/>
      <c r="D2" s="2598"/>
      <c r="E2" s="2598"/>
      <c r="F2" s="2598"/>
      <c r="G2" s="1051"/>
    </row>
    <row r="3" spans="1:7" ht="15.75" customHeight="1" x14ac:dyDescent="0.2">
      <c r="A3" s="2603" t="s">
        <v>1262</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52" t="s">
        <v>1708</v>
      </c>
      <c r="C6" s="295"/>
      <c r="D6" s="295"/>
    </row>
    <row r="7" spans="1:7" ht="60.95" customHeight="1" x14ac:dyDescent="0.2">
      <c r="A7" s="2601" t="s">
        <v>1709</v>
      </c>
      <c r="B7" s="2601"/>
      <c r="C7" s="2601"/>
      <c r="D7" s="2601"/>
      <c r="E7" s="2601"/>
      <c r="F7" s="2601"/>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01" t="s">
        <v>1711</v>
      </c>
      <c r="B13" s="2601"/>
      <c r="C13" s="2601"/>
      <c r="D13" s="2601"/>
      <c r="E13" s="2601"/>
      <c r="F13" s="2601"/>
    </row>
    <row r="14" spans="1:7" ht="9.75" customHeight="1" x14ac:dyDescent="0.2">
      <c r="C14" s="1036"/>
      <c r="D14" s="1036"/>
    </row>
    <row r="15" spans="1:7" ht="13.5" customHeight="1" x14ac:dyDescent="0.2">
      <c r="C15" s="1475" t="s">
        <v>1261</v>
      </c>
      <c r="D15" s="2606" t="s">
        <v>1260</v>
      </c>
      <c r="E15" s="2606"/>
      <c r="F15" s="2606"/>
    </row>
    <row r="16" spans="1:7" ht="13.5" customHeight="1" x14ac:dyDescent="0.2">
      <c r="A16" s="1058"/>
      <c r="B16" s="1052" t="s">
        <v>1259</v>
      </c>
      <c r="C16" s="1475" t="s">
        <v>1258</v>
      </c>
      <c r="D16" s="2607" t="s">
        <v>1574</v>
      </c>
      <c r="E16" s="2607"/>
      <c r="F16" s="2607"/>
    </row>
    <row r="17" spans="1:6" ht="20.45" customHeight="1" x14ac:dyDescent="0.2">
      <c r="A17" s="1059"/>
      <c r="B17" s="1060"/>
      <c r="C17" s="1061"/>
      <c r="D17" s="2605"/>
      <c r="E17" s="2605"/>
      <c r="F17" s="2605"/>
    </row>
    <row r="18" spans="1:6" ht="20.65" customHeight="1" x14ac:dyDescent="0.2">
      <c r="A18" s="1059"/>
      <c r="B18" s="1060"/>
      <c r="C18" s="1061"/>
      <c r="D18" s="2605"/>
      <c r="E18" s="2605"/>
      <c r="F18" s="2605"/>
    </row>
    <row r="19" spans="1:6" ht="20.65" customHeight="1" x14ac:dyDescent="0.2">
      <c r="A19" s="1059"/>
      <c r="B19" s="1060"/>
      <c r="C19" s="1061"/>
      <c r="D19" s="2605"/>
      <c r="E19" s="2605"/>
      <c r="F19" s="2605"/>
    </row>
    <row r="20" spans="1:6" ht="20.65" customHeight="1" x14ac:dyDescent="0.2">
      <c r="A20" s="1059"/>
      <c r="B20" s="1060"/>
      <c r="C20" s="1061"/>
      <c r="D20" s="2605"/>
      <c r="E20" s="2605"/>
      <c r="F20" s="2605"/>
    </row>
    <row r="21" spans="1:6" ht="20.65" customHeight="1" x14ac:dyDescent="0.2">
      <c r="A21" s="1059"/>
      <c r="B21" s="1060"/>
      <c r="C21" s="1061"/>
      <c r="D21" s="2605"/>
      <c r="E21" s="2605"/>
      <c r="F21" s="2605"/>
    </row>
    <row r="22" spans="1:6" ht="20.65" customHeight="1" x14ac:dyDescent="0.2">
      <c r="A22" s="1059"/>
      <c r="B22" s="1060"/>
      <c r="C22" s="1061"/>
      <c r="D22" s="2605"/>
      <c r="E22" s="2605"/>
      <c r="F22" s="2605"/>
    </row>
    <row r="23" spans="1:6" ht="20.65" customHeight="1" x14ac:dyDescent="0.2">
      <c r="A23" s="1059"/>
      <c r="B23" s="1060"/>
      <c r="C23" s="1061"/>
      <c r="D23" s="2605"/>
      <c r="E23" s="2605"/>
      <c r="F23" s="2605"/>
    </row>
    <row r="24" spans="1:6" ht="20.65" customHeight="1" x14ac:dyDescent="0.2">
      <c r="A24" s="1059"/>
      <c r="B24" s="1060"/>
      <c r="C24" s="1061"/>
      <c r="D24" s="2605"/>
      <c r="E24" s="2605"/>
      <c r="F24" s="2605"/>
    </row>
    <row r="25" spans="1:6" ht="20.65" customHeight="1" x14ac:dyDescent="0.2">
      <c r="A25" s="1059"/>
      <c r="B25" s="1060"/>
      <c r="C25" s="1061"/>
      <c r="D25" s="2605"/>
      <c r="E25" s="2605"/>
      <c r="F25" s="2605"/>
    </row>
    <row r="26" spans="1:6" ht="20.65" customHeight="1" x14ac:dyDescent="0.2">
      <c r="A26" s="1059"/>
      <c r="B26" s="1060"/>
      <c r="C26" s="1061"/>
      <c r="D26" s="2605"/>
      <c r="E26" s="2605"/>
      <c r="F26" s="2605"/>
    </row>
    <row r="27" spans="1:6" ht="20.65" customHeight="1" x14ac:dyDescent="0.2">
      <c r="A27" s="1059"/>
      <c r="B27" s="1060"/>
      <c r="C27" s="1061"/>
      <c r="D27" s="2605"/>
      <c r="E27" s="2605"/>
      <c r="F27" s="2605"/>
    </row>
    <row r="28" spans="1:6" ht="20.65" customHeight="1" x14ac:dyDescent="0.2">
      <c r="A28" s="1059"/>
      <c r="B28" s="1060"/>
      <c r="C28" s="1061"/>
      <c r="D28" s="2605"/>
      <c r="E28" s="2605"/>
      <c r="F28" s="2605"/>
    </row>
    <row r="29" spans="1:6" ht="20.65" customHeight="1" x14ac:dyDescent="0.2">
      <c r="A29" s="1059"/>
      <c r="B29" s="1060"/>
      <c r="C29" s="1061"/>
      <c r="D29" s="2605"/>
      <c r="E29" s="2605"/>
      <c r="F29" s="2605"/>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09" t="s">
        <v>1712</v>
      </c>
      <c r="B32" s="2609"/>
      <c r="C32" s="2609"/>
      <c r="D32" s="2609"/>
      <c r="E32" s="2609"/>
      <c r="F32" s="2609"/>
    </row>
    <row r="33" spans="1:6" ht="13.5" customHeight="1" x14ac:dyDescent="0.2">
      <c r="A33" s="306" t="s">
        <v>1420</v>
      </c>
      <c r="B33" s="306"/>
      <c r="C33" s="1064">
        <v>0</v>
      </c>
      <c r="D33" s="1525"/>
      <c r="E33" s="1062"/>
    </row>
    <row r="34" spans="1:6" ht="13.5" customHeight="1" x14ac:dyDescent="0.2">
      <c r="A34" s="306" t="s">
        <v>1810</v>
      </c>
      <c r="B34" s="306"/>
      <c r="C34" s="1065">
        <v>0</v>
      </c>
      <c r="D34" s="1525" t="s">
        <v>1575</v>
      </c>
      <c r="E34" s="2610">
        <f>+C33+C34</f>
        <v>0</v>
      </c>
      <c r="F34" s="2611"/>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2" t="s">
        <v>1576</v>
      </c>
      <c r="C49" s="2612"/>
      <c r="D49" s="2612"/>
      <c r="E49" s="1168"/>
    </row>
    <row r="50" spans="1:5" s="1076" customFormat="1" ht="3.75" customHeight="1" x14ac:dyDescent="0.2">
      <c r="A50" s="1075"/>
      <c r="B50" s="1474"/>
      <c r="C50" s="1474"/>
      <c r="D50" s="1474"/>
      <c r="E50" s="1168"/>
    </row>
    <row r="51" spans="1:5" s="1076" customFormat="1" ht="20.25" customHeight="1" x14ac:dyDescent="0.2">
      <c r="A51" s="1077">
        <v>6</v>
      </c>
      <c r="B51" s="2608" t="s">
        <v>1537</v>
      </c>
      <c r="C51" s="2608"/>
      <c r="D51" s="2608"/>
    </row>
    <row r="52" spans="1:5" ht="14.25" customHeight="1" x14ac:dyDescent="0.2">
      <c r="A52" s="1077"/>
      <c r="B52" s="2608"/>
      <c r="C52" s="2608"/>
      <c r="D52" s="260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Desoto Cons SD 86</v>
      </c>
      <c r="C1" s="2613"/>
      <c r="D1" s="2613"/>
      <c r="E1" s="2613"/>
      <c r="F1" s="2613"/>
      <c r="G1" s="2613"/>
      <c r="H1" s="2613"/>
      <c r="I1" s="2613"/>
      <c r="J1" s="2613"/>
      <c r="K1" s="2613"/>
      <c r="L1" s="1221"/>
    </row>
    <row r="2" spans="1:12" ht="12.75" customHeight="1" x14ac:dyDescent="0.2">
      <c r="B2" s="2614">
        <f>'Single Audit Cover'!E7</f>
        <v>30039086003</v>
      </c>
      <c r="C2" s="2614"/>
      <c r="D2" s="2614"/>
      <c r="E2" s="2614"/>
      <c r="F2" s="2614"/>
      <c r="G2" s="2614"/>
      <c r="H2" s="2614"/>
      <c r="I2" s="2614"/>
      <c r="J2" s="2614"/>
      <c r="K2" s="2614"/>
      <c r="L2" s="1222"/>
    </row>
    <row r="3" spans="1:12" ht="12.75" customHeight="1" x14ac:dyDescent="0.2">
      <c r="B3" s="2515" t="s">
        <v>1276</v>
      </c>
      <c r="C3" s="2515"/>
      <c r="D3" s="2515"/>
      <c r="E3" s="2515"/>
      <c r="F3" s="2515"/>
      <c r="G3" s="2515"/>
      <c r="H3" s="2515"/>
      <c r="I3" s="2515"/>
      <c r="J3" s="2515"/>
      <c r="K3" s="2515"/>
      <c r="L3" s="1147"/>
    </row>
    <row r="4" spans="1:12" ht="12.75" customHeight="1" x14ac:dyDescent="0.2">
      <c r="B4" s="2515" t="str">
        <f>'Single Audit Cover'!A4</f>
        <v>Year Ending June 30, 2020</v>
      </c>
      <c r="C4" s="2515"/>
      <c r="D4" s="2515"/>
      <c r="E4" s="2515"/>
      <c r="F4" s="2515"/>
      <c r="G4" s="2515"/>
      <c r="H4" s="2515"/>
      <c r="I4" s="2515"/>
      <c r="J4" s="2515"/>
      <c r="K4" s="2515"/>
      <c r="L4" s="1147"/>
    </row>
    <row r="5" spans="1:12" ht="5.25" customHeight="1" x14ac:dyDescent="0.2">
      <c r="B5" s="1036" t="s">
        <v>1161</v>
      </c>
      <c r="C5" s="1036"/>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499"/>
      <c r="G12" s="2499"/>
      <c r="H12" s="2499"/>
      <c r="I12" s="2499"/>
      <c r="J12" s="2499"/>
      <c r="K12" s="24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7"/>
      <c r="E14" s="2617"/>
      <c r="F14" s="2617"/>
      <c r="H14" s="1230" t="s">
        <v>1294</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8"/>
      <c r="E16" s="2618"/>
      <c r="F16" s="2618"/>
      <c r="G16" s="2618"/>
      <c r="H16" s="2618"/>
      <c r="I16" s="2618"/>
      <c r="J16" s="2618"/>
      <c r="K16" s="2618"/>
      <c r="L16" s="300"/>
    </row>
    <row r="17" spans="2:12" ht="13.5" customHeight="1" x14ac:dyDescent="0.2">
      <c r="B17" s="1156" t="s">
        <v>1292</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22" zoomScale="110" zoomScaleNormal="110" workbookViewId="0">
      <selection activeCell="I22" sqref="I22:S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1399</v>
      </c>
      <c r="B3" s="2204"/>
      <c r="C3" s="2204"/>
      <c r="D3" s="2204"/>
      <c r="E3" s="2204"/>
      <c r="F3" s="2204"/>
      <c r="G3" s="2204"/>
      <c r="H3" s="2204"/>
      <c r="I3" s="2204"/>
      <c r="J3" s="2204"/>
      <c r="K3" s="2204"/>
      <c r="L3" s="2204"/>
      <c r="M3" s="2204"/>
      <c r="N3" s="2204"/>
      <c r="O3" s="2204"/>
      <c r="P3" s="2204"/>
      <c r="Q3" s="2204"/>
      <c r="R3" s="2204"/>
    </row>
    <row r="4" spans="1:18" x14ac:dyDescent="0.2">
      <c r="A4" s="2205" t="s">
        <v>1540</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Desoto Cons SD 86</v>
      </c>
      <c r="E7" s="368"/>
      <c r="G7" s="247"/>
      <c r="H7" s="364"/>
      <c r="I7" s="364"/>
      <c r="J7" s="364"/>
      <c r="K7" s="364"/>
      <c r="L7" s="307"/>
      <c r="M7" s="307"/>
      <c r="N7" s="307"/>
      <c r="O7" s="307"/>
      <c r="P7" s="307"/>
    </row>
    <row r="8" spans="1:18" ht="12.75" x14ac:dyDescent="0.2">
      <c r="A8" s="307"/>
      <c r="B8" s="307"/>
      <c r="C8" s="366" t="s">
        <v>1117</v>
      </c>
      <c r="D8" s="369">
        <f>COVER!A13</f>
        <v>30039086003</v>
      </c>
      <c r="E8" s="370"/>
      <c r="G8" s="307"/>
      <c r="H8" s="307"/>
      <c r="I8" s="307"/>
      <c r="J8" s="307"/>
      <c r="K8" s="307"/>
      <c r="L8" s="307"/>
      <c r="M8" s="307"/>
      <c r="N8" s="307"/>
      <c r="O8" s="307"/>
      <c r="P8" s="307"/>
    </row>
    <row r="9" spans="1:18" ht="12.75" x14ac:dyDescent="0.2">
      <c r="A9" s="307"/>
      <c r="B9" s="307"/>
      <c r="C9" s="366" t="s">
        <v>708</v>
      </c>
      <c r="D9" s="371" t="str">
        <f>COVER!A15</f>
        <v>Jackson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1118019</v>
      </c>
      <c r="I12" s="380"/>
      <c r="J12" s="380"/>
      <c r="K12" s="1558">
        <f>TRUNC((H12/H13*100000),5)/100000</f>
        <v>0.49681077779999999</v>
      </c>
      <c r="L12" s="381"/>
      <c r="M12" s="337" t="s">
        <v>1136</v>
      </c>
      <c r="N12" s="337"/>
      <c r="O12" s="1561">
        <v>0.35</v>
      </c>
      <c r="P12" s="213"/>
      <c r="Q12" s="213"/>
    </row>
    <row r="13" spans="1:18" s="382" customFormat="1" ht="12.75" x14ac:dyDescent="0.2">
      <c r="A13" s="213"/>
      <c r="B13" s="377"/>
      <c r="C13" s="2201" t="s">
        <v>1315</v>
      </c>
      <c r="D13" s="2202"/>
      <c r="E13" s="213"/>
      <c r="F13" s="383" t="s">
        <v>788</v>
      </c>
      <c r="G13" s="378"/>
      <c r="H13" s="1550">
        <f>SUM('Acct Summary 7-8'!C8+'Acct Summary 7-8'!D8+'Acct Summary 7-8'!F8+'Acct Summary 7-8'!I8)+H14</f>
        <v>2250392</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1933592</v>
      </c>
      <c r="I17" s="380"/>
      <c r="J17" s="389"/>
      <c r="K17" s="1558">
        <f>TRUNC((H17/H18*100000),5)/100000</f>
        <v>0.85922452620000001</v>
      </c>
      <c r="L17" s="381"/>
      <c r="M17" s="390" t="s">
        <v>1163</v>
      </c>
      <c r="O17" s="1564" t="str">
        <f>IF(AND(O16="2", J20 &gt; 2),"1",IF(AND(O16 = "1", J20 &gt; 2),"2",IF(AND(O16="1", J20 &gt;1),"1","0")))</f>
        <v>0</v>
      </c>
      <c r="P17" s="213"/>
    </row>
    <row r="18" spans="1:18" s="382" customFormat="1" ht="11.25" x14ac:dyDescent="0.2">
      <c r="A18" s="213"/>
      <c r="B18" s="377"/>
      <c r="C18" s="2201" t="s">
        <v>1308</v>
      </c>
      <c r="D18" s="2202"/>
      <c r="E18" s="213"/>
      <c r="F18" s="391" t="s">
        <v>789</v>
      </c>
      <c r="G18" s="378"/>
      <c r="H18" s="1550">
        <f>SUM('Acct Summary 7-8'!C8+'Acct Summary 7-8'!D8+'Acct Summary 7-8'!F8+'Acct Summary 7-8'!I8)+H19</f>
        <v>2250392</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198" t="s">
        <v>1398</v>
      </c>
      <c r="D24" s="2198"/>
      <c r="E24" s="213"/>
      <c r="F24" s="213" t="s">
        <v>442</v>
      </c>
      <c r="G24" s="378"/>
      <c r="H24" s="1550">
        <f>SUM('Assets-Liab 5-6'!C4+'Assets-Liab 5-6'!D4+'Assets-Liab 5-6'!F4+'Assets-Liab 5-6'!I4+'Assets-Liab 5-6'!C5+'Assets-Liab 5-6'!D5+'Assets-Liab 5-6'!F5+'Assets-Liab 5-6'!I5)</f>
        <v>1118099</v>
      </c>
      <c r="I24" s="394"/>
      <c r="J24" s="394"/>
      <c r="K24" s="1554">
        <f>TRUNC(((H24/H25*100000)/100000),2)</f>
        <v>208.16</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5371.08889</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1892</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416455.20682999998</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143900</v>
      </c>
      <c r="I32" s="392"/>
      <c r="J32" s="392"/>
      <c r="K32" s="1554">
        <f>TRUNC(100-((((H32/H33*100))*100)/100),2)</f>
        <v>89.85</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1418647.2450000001</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8" firstPageNumber="5" orientation="landscape" useFirstPageNumber="1" r:id="rId3"/>
  <headerFooter alignWithMargins="0">
    <oddFooter>&amp;C&amp;"Times New Roman,Regular"&amp;11Page &amp;P</oddFoot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75" zoomScaleNormal="75" workbookViewId="0">
      <pane ySplit="2" topLeftCell="A3" activePane="bottomLeft" state="frozen"/>
      <selection activeCell="I22" sqref="I22:S22"/>
      <selection pane="bottomLeft" activeCell="I22" sqref="I22:S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305"/>
      <c r="D3" s="1306"/>
      <c r="E3" s="1306"/>
      <c r="F3" s="1306"/>
      <c r="G3" s="1306"/>
      <c r="H3" s="1306"/>
      <c r="I3" s="1306"/>
      <c r="J3" s="1306"/>
      <c r="K3" s="1306"/>
      <c r="L3" s="1306"/>
      <c r="M3" s="1307"/>
      <c r="N3" s="1308"/>
    </row>
    <row r="4" spans="1:14" ht="13.5" customHeight="1" x14ac:dyDescent="0.2">
      <c r="A4" s="427" t="s">
        <v>1635</v>
      </c>
      <c r="B4" s="428"/>
      <c r="C4" s="1571">
        <v>513142</v>
      </c>
      <c r="D4" s="1572">
        <v>115606</v>
      </c>
      <c r="E4" s="1572">
        <v>21194</v>
      </c>
      <c r="F4" s="1572">
        <v>67019</v>
      </c>
      <c r="G4" s="1572">
        <v>17497</v>
      </c>
      <c r="H4" s="1572">
        <v>18848</v>
      </c>
      <c r="I4" s="1572">
        <v>13603</v>
      </c>
      <c r="J4" s="1573">
        <v>37279</v>
      </c>
      <c r="K4" s="1572">
        <v>43511</v>
      </c>
      <c r="L4" s="1572">
        <v>24366</v>
      </c>
      <c r="M4" s="1574"/>
      <c r="N4" s="1575"/>
    </row>
    <row r="5" spans="1:14" x14ac:dyDescent="0.2">
      <c r="A5" s="427" t="s">
        <v>985</v>
      </c>
      <c r="B5" s="429">
        <v>120</v>
      </c>
      <c r="C5" s="1571">
        <v>408729</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921871</v>
      </c>
      <c r="D13" s="1586">
        <f t="shared" ref="D13:L13" si="0">SUM(D4:D12)</f>
        <v>115606</v>
      </c>
      <c r="E13" s="1586">
        <f t="shared" si="0"/>
        <v>21194</v>
      </c>
      <c r="F13" s="1586">
        <f t="shared" si="0"/>
        <v>67019</v>
      </c>
      <c r="G13" s="1586">
        <f t="shared" si="0"/>
        <v>17497</v>
      </c>
      <c r="H13" s="1586">
        <f t="shared" si="0"/>
        <v>18848</v>
      </c>
      <c r="I13" s="1586">
        <f t="shared" si="0"/>
        <v>13603</v>
      </c>
      <c r="J13" s="1586">
        <f t="shared" si="0"/>
        <v>37279</v>
      </c>
      <c r="K13" s="1586">
        <f t="shared" si="0"/>
        <v>43511</v>
      </c>
      <c r="L13" s="1586">
        <f t="shared" si="0"/>
        <v>24366</v>
      </c>
      <c r="M13" s="1574"/>
      <c r="N13" s="1575"/>
    </row>
    <row r="14" spans="1:14" ht="18" customHeight="1" thickTop="1" x14ac:dyDescent="0.2">
      <c r="A14" s="2210" t="s">
        <v>146</v>
      </c>
      <c r="B14" s="2211"/>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60500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4020750-2217324</f>
        <v>1803426</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795414-317862</f>
        <v>477552</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316258+267582-224900-267583</f>
        <v>91357</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21194</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122706</v>
      </c>
    </row>
    <row r="23" spans="1:14" ht="13.5" customHeight="1" thickBot="1" x14ac:dyDescent="0.25">
      <c r="A23" s="1425" t="s">
        <v>638</v>
      </c>
      <c r="B23" s="1428"/>
      <c r="C23" s="1574"/>
      <c r="D23" s="1574"/>
      <c r="E23" s="1574"/>
      <c r="F23" s="1574"/>
      <c r="G23" s="1574"/>
      <c r="H23" s="1574"/>
      <c r="I23" s="1574"/>
      <c r="J23" s="1574"/>
      <c r="K23" s="1574"/>
      <c r="L23" s="1574"/>
      <c r="M23" s="1593">
        <f>SUM(M15:M22)</f>
        <v>2432835</v>
      </c>
      <c r="N23" s="1593">
        <f>SUM(N21:N22)</f>
        <v>143900</v>
      </c>
    </row>
    <row r="24" spans="1:14" ht="18" customHeight="1" thickTop="1" x14ac:dyDescent="0.2">
      <c r="A24" s="2212" t="s">
        <v>594</v>
      </c>
      <c r="B24" s="2213"/>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80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24366</v>
      </c>
      <c r="M33" s="1574"/>
      <c r="N33" s="1575"/>
    </row>
    <row r="34" spans="1:14" ht="13.5" customHeight="1" thickBot="1" x14ac:dyDescent="0.25">
      <c r="A34" s="1426" t="s">
        <v>649</v>
      </c>
      <c r="B34" s="1427"/>
      <c r="C34" s="1599">
        <f>SUM(C25:C33)</f>
        <v>80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24366</v>
      </c>
      <c r="M34" s="1574"/>
      <c r="N34" s="1584"/>
    </row>
    <row r="35" spans="1:14" ht="18" customHeight="1" thickTop="1" x14ac:dyDescent="0.2">
      <c r="A35" s="2214" t="s">
        <v>526</v>
      </c>
      <c r="B35" s="2215"/>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143900</v>
      </c>
    </row>
    <row r="37" spans="1:14" ht="13.5" thickBot="1" x14ac:dyDescent="0.25">
      <c r="A37" s="1425" t="s">
        <v>648</v>
      </c>
      <c r="B37" s="1428"/>
      <c r="C37" s="1581"/>
      <c r="D37" s="1581"/>
      <c r="E37" s="1581"/>
      <c r="F37" s="1581"/>
      <c r="G37" s="1581"/>
      <c r="H37" s="1581"/>
      <c r="I37" s="1581"/>
      <c r="J37" s="1581"/>
      <c r="K37" s="1581"/>
      <c r="L37" s="1584"/>
      <c r="M37" s="1574"/>
      <c r="N37" s="1593">
        <f>SUM(N36:N36)</f>
        <v>143900</v>
      </c>
    </row>
    <row r="38" spans="1:14" s="307" customFormat="1" ht="13.5" customHeight="1" thickTop="1" x14ac:dyDescent="0.2">
      <c r="A38" s="438" t="s">
        <v>417</v>
      </c>
      <c r="B38" s="432">
        <v>714</v>
      </c>
      <c r="C38" s="1572">
        <v>0</v>
      </c>
      <c r="D38" s="1572">
        <v>115606</v>
      </c>
      <c r="E38" s="1572">
        <v>21194</v>
      </c>
      <c r="F38" s="1572">
        <v>67019</v>
      </c>
      <c r="G38" s="1572">
        <v>17497</v>
      </c>
      <c r="H38" s="1572">
        <v>18848</v>
      </c>
      <c r="I38" s="1572">
        <v>13603</v>
      </c>
      <c r="J38" s="1573">
        <v>37279</v>
      </c>
      <c r="K38" s="1572">
        <v>43511</v>
      </c>
      <c r="L38" s="1585">
        <v>0</v>
      </c>
      <c r="M38" s="1603"/>
      <c r="N38" s="1603"/>
    </row>
    <row r="39" spans="1:14" s="307" customFormat="1" ht="13.5" customHeight="1" x14ac:dyDescent="0.2">
      <c r="A39" s="438" t="s">
        <v>339</v>
      </c>
      <c r="B39" s="432">
        <v>730</v>
      </c>
      <c r="C39" s="1572">
        <v>921791</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2432835</v>
      </c>
      <c r="N40" s="1603"/>
    </row>
    <row r="41" spans="1:14" ht="13.5" customHeight="1" thickBot="1" x14ac:dyDescent="0.25">
      <c r="A41" s="1425" t="s">
        <v>650</v>
      </c>
      <c r="B41" s="1404"/>
      <c r="C41" s="1593">
        <f>(SUM(C34,C37,C38,C39))</f>
        <v>921871</v>
      </c>
      <c r="D41" s="1593">
        <f t="shared" ref="D41:L41" si="2">SUM(D34,D37,D38:D39)</f>
        <v>115606</v>
      </c>
      <c r="E41" s="1593">
        <f t="shared" si="2"/>
        <v>21194</v>
      </c>
      <c r="F41" s="1593">
        <f t="shared" si="2"/>
        <v>67019</v>
      </c>
      <c r="G41" s="1593">
        <f t="shared" si="2"/>
        <v>17497</v>
      </c>
      <c r="H41" s="1593">
        <f t="shared" si="2"/>
        <v>18848</v>
      </c>
      <c r="I41" s="1593">
        <f t="shared" si="2"/>
        <v>13603</v>
      </c>
      <c r="J41" s="1593">
        <f t="shared" si="2"/>
        <v>37279</v>
      </c>
      <c r="K41" s="1593">
        <f t="shared" si="2"/>
        <v>43511</v>
      </c>
      <c r="L41" s="1593">
        <f t="shared" si="2"/>
        <v>24366</v>
      </c>
      <c r="M41" s="1593">
        <f>SUM(M40)</f>
        <v>2432835</v>
      </c>
      <c r="N41" s="1593">
        <f>SUM(N37)</f>
        <v>143900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4" firstPageNumber="6" fitToWidth="2" orientation="landscape" useFirstPageNumber="1" r:id="rId1"/>
  <headerFooter alignWithMargins="0">
    <oddHeader xml:space="preserve">&amp;C&amp;"Calibri,Bold"&amp;9STATEMENT OF ASSETS AND LIABILITIES ARISING FROM CASH TRANSACTIONS
STATEMENT OF POSITION AS OF JUNE 30, 2020
</oddHeader>
    <oddFooter>&amp;C&amp;"Times New Roman,Regular"&amp;11The accompanying notes to the basic financial statements are an integral part of this financial statement.
Page &amp;P</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activeCell="I22" sqref="I22:S22"/>
      <selection pane="bottomLeft" activeCell="I22" sqref="I22:S2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1167</v>
      </c>
      <c r="B3" s="2237"/>
      <c r="C3" s="1310"/>
      <c r="D3" s="1311"/>
      <c r="E3" s="1311"/>
      <c r="F3" s="1311"/>
      <c r="G3" s="1311"/>
      <c r="H3" s="1311"/>
      <c r="I3" s="1311"/>
      <c r="J3" s="1311"/>
      <c r="K3" s="1312"/>
      <c r="L3" s="446"/>
    </row>
    <row r="4" spans="1:13" ht="15.75" customHeight="1" x14ac:dyDescent="0.2">
      <c r="A4" s="1536" t="s">
        <v>1485</v>
      </c>
      <c r="B4" s="1537">
        <v>1000</v>
      </c>
      <c r="C4" s="1605">
        <f>'Revenues 9-14'!C109</f>
        <v>635966</v>
      </c>
      <c r="D4" s="1605">
        <f>'Revenues 9-14'!D109</f>
        <v>77880</v>
      </c>
      <c r="E4" s="1605">
        <f>'Revenues 9-14'!E109</f>
        <v>145494</v>
      </c>
      <c r="F4" s="1605">
        <f>'Revenues 9-14'!F109</f>
        <v>34268</v>
      </c>
      <c r="G4" s="1605">
        <f>'Revenues 9-14'!G109</f>
        <v>144784</v>
      </c>
      <c r="H4" s="1605">
        <f>'Revenues 9-14'!H109</f>
        <v>147903</v>
      </c>
      <c r="I4" s="1605">
        <f>'Revenues 9-14'!I109</f>
        <v>8496</v>
      </c>
      <c r="J4" s="1605">
        <f>'Revenues 9-14'!J109</f>
        <v>199852</v>
      </c>
      <c r="K4" s="1605">
        <f>'Revenues 9-14'!K109</f>
        <v>10821</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1018043</v>
      </c>
      <c r="D6" s="1606">
        <f>'Revenues 9-14'!D170</f>
        <v>50000</v>
      </c>
      <c r="E6" s="1606">
        <f>'Revenues 9-14'!E170</f>
        <v>0</v>
      </c>
      <c r="F6" s="1606">
        <f>'Revenues 9-14'!F170</f>
        <v>67519</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358220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2012229</v>
      </c>
      <c r="D8" s="1593">
        <f t="shared" ref="D8:K8" si="0">SUM(D4:D7)</f>
        <v>127880</v>
      </c>
      <c r="E8" s="1593">
        <f t="shared" si="0"/>
        <v>145494</v>
      </c>
      <c r="F8" s="1593">
        <f t="shared" si="0"/>
        <v>101787</v>
      </c>
      <c r="G8" s="1593">
        <f t="shared" si="0"/>
        <v>144784</v>
      </c>
      <c r="H8" s="1593">
        <f t="shared" si="0"/>
        <v>147903</v>
      </c>
      <c r="I8" s="1593">
        <f t="shared" si="0"/>
        <v>8496</v>
      </c>
      <c r="J8" s="1593">
        <f t="shared" si="0"/>
        <v>199852</v>
      </c>
      <c r="K8" s="1593">
        <f t="shared" si="0"/>
        <v>10821</v>
      </c>
      <c r="L8" s="325"/>
    </row>
    <row r="9" spans="1:13" ht="15.75" thickTop="1" x14ac:dyDescent="0.2">
      <c r="A9" s="449" t="s">
        <v>1637</v>
      </c>
      <c r="B9" s="450">
        <v>3998</v>
      </c>
      <c r="C9" s="1585">
        <v>974044</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2986273</v>
      </c>
      <c r="D10" s="1593">
        <f t="shared" ref="D10:K10" si="1">SUM(D8:D9)</f>
        <v>127880</v>
      </c>
      <c r="E10" s="1593">
        <f t="shared" si="1"/>
        <v>145494</v>
      </c>
      <c r="F10" s="1593">
        <f t="shared" si="1"/>
        <v>101787</v>
      </c>
      <c r="G10" s="1593">
        <f t="shared" si="1"/>
        <v>144784</v>
      </c>
      <c r="H10" s="1593">
        <f t="shared" si="1"/>
        <v>147903</v>
      </c>
      <c r="I10" s="1593">
        <f t="shared" si="1"/>
        <v>8496</v>
      </c>
      <c r="J10" s="1593">
        <f t="shared" si="1"/>
        <v>199852</v>
      </c>
      <c r="K10" s="1593">
        <f t="shared" si="1"/>
        <v>10821</v>
      </c>
      <c r="L10" s="451"/>
    </row>
    <row r="11" spans="1:13" s="452" customFormat="1" ht="16.7" customHeight="1" thickTop="1" x14ac:dyDescent="0.2">
      <c r="A11" s="2210" t="s">
        <v>1168</v>
      </c>
      <c r="B11" s="2211"/>
      <c r="C11" s="1601"/>
      <c r="D11" s="1602"/>
      <c r="E11" s="1602"/>
      <c r="F11" s="1602"/>
      <c r="G11" s="1602"/>
      <c r="H11" s="1602"/>
      <c r="I11" s="1602"/>
      <c r="J11" s="1602"/>
      <c r="K11" s="1614"/>
      <c r="L11" s="451"/>
    </row>
    <row r="12" spans="1:13" ht="15.75" customHeight="1" x14ac:dyDescent="0.2">
      <c r="A12" s="1313" t="s">
        <v>453</v>
      </c>
      <c r="B12" s="1315">
        <v>1000</v>
      </c>
      <c r="C12" s="1605">
        <f>'Expenditures 15-22'!K33</f>
        <v>1135751</v>
      </c>
      <c r="D12" s="1615" t="s">
        <v>1161</v>
      </c>
      <c r="E12" s="1574" t="s">
        <v>1161</v>
      </c>
      <c r="F12" s="1574" t="s">
        <v>1161</v>
      </c>
      <c r="G12" s="1605">
        <f>'Expenditures 15-22'!K229</f>
        <v>32421</v>
      </c>
      <c r="H12" s="1616"/>
      <c r="I12" s="1574" t="s">
        <v>1161</v>
      </c>
      <c r="J12" s="1574" t="s">
        <v>1161</v>
      </c>
      <c r="K12" s="1616" t="s">
        <v>1161</v>
      </c>
      <c r="L12" s="325"/>
    </row>
    <row r="13" spans="1:13" ht="15.75" customHeight="1" x14ac:dyDescent="0.2">
      <c r="A13" s="1313" t="s">
        <v>454</v>
      </c>
      <c r="B13" s="1315">
        <v>2000</v>
      </c>
      <c r="C13" s="1606">
        <f>'Expenditures 15-22'!K74</f>
        <v>532498</v>
      </c>
      <c r="D13" s="1606">
        <f>'Expenditures 15-22'!K129</f>
        <v>78072</v>
      </c>
      <c r="E13" s="1575" t="s">
        <v>1161</v>
      </c>
      <c r="F13" s="1606">
        <f>'Expenditures 15-22'!K184</f>
        <v>63535</v>
      </c>
      <c r="G13" s="1606">
        <f>'Expenditures 15-22'!K279</f>
        <v>104379</v>
      </c>
      <c r="H13" s="1606">
        <f>'Expenditures 15-22'!K303</f>
        <v>99454</v>
      </c>
      <c r="I13" s="1574" t="s">
        <v>1161</v>
      </c>
      <c r="J13" s="1606">
        <f>'Expenditures 15-22'!K330</f>
        <v>203173</v>
      </c>
      <c r="K13" s="1617">
        <f>'Expenditures 15-22'!K352</f>
        <v>26721</v>
      </c>
      <c r="L13" s="325"/>
    </row>
    <row r="14" spans="1:13" ht="15.75" customHeight="1" x14ac:dyDescent="0.2">
      <c r="A14" s="1313" t="s">
        <v>446</v>
      </c>
      <c r="B14" s="1315">
        <v>3000</v>
      </c>
      <c r="C14" s="1606">
        <f>'Expenditures 15-22'!K75</f>
        <v>1628</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122108</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145585</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1791985</v>
      </c>
      <c r="D17" s="1593">
        <f t="shared" si="2"/>
        <v>78072</v>
      </c>
      <c r="E17" s="1593">
        <f t="shared" si="2"/>
        <v>145585</v>
      </c>
      <c r="F17" s="1593">
        <f t="shared" si="2"/>
        <v>63535</v>
      </c>
      <c r="G17" s="1593">
        <f t="shared" si="2"/>
        <v>136800</v>
      </c>
      <c r="H17" s="1593">
        <f t="shared" si="2"/>
        <v>99454</v>
      </c>
      <c r="I17" s="1574"/>
      <c r="J17" s="1593">
        <f>SUM(J12:J16)</f>
        <v>203173</v>
      </c>
      <c r="K17" s="1593">
        <f>SUM(K12:K16)</f>
        <v>26721</v>
      </c>
      <c r="L17" s="325"/>
    </row>
    <row r="18" spans="1:12" ht="15" customHeight="1" thickTop="1" x14ac:dyDescent="0.2">
      <c r="A18" s="1429" t="s">
        <v>1638</v>
      </c>
      <c r="B18" s="1430">
        <v>4180</v>
      </c>
      <c r="C18" s="1605">
        <f t="shared" ref="C18:H18" si="3">C9</f>
        <v>974044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2766029</v>
      </c>
      <c r="D19" s="1593">
        <f t="shared" si="4"/>
        <v>78072</v>
      </c>
      <c r="E19" s="1593">
        <f t="shared" si="4"/>
        <v>145585</v>
      </c>
      <c r="F19" s="1593">
        <f t="shared" si="4"/>
        <v>63535</v>
      </c>
      <c r="G19" s="1593">
        <f t="shared" si="4"/>
        <v>136800</v>
      </c>
      <c r="H19" s="1593">
        <f t="shared" si="4"/>
        <v>99454</v>
      </c>
      <c r="I19" s="1574"/>
      <c r="J19" s="1593">
        <f>SUM(J17:J18)</f>
        <v>203173</v>
      </c>
      <c r="K19" s="1593">
        <f>SUM(K17:K18)</f>
        <v>26721</v>
      </c>
      <c r="L19" s="325"/>
    </row>
    <row r="20" spans="1:12" ht="16.5" thickTop="1" thickBot="1" x14ac:dyDescent="0.25">
      <c r="A20" s="2226" t="s">
        <v>1639</v>
      </c>
      <c r="B20" s="2227"/>
      <c r="C20" s="1621">
        <f>C8-C17</f>
        <v>220244</v>
      </c>
      <c r="D20" s="1621">
        <f t="shared" ref="D20:K20" si="5">D8-D17</f>
        <v>49808</v>
      </c>
      <c r="E20" s="1621">
        <f t="shared" si="5"/>
        <v>-91</v>
      </c>
      <c r="F20" s="1621">
        <f t="shared" si="5"/>
        <v>38252</v>
      </c>
      <c r="G20" s="1621">
        <f t="shared" si="5"/>
        <v>7984</v>
      </c>
      <c r="H20" s="1621">
        <f t="shared" si="5"/>
        <v>48449</v>
      </c>
      <c r="I20" s="1621">
        <f t="shared" si="5"/>
        <v>8496</v>
      </c>
      <c r="J20" s="1621">
        <f t="shared" si="5"/>
        <v>-3321</v>
      </c>
      <c r="K20" s="1621">
        <f t="shared" si="5"/>
        <v>-15900</v>
      </c>
      <c r="L20" s="325"/>
    </row>
    <row r="21" spans="1:12" ht="16.7" customHeight="1" thickTop="1" x14ac:dyDescent="0.2">
      <c r="A21" s="2238" t="s">
        <v>591</v>
      </c>
      <c r="B21" s="2239"/>
      <c r="C21" s="1601"/>
      <c r="D21" s="1602"/>
      <c r="E21" s="1602"/>
      <c r="F21" s="1602"/>
      <c r="G21" s="1602"/>
      <c r="H21" s="1602"/>
      <c r="I21" s="1602"/>
      <c r="J21" s="1602"/>
      <c r="K21" s="1614"/>
      <c r="L21" s="453"/>
    </row>
    <row r="22" spans="1:12" ht="15.75" customHeight="1" collapsed="1" x14ac:dyDescent="0.2">
      <c r="A22" s="2234" t="s">
        <v>592</v>
      </c>
      <c r="B22" s="2235"/>
      <c r="C22" s="1581"/>
      <c r="D22" s="1581"/>
      <c r="E22" s="1581"/>
      <c r="F22" s="1581"/>
      <c r="G22" s="1581"/>
      <c r="H22" s="1581"/>
      <c r="I22" s="1581"/>
      <c r="J22" s="1581"/>
      <c r="K22" s="1581"/>
      <c r="L22" s="325"/>
    </row>
    <row r="23" spans="1:12" s="433" customFormat="1" ht="15.75" customHeight="1" x14ac:dyDescent="0.2">
      <c r="A23" s="2230" t="s">
        <v>290</v>
      </c>
      <c r="B23" s="2231"/>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55000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1384</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32" t="s">
        <v>974</v>
      </c>
      <c r="B32" s="2233"/>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c r="F43" s="1573">
        <v>0</v>
      </c>
      <c r="G43" s="1573">
        <v>0</v>
      </c>
      <c r="H43" s="1573">
        <v>0</v>
      </c>
      <c r="I43" s="1573">
        <v>0</v>
      </c>
      <c r="J43" s="1573">
        <v>0</v>
      </c>
      <c r="K43" s="1573">
        <v>0</v>
      </c>
      <c r="L43" s="453"/>
    </row>
    <row r="44" spans="1:12" s="433" customFormat="1" ht="13.5" customHeight="1" thickBot="1" x14ac:dyDescent="0.25">
      <c r="A44" s="2240" t="s">
        <v>371</v>
      </c>
      <c r="B44" s="2241"/>
      <c r="C44" s="1623">
        <f>SUM(C24:C43)</f>
        <v>55000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4" t="s">
        <v>108</v>
      </c>
      <c r="B45" s="2235"/>
      <c r="C45" s="1624"/>
      <c r="D45" s="1624"/>
      <c r="E45" s="1624"/>
      <c r="F45" s="1624"/>
      <c r="G45" s="1624"/>
      <c r="H45" s="1624"/>
      <c r="I45" s="1624"/>
      <c r="J45" s="1624"/>
      <c r="K45" s="1624"/>
      <c r="L45" s="325"/>
    </row>
    <row r="46" spans="1:12" s="433" customFormat="1" ht="15.75" customHeight="1" x14ac:dyDescent="0.2">
      <c r="A46" s="2242" t="s">
        <v>109</v>
      </c>
      <c r="B46" s="2243"/>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55000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16" t="s">
        <v>437</v>
      </c>
      <c r="B76" s="2217"/>
      <c r="C76" s="1623">
        <f t="shared" ref="C76:K76" si="7">SUM(C47:C75)</f>
        <v>0</v>
      </c>
      <c r="D76" s="1623">
        <f t="shared" si="7"/>
        <v>0</v>
      </c>
      <c r="E76" s="1623">
        <f t="shared" si="7"/>
        <v>0</v>
      </c>
      <c r="F76" s="1623">
        <f t="shared" si="7"/>
        <v>0</v>
      </c>
      <c r="G76" s="1623">
        <f t="shared" si="7"/>
        <v>0</v>
      </c>
      <c r="H76" s="1623">
        <f t="shared" si="7"/>
        <v>0</v>
      </c>
      <c r="I76" s="1623">
        <f t="shared" si="7"/>
        <v>55000</v>
      </c>
      <c r="J76" s="1623">
        <f t="shared" si="7"/>
        <v>0</v>
      </c>
      <c r="K76" s="1623">
        <f t="shared" si="7"/>
        <v>0</v>
      </c>
      <c r="L76" s="453"/>
    </row>
    <row r="77" spans="1:12" ht="14.25" thickTop="1" thickBot="1" x14ac:dyDescent="0.25">
      <c r="A77" s="2218" t="s">
        <v>1169</v>
      </c>
      <c r="B77" s="2219"/>
      <c r="C77" s="1623">
        <f t="shared" ref="C77:K77" si="8">C44-C76</f>
        <v>55000</v>
      </c>
      <c r="D77" s="1623">
        <f t="shared" si="8"/>
        <v>0</v>
      </c>
      <c r="E77" s="1623">
        <f t="shared" si="8"/>
        <v>0</v>
      </c>
      <c r="F77" s="1623">
        <f t="shared" si="8"/>
        <v>0</v>
      </c>
      <c r="G77" s="1623">
        <f t="shared" si="8"/>
        <v>0</v>
      </c>
      <c r="H77" s="1623">
        <f t="shared" si="8"/>
        <v>0</v>
      </c>
      <c r="I77" s="1623">
        <f t="shared" si="8"/>
        <v>-55000</v>
      </c>
      <c r="J77" s="1623">
        <f t="shared" si="8"/>
        <v>0</v>
      </c>
      <c r="K77" s="1623">
        <f t="shared" si="8"/>
        <v>0</v>
      </c>
      <c r="L77" s="325"/>
    </row>
    <row r="78" spans="1:12" ht="21.75" customHeight="1" thickTop="1" thickBot="1" x14ac:dyDescent="0.25">
      <c r="A78" s="2222" t="s">
        <v>593</v>
      </c>
      <c r="B78" s="2223"/>
      <c r="C78" s="1628">
        <f t="shared" ref="C78:K78" si="9">C20+C77</f>
        <v>275244</v>
      </c>
      <c r="D78" s="1628">
        <f t="shared" si="9"/>
        <v>49808</v>
      </c>
      <c r="E78" s="1628">
        <f t="shared" si="9"/>
        <v>-91</v>
      </c>
      <c r="F78" s="1628">
        <f t="shared" si="9"/>
        <v>38252</v>
      </c>
      <c r="G78" s="1628">
        <f t="shared" si="9"/>
        <v>7984</v>
      </c>
      <c r="H78" s="1628">
        <f t="shared" si="9"/>
        <v>48449</v>
      </c>
      <c r="I78" s="1628">
        <f t="shared" si="9"/>
        <v>-46504</v>
      </c>
      <c r="J78" s="1628">
        <f t="shared" si="9"/>
        <v>-3321</v>
      </c>
      <c r="K78" s="1628">
        <f t="shared" si="9"/>
        <v>-15900</v>
      </c>
      <c r="L78" s="457"/>
    </row>
    <row r="79" spans="1:12" ht="13.5" thickTop="1" x14ac:dyDescent="0.2">
      <c r="A79" s="1843" t="str">
        <f>"Fund Balances - July 1, "&amp;'AFR20'!E2-1</f>
        <v>Fund Balances - July 1, 2019</v>
      </c>
      <c r="B79" s="458"/>
      <c r="C79" s="1582">
        <v>646547</v>
      </c>
      <c r="D79" s="1629">
        <v>65798</v>
      </c>
      <c r="E79" s="1629">
        <v>21285</v>
      </c>
      <c r="F79" s="1629">
        <v>28767</v>
      </c>
      <c r="G79" s="1629">
        <v>9513</v>
      </c>
      <c r="H79" s="1629">
        <v>-29601</v>
      </c>
      <c r="I79" s="1629">
        <v>60107</v>
      </c>
      <c r="J79" s="1629">
        <v>40600</v>
      </c>
      <c r="K79" s="1629">
        <v>59411</v>
      </c>
      <c r="L79" s="325"/>
    </row>
    <row r="80" spans="1:12" x14ac:dyDescent="0.2">
      <c r="A80" s="2228" t="s">
        <v>1774</v>
      </c>
      <c r="B80" s="2229"/>
      <c r="C80" s="1573">
        <v>0</v>
      </c>
      <c r="D80" s="1573">
        <v>0</v>
      </c>
      <c r="E80" s="1573">
        <v>0</v>
      </c>
      <c r="F80" s="1573">
        <v>0</v>
      </c>
      <c r="G80" s="1573">
        <v>0</v>
      </c>
      <c r="H80" s="1573">
        <v>0</v>
      </c>
      <c r="I80" s="1573">
        <v>0</v>
      </c>
      <c r="J80" s="1573">
        <v>0</v>
      </c>
      <c r="K80" s="1573">
        <v>0</v>
      </c>
      <c r="L80" s="325"/>
    </row>
    <row r="81" spans="1:12" ht="13.5" thickBot="1" x14ac:dyDescent="0.25">
      <c r="A81" s="2220" t="str">
        <f>"Fund Balances - June 30, "&amp;'AFR20'!E2</f>
        <v>Fund Balances - June 30, 2020</v>
      </c>
      <c r="B81" s="2221"/>
      <c r="C81" s="1593">
        <f>(SUM(C78:C80))</f>
        <v>921791</v>
      </c>
      <c r="D81" s="1593">
        <f>SUM(D78:D80)</f>
        <v>115606</v>
      </c>
      <c r="E81" s="1593">
        <f t="shared" ref="E81:K81" si="10">SUM(E78:E80)</f>
        <v>21194</v>
      </c>
      <c r="F81" s="1593">
        <f t="shared" si="10"/>
        <v>67019</v>
      </c>
      <c r="G81" s="1593">
        <f t="shared" si="10"/>
        <v>17497</v>
      </c>
      <c r="H81" s="1593">
        <f t="shared" si="10"/>
        <v>18848</v>
      </c>
      <c r="I81" s="1593">
        <f t="shared" si="10"/>
        <v>13603</v>
      </c>
      <c r="J81" s="1593">
        <f t="shared" si="10"/>
        <v>37279</v>
      </c>
      <c r="K81" s="1593">
        <f t="shared" si="10"/>
        <v>43511</v>
      </c>
      <c r="L81" s="325"/>
    </row>
    <row r="82" spans="1:12" ht="0.75" customHeight="1" thickTop="1" thickBot="1" x14ac:dyDescent="0.25">
      <c r="A82" s="459" t="s">
        <v>340</v>
      </c>
      <c r="B82" s="460"/>
      <c r="C82" s="461">
        <f>(C81-C79)</f>
        <v>275244</v>
      </c>
      <c r="D82" s="461">
        <f t="shared" ref="D82:K82" si="11">(D81-D79)</f>
        <v>49808</v>
      </c>
      <c r="E82" s="461">
        <f t="shared" si="11"/>
        <v>-91</v>
      </c>
      <c r="F82" s="461">
        <f t="shared" si="11"/>
        <v>38252</v>
      </c>
      <c r="G82" s="461">
        <f t="shared" si="11"/>
        <v>7984</v>
      </c>
      <c r="H82" s="461">
        <f t="shared" si="11"/>
        <v>48449</v>
      </c>
      <c r="I82" s="461">
        <f t="shared" si="11"/>
        <v>-46504</v>
      </c>
      <c r="J82" s="461">
        <f t="shared" si="11"/>
        <v>-3321</v>
      </c>
      <c r="K82" s="461">
        <f t="shared" si="11"/>
        <v>-15900</v>
      </c>
    </row>
    <row r="83" spans="1:12" ht="14.25" hidden="1" thickTop="1" thickBot="1" x14ac:dyDescent="0.25">
      <c r="A83" s="462" t="s">
        <v>341</v>
      </c>
      <c r="B83" s="428"/>
      <c r="C83" s="463">
        <f>C82/C81</f>
        <v>0.29859697046293576</v>
      </c>
      <c r="D83" s="463">
        <f t="shared" ref="D83:K83" si="12">D82/D81</f>
        <v>0.43084268982578761</v>
      </c>
      <c r="E83" s="463">
        <f t="shared" si="12"/>
        <v>-4.2936680192507317E-3</v>
      </c>
      <c r="F83" s="463">
        <f t="shared" si="12"/>
        <v>0.57076351482415433</v>
      </c>
      <c r="G83" s="463">
        <f t="shared" si="12"/>
        <v>0.45630679545064867</v>
      </c>
      <c r="H83" s="463">
        <f t="shared" si="12"/>
        <v>2.5705114601018675</v>
      </c>
      <c r="I83" s="463">
        <f t="shared" si="12"/>
        <v>-3.4186576490480043</v>
      </c>
      <c r="J83" s="463">
        <f t="shared" si="12"/>
        <v>-8.9085007645054851E-2</v>
      </c>
      <c r="K83" s="463">
        <f t="shared" si="12"/>
        <v>-0.36542483509917034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 xml:space="preserve">&amp;C&amp;"Calibri,Bold"&amp;9STATEMENT OF REVENUES RECEIVED/REVENUES, EXPENDITURES DISBURSED/EXPENDITURES, OTHER 
SOURCES (USES) AND CHANGES IN FUND BALANCE
  FOR THE YEAR ENDING JUNE 30, 2020 </oddHeader>
    <oddFooter>&amp;C&amp;"Times New Roman,Regular"&amp;11The accompanying notes to the basic financial statements are an integral part of this financial statement.
Page &amp;P</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189" activePane="bottomLeft" state="frozen"/>
      <selection activeCell="H4" sqref="H4"/>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1781</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383191</v>
      </c>
      <c r="D5" s="1585">
        <v>77200</v>
      </c>
      <c r="E5" s="1572">
        <v>144923</v>
      </c>
      <c r="F5" s="1630">
        <v>23375</v>
      </c>
      <c r="G5" s="1572">
        <v>74440</v>
      </c>
      <c r="H5" s="1572">
        <v>0</v>
      </c>
      <c r="I5" s="1572">
        <v>8463</v>
      </c>
      <c r="J5" s="1573">
        <v>194778</v>
      </c>
      <c r="K5" s="1572">
        <v>10778</v>
      </c>
    </row>
    <row r="6" spans="1:12" ht="15" x14ac:dyDescent="0.2">
      <c r="A6" s="427" t="s">
        <v>1646</v>
      </c>
      <c r="B6" s="429">
        <v>1130</v>
      </c>
      <c r="C6" s="1572">
        <v>10778</v>
      </c>
      <c r="D6" s="1572">
        <v>0</v>
      </c>
      <c r="E6" s="1579"/>
      <c r="F6" s="1579"/>
      <c r="G6" s="1574"/>
      <c r="H6" s="1574"/>
      <c r="I6" s="1574"/>
      <c r="J6" s="1574"/>
      <c r="K6" s="1574"/>
    </row>
    <row r="7" spans="1:12" x14ac:dyDescent="0.2">
      <c r="A7" s="427" t="s">
        <v>110</v>
      </c>
      <c r="B7" s="471">
        <v>1140</v>
      </c>
      <c r="C7" s="1572">
        <v>3933</v>
      </c>
      <c r="D7" s="1572">
        <v>0</v>
      </c>
      <c r="E7" s="1574"/>
      <c r="F7" s="1573">
        <v>0</v>
      </c>
      <c r="G7" s="1573">
        <v>0</v>
      </c>
      <c r="H7" s="1573">
        <v>0</v>
      </c>
      <c r="I7" s="1574"/>
      <c r="J7" s="1574"/>
      <c r="K7" s="1574"/>
    </row>
    <row r="8" spans="1:12" x14ac:dyDescent="0.2">
      <c r="A8" s="427" t="s">
        <v>410</v>
      </c>
      <c r="B8" s="429">
        <v>1150</v>
      </c>
      <c r="C8" s="1579"/>
      <c r="D8" s="1579"/>
      <c r="E8" s="1581"/>
      <c r="F8" s="1581"/>
      <c r="G8" s="1585">
        <v>26299</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397902</v>
      </c>
      <c r="D12" s="1632">
        <f t="shared" si="0"/>
        <v>77200</v>
      </c>
      <c r="E12" s="1632">
        <f t="shared" si="0"/>
        <v>144923</v>
      </c>
      <c r="F12" s="1632">
        <f t="shared" si="0"/>
        <v>23375</v>
      </c>
      <c r="G12" s="1632">
        <f t="shared" si="0"/>
        <v>100739</v>
      </c>
      <c r="H12" s="1632">
        <f t="shared" si="0"/>
        <v>0</v>
      </c>
      <c r="I12" s="1632">
        <f t="shared" si="0"/>
        <v>8463</v>
      </c>
      <c r="J12" s="1632">
        <f t="shared" si="0"/>
        <v>194778</v>
      </c>
      <c r="K12" s="1593">
        <f t="shared" si="0"/>
        <v>10778</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1569</v>
      </c>
      <c r="D14" s="1572">
        <v>304</v>
      </c>
      <c r="E14" s="1572">
        <v>571</v>
      </c>
      <c r="F14" s="1572">
        <v>92</v>
      </c>
      <c r="G14" s="1572">
        <v>397</v>
      </c>
      <c r="H14" s="1572">
        <v>0</v>
      </c>
      <c r="I14" s="1572">
        <v>33</v>
      </c>
      <c r="J14" s="1573">
        <v>768</v>
      </c>
      <c r="K14" s="1572">
        <v>43</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1647</v>
      </c>
      <c r="B16" s="471">
        <v>1230</v>
      </c>
      <c r="C16" s="1631">
        <v>171635</v>
      </c>
      <c r="D16" s="1572">
        <v>0</v>
      </c>
      <c r="E16" s="1572">
        <v>0</v>
      </c>
      <c r="F16" s="1572">
        <v>0</v>
      </c>
      <c r="G16" s="1572">
        <v>43648</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173204</v>
      </c>
      <c r="D18" s="1634">
        <f t="shared" ref="D18:K18" si="1">SUM(D14:D17)</f>
        <v>304</v>
      </c>
      <c r="E18" s="1634">
        <f t="shared" si="1"/>
        <v>571</v>
      </c>
      <c r="F18" s="1634">
        <f t="shared" si="1"/>
        <v>92</v>
      </c>
      <c r="G18" s="1634">
        <f t="shared" si="1"/>
        <v>44045</v>
      </c>
      <c r="H18" s="1634">
        <f t="shared" si="1"/>
        <v>0</v>
      </c>
      <c r="I18" s="1634">
        <f t="shared" si="1"/>
        <v>33</v>
      </c>
      <c r="J18" s="1634">
        <f t="shared" si="1"/>
        <v>768</v>
      </c>
      <c r="K18" s="1635">
        <f t="shared" si="1"/>
        <v>43</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18400</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18400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12408</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12408</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15765</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2237</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18002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5125</v>
      </c>
      <c r="D77" s="1572">
        <v>0</v>
      </c>
      <c r="E77" s="1574"/>
      <c r="F77" s="1574"/>
      <c r="G77" s="1574"/>
      <c r="H77" s="1574"/>
      <c r="I77" s="1574"/>
      <c r="J77" s="1574"/>
      <c r="K77" s="1574"/>
    </row>
    <row r="78" spans="1:11" ht="12.75" customHeight="1" x14ac:dyDescent="0.2">
      <c r="A78" s="427" t="s">
        <v>76</v>
      </c>
      <c r="B78" s="429">
        <v>1719</v>
      </c>
      <c r="C78" s="1631">
        <v>5928</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79</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11132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2430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14</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2444</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0</v>
      </c>
      <c r="D95" s="1631">
        <v>210</v>
      </c>
      <c r="E95" s="1616"/>
      <c r="F95" s="1616"/>
      <c r="G95" s="1616"/>
      <c r="H95" s="1616"/>
      <c r="I95" s="1616"/>
      <c r="J95" s="1616"/>
      <c r="K95" s="1616"/>
    </row>
    <row r="96" spans="1:11" ht="12.75" customHeight="1" x14ac:dyDescent="0.2">
      <c r="A96" s="427" t="s">
        <v>388</v>
      </c>
      <c r="B96" s="429">
        <v>1920</v>
      </c>
      <c r="C96" s="1631">
        <v>1500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974</v>
      </c>
      <c r="D99" s="1572">
        <v>166</v>
      </c>
      <c r="E99" s="1572">
        <v>0</v>
      </c>
      <c r="F99" s="1572">
        <v>10801</v>
      </c>
      <c r="G99" s="1572">
        <v>0</v>
      </c>
      <c r="H99" s="1572">
        <v>0</v>
      </c>
      <c r="I99" s="1574"/>
      <c r="J99" s="1573">
        <v>4306</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147903</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0</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2474</v>
      </c>
      <c r="D108" s="1632">
        <f t="shared" ref="D108:K108" si="3">SUM(D95:D107)</f>
        <v>376</v>
      </c>
      <c r="E108" s="1632">
        <f t="shared" si="3"/>
        <v>0</v>
      </c>
      <c r="F108" s="1632">
        <f t="shared" si="3"/>
        <v>10801</v>
      </c>
      <c r="G108" s="1632">
        <f t="shared" si="3"/>
        <v>0</v>
      </c>
      <c r="H108" s="1632">
        <f t="shared" si="3"/>
        <v>147903</v>
      </c>
      <c r="I108" s="1632">
        <f t="shared" si="3"/>
        <v>0</v>
      </c>
      <c r="J108" s="1632">
        <f t="shared" si="3"/>
        <v>4306</v>
      </c>
      <c r="K108" s="1593">
        <f t="shared" si="3"/>
        <v>0</v>
      </c>
    </row>
    <row r="109" spans="1:12" ht="14.25" thickTop="1" thickBot="1" x14ac:dyDescent="0.25">
      <c r="A109" s="1408" t="s">
        <v>246</v>
      </c>
      <c r="B109" s="1409" t="s">
        <v>566</v>
      </c>
      <c r="C109" s="1640">
        <f t="shared" ref="C109:K109" si="4">SUM(C12,C18,C40,C63,C67,C75,C82,C93,C108,)</f>
        <v>635966</v>
      </c>
      <c r="D109" s="1640">
        <f t="shared" si="4"/>
        <v>77880</v>
      </c>
      <c r="E109" s="1640">
        <f t="shared" si="4"/>
        <v>145494</v>
      </c>
      <c r="F109" s="1640">
        <f t="shared" si="4"/>
        <v>34268</v>
      </c>
      <c r="G109" s="1640">
        <f t="shared" si="4"/>
        <v>144784</v>
      </c>
      <c r="H109" s="1640">
        <f t="shared" si="4"/>
        <v>147903</v>
      </c>
      <c r="I109" s="1640">
        <f t="shared" si="4"/>
        <v>8496</v>
      </c>
      <c r="J109" s="1640">
        <f t="shared" si="4"/>
        <v>199852</v>
      </c>
      <c r="K109" s="1628">
        <f t="shared" si="4"/>
        <v>10821</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990336</v>
      </c>
      <c r="D117" s="1585">
        <v>0</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1894</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990336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25927</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25927</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1030</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46601</v>
      </c>
      <c r="G152" s="1573">
        <v>0</v>
      </c>
      <c r="H152" s="1574"/>
      <c r="I152" s="1574"/>
      <c r="J152" s="1574"/>
      <c r="K152" s="1574"/>
    </row>
    <row r="153" spans="1:11" ht="12.75" customHeight="1" x14ac:dyDescent="0.2">
      <c r="A153" s="427" t="s">
        <v>1050</v>
      </c>
      <c r="B153" s="478">
        <v>3510</v>
      </c>
      <c r="C153" s="1631">
        <v>0</v>
      </c>
      <c r="D153" s="1572">
        <v>0</v>
      </c>
      <c r="E153" s="1639"/>
      <c r="F153" s="1572">
        <v>20918</v>
      </c>
      <c r="G153" s="1573">
        <v>0</v>
      </c>
      <c r="H153" s="1574"/>
      <c r="I153" s="1574"/>
      <c r="J153" s="1574"/>
      <c r="K153" s="1574"/>
    </row>
    <row r="154" spans="1:11" ht="12.75" customHeight="1" x14ac:dyDescent="0.2">
      <c r="A154" s="427" t="s">
        <v>69</v>
      </c>
      <c r="B154" s="478">
        <v>3599</v>
      </c>
      <c r="C154" s="1631">
        <v>0</v>
      </c>
      <c r="D154" s="1572">
        <v>0</v>
      </c>
      <c r="E154" s="1639"/>
      <c r="F154" s="1572"/>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67519</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1044</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750</v>
      </c>
      <c r="D168" s="1654">
        <v>0</v>
      </c>
      <c r="E168" s="1654">
        <v>0</v>
      </c>
      <c r="F168" s="1654">
        <v>0</v>
      </c>
      <c r="G168" s="1655">
        <v>0</v>
      </c>
      <c r="H168" s="1656">
        <v>0</v>
      </c>
      <c r="I168" s="1655">
        <v>0</v>
      </c>
      <c r="J168" s="1655">
        <v>0</v>
      </c>
      <c r="K168" s="1656">
        <v>0</v>
      </c>
    </row>
    <row r="169" spans="1:11" ht="12.75" customHeight="1" thickTop="1" thickBot="1" x14ac:dyDescent="0.25">
      <c r="A169" s="2244" t="s">
        <v>395</v>
      </c>
      <c r="B169" s="2245"/>
      <c r="C169" s="1657">
        <f t="shared" ref="C169:K169" si="6">SUM(C132,C141,C145,C146:C150,C155,C156:C167,C168)</f>
        <v>27707</v>
      </c>
      <c r="D169" s="1657">
        <f t="shared" si="6"/>
        <v>50000</v>
      </c>
      <c r="E169" s="1657">
        <f t="shared" si="6"/>
        <v>0</v>
      </c>
      <c r="F169" s="1657">
        <f t="shared" si="6"/>
        <v>67519</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1018043</v>
      </c>
      <c r="D170" s="1640">
        <f t="shared" si="7"/>
        <v>50000</v>
      </c>
      <c r="E170" s="1640">
        <f t="shared" si="7"/>
        <v>0</v>
      </c>
      <c r="F170" s="1640">
        <f t="shared" si="7"/>
        <v>67519</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46" t="s">
        <v>1478</v>
      </c>
      <c r="B172" s="2247"/>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50" t="s">
        <v>1649</v>
      </c>
      <c r="B175" s="2251"/>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4" t="s">
        <v>1648</v>
      </c>
      <c r="B176" s="2255"/>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52" t="s">
        <v>780</v>
      </c>
      <c r="B181" s="2253"/>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48" t="s">
        <v>1782</v>
      </c>
      <c r="B182" s="2249"/>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10336</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10336</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53113</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22294</v>
      </c>
      <c r="D193" s="1574"/>
      <c r="E193" s="1639"/>
      <c r="F193" s="1574"/>
      <c r="G193" s="1663">
        <v>0</v>
      </c>
      <c r="H193" s="1574"/>
      <c r="I193" s="1574"/>
      <c r="J193" s="1574"/>
      <c r="K193" s="1574"/>
    </row>
    <row r="194" spans="1:11" ht="12.75" customHeight="1" x14ac:dyDescent="0.2">
      <c r="A194" s="427" t="s">
        <v>1437</v>
      </c>
      <c r="B194" s="429">
        <v>4225</v>
      </c>
      <c r="C194" s="1631">
        <v>22892</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98299</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160300</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160300</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15003</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15003</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1565</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48816</v>
      </c>
      <c r="D213" s="1572">
        <v>0</v>
      </c>
      <c r="E213" s="1574"/>
      <c r="F213" s="1572">
        <v>0</v>
      </c>
      <c r="G213" s="1572">
        <v>0</v>
      </c>
      <c r="H213" s="1574"/>
      <c r="I213" s="1574"/>
      <c r="J213" s="1574"/>
      <c r="K213" s="1574"/>
    </row>
    <row r="214" spans="1:11" ht="12.75" customHeight="1" x14ac:dyDescent="0.2">
      <c r="A214" s="427" t="s">
        <v>1047</v>
      </c>
      <c r="B214" s="429">
        <v>4625</v>
      </c>
      <c r="C214" s="1631">
        <v>0</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50381</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1895</v>
      </c>
      <c r="B261" s="429">
        <v>4981</v>
      </c>
      <c r="C261" s="1649">
        <v>0</v>
      </c>
      <c r="D261" s="1650">
        <v>0</v>
      </c>
      <c r="E261" s="1574"/>
      <c r="F261" s="1650">
        <v>0</v>
      </c>
      <c r="G261" s="1650">
        <v>0</v>
      </c>
      <c r="H261" s="1574"/>
      <c r="I261" s="1574"/>
      <c r="J261" s="1574"/>
      <c r="K261" s="1574"/>
    </row>
    <row r="262" spans="1:11" ht="12.75" customHeight="1" thickTop="1" thickBot="1" x14ac:dyDescent="0.25">
      <c r="A262" s="1539" t="s">
        <v>1896</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3437</v>
      </c>
      <c r="D263" s="1650">
        <v>0</v>
      </c>
      <c r="E263" s="1574"/>
      <c r="F263" s="1650">
        <v>0</v>
      </c>
      <c r="G263" s="1650">
        <v>0</v>
      </c>
      <c r="H263" s="1574"/>
      <c r="I263" s="1574"/>
      <c r="J263" s="1574"/>
      <c r="K263" s="1574"/>
    </row>
    <row r="264" spans="1:11" ht="12.75" customHeight="1" thickTop="1" thickBot="1" x14ac:dyDescent="0.25">
      <c r="A264" s="427" t="s">
        <v>374</v>
      </c>
      <c r="B264" s="429">
        <v>4992</v>
      </c>
      <c r="C264" s="1649">
        <v>20464</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358220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358220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2012229</v>
      </c>
      <c r="D268" s="1640">
        <f t="shared" si="12"/>
        <v>127880</v>
      </c>
      <c r="E268" s="1640">
        <f t="shared" si="12"/>
        <v>145494</v>
      </c>
      <c r="F268" s="1640">
        <f t="shared" si="12"/>
        <v>101787</v>
      </c>
      <c r="G268" s="1640">
        <f t="shared" si="12"/>
        <v>144784</v>
      </c>
      <c r="H268" s="1640">
        <f t="shared" si="12"/>
        <v>147903</v>
      </c>
      <c r="I268" s="1640">
        <f t="shared" si="12"/>
        <v>8496</v>
      </c>
      <c r="J268" s="1640">
        <f t="shared" si="12"/>
        <v>199852</v>
      </c>
      <c r="K268" s="1628">
        <f t="shared" si="12"/>
        <v>10821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0" firstPageNumber="10" orientation="landscape" useFirstPageNumber="1" r:id="rId1"/>
  <headerFooter alignWithMargins="0">
    <oddHeader>&amp;C&amp;"Calibri,Bold"&amp;9STATEMENT OF REVENUES RECEIVED/REVENUES
FOR THE YEAR ENDING JUNE 30, 2020</oddHeader>
    <oddFooter>&amp;C&amp;"Times New Roman,Regular"&amp;11The accompanying notes to the basic financial statements are an integral part of this financial statement.
Page &amp;P</oddFooter>
  </headerFooter>
  <rowBreaks count="5" manualBreakCount="5">
    <brk id="45" max="16383" man="1"/>
    <brk id="89" max="16383" man="1"/>
    <brk id="135" max="16383" man="1"/>
    <brk id="180" max="16383" man="1"/>
    <brk id="22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5" zoomScaleNormal="75" workbookViewId="0">
      <pane ySplit="2" topLeftCell="A309" activePane="bottomLeft" state="frozen"/>
      <selection activeCell="H4" sqref="H4"/>
      <selection pane="bottomLeft" activeCell="C50" sqref="C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4" t="s">
        <v>294</v>
      </c>
      <c r="B3" s="2265"/>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573786</v>
      </c>
      <c r="D5" s="1572">
        <v>165805</v>
      </c>
      <c r="E5" s="1572">
        <v>6264</v>
      </c>
      <c r="F5" s="1572">
        <v>11075</v>
      </c>
      <c r="G5" s="1572">
        <v>1164</v>
      </c>
      <c r="H5" s="1572">
        <v>155</v>
      </c>
      <c r="I5" s="1573">
        <v>0</v>
      </c>
      <c r="J5" s="1573">
        <v>0</v>
      </c>
      <c r="K5" s="1671">
        <f>SUM(C5:J5)</f>
        <v>758249</v>
      </c>
      <c r="L5" s="1572">
        <v>820750</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177470</v>
      </c>
      <c r="D8" s="1572">
        <v>50381</v>
      </c>
      <c r="E8" s="1572">
        <v>70</v>
      </c>
      <c r="F8" s="1572">
        <v>449</v>
      </c>
      <c r="G8" s="1572">
        <v>0</v>
      </c>
      <c r="H8" s="1572">
        <v>0</v>
      </c>
      <c r="I8" s="1573">
        <v>0</v>
      </c>
      <c r="J8" s="1573">
        <v>0</v>
      </c>
      <c r="K8" s="1671">
        <f t="shared" si="0"/>
        <v>228370</v>
      </c>
      <c r="L8" s="1572">
        <v>167450</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51859</v>
      </c>
      <c r="D10" s="1572">
        <v>19695</v>
      </c>
      <c r="E10" s="1572">
        <v>12084</v>
      </c>
      <c r="F10" s="1572">
        <v>13725</v>
      </c>
      <c r="G10" s="1572">
        <v>19372</v>
      </c>
      <c r="H10" s="1572">
        <v>0</v>
      </c>
      <c r="I10" s="1573">
        <v>0</v>
      </c>
      <c r="J10" s="1573">
        <v>0</v>
      </c>
      <c r="K10" s="1671">
        <f t="shared" si="0"/>
        <v>116735</v>
      </c>
      <c r="L10" s="1572">
        <v>146500</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20385</v>
      </c>
      <c r="D14" s="1572">
        <v>1328</v>
      </c>
      <c r="E14" s="1572">
        <v>4830</v>
      </c>
      <c r="F14" s="1572">
        <v>5639</v>
      </c>
      <c r="G14" s="1572">
        <v>0</v>
      </c>
      <c r="H14" s="1572">
        <v>0</v>
      </c>
      <c r="I14" s="1573">
        <v>0</v>
      </c>
      <c r="J14" s="1573">
        <v>0</v>
      </c>
      <c r="K14" s="1671">
        <f t="shared" si="0"/>
        <v>32182</v>
      </c>
      <c r="L14" s="1572">
        <v>33200</v>
      </c>
    </row>
    <row r="15" spans="1:14" x14ac:dyDescent="0.2">
      <c r="A15" s="1273" t="s">
        <v>958</v>
      </c>
      <c r="B15" s="503">
        <v>1600</v>
      </c>
      <c r="C15" s="1572">
        <v>0</v>
      </c>
      <c r="D15" s="1572">
        <v>0</v>
      </c>
      <c r="E15" s="1572">
        <v>0</v>
      </c>
      <c r="F15" s="1572">
        <v>215</v>
      </c>
      <c r="G15" s="1572">
        <v>0</v>
      </c>
      <c r="H15" s="1572">
        <v>0</v>
      </c>
      <c r="I15" s="1573">
        <v>0</v>
      </c>
      <c r="J15" s="1573">
        <v>0</v>
      </c>
      <c r="K15" s="1671">
        <f t="shared" si="0"/>
        <v>215</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823500</v>
      </c>
      <c r="D33" s="1673">
        <f t="shared" ref="D33:L33" si="1">SUM(D5:D32)</f>
        <v>237209</v>
      </c>
      <c r="E33" s="1673">
        <f t="shared" si="1"/>
        <v>23248</v>
      </c>
      <c r="F33" s="1673">
        <f t="shared" si="1"/>
        <v>31103</v>
      </c>
      <c r="G33" s="1673">
        <f t="shared" si="1"/>
        <v>20536</v>
      </c>
      <c r="H33" s="1673">
        <f t="shared" si="1"/>
        <v>155</v>
      </c>
      <c r="I33" s="1673">
        <f t="shared" si="1"/>
        <v>0</v>
      </c>
      <c r="J33" s="1673">
        <f t="shared" si="1"/>
        <v>0</v>
      </c>
      <c r="K33" s="1673">
        <f t="shared" si="1"/>
        <v>1135751</v>
      </c>
      <c r="L33" s="1673">
        <f t="shared" si="1"/>
        <v>1167900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6491</v>
      </c>
      <c r="D36" s="1585">
        <v>556</v>
      </c>
      <c r="E36" s="1585">
        <v>0</v>
      </c>
      <c r="F36" s="1585">
        <v>16</v>
      </c>
      <c r="G36" s="1585">
        <v>0</v>
      </c>
      <c r="H36" s="1585">
        <v>0</v>
      </c>
      <c r="I36" s="1573">
        <v>0</v>
      </c>
      <c r="J36" s="1573">
        <v>0</v>
      </c>
      <c r="K36" s="1671">
        <f t="shared" ref="K36:K41" si="2">SUM(C36:J36)</f>
        <v>7063</v>
      </c>
      <c r="L36" s="1572">
        <v>51200</v>
      </c>
    </row>
    <row r="37" spans="1:14" x14ac:dyDescent="0.2">
      <c r="A37" s="1273" t="s">
        <v>1083</v>
      </c>
      <c r="B37" s="503">
        <v>2120</v>
      </c>
      <c r="C37" s="1572">
        <v>30018</v>
      </c>
      <c r="D37" s="1572">
        <v>9412</v>
      </c>
      <c r="E37" s="1572">
        <v>98</v>
      </c>
      <c r="F37" s="1572">
        <v>92</v>
      </c>
      <c r="G37" s="1572">
        <v>0</v>
      </c>
      <c r="H37" s="1572">
        <v>0</v>
      </c>
      <c r="I37" s="1573">
        <v>0</v>
      </c>
      <c r="J37" s="1573">
        <v>0</v>
      </c>
      <c r="K37" s="1671">
        <f t="shared" si="2"/>
        <v>39620</v>
      </c>
      <c r="L37" s="1572">
        <v>10000</v>
      </c>
    </row>
    <row r="38" spans="1:14" x14ac:dyDescent="0.2">
      <c r="A38" s="1273" t="s">
        <v>196</v>
      </c>
      <c r="B38" s="503">
        <v>2130</v>
      </c>
      <c r="C38" s="1572">
        <v>0</v>
      </c>
      <c r="D38" s="1572">
        <v>0</v>
      </c>
      <c r="E38" s="1572">
        <v>0</v>
      </c>
      <c r="F38" s="1572">
        <v>0</v>
      </c>
      <c r="G38" s="1572">
        <v>0</v>
      </c>
      <c r="H38" s="1572">
        <v>0</v>
      </c>
      <c r="I38" s="1573">
        <v>0</v>
      </c>
      <c r="J38" s="1573">
        <v>0</v>
      </c>
      <c r="K38" s="1671">
        <f t="shared" si="2"/>
        <v>0</v>
      </c>
      <c r="L38" s="1572">
        <v>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16635</v>
      </c>
      <c r="F40" s="1572">
        <v>348</v>
      </c>
      <c r="G40" s="1572">
        <v>0</v>
      </c>
      <c r="H40" s="1572">
        <v>0</v>
      </c>
      <c r="I40" s="1573">
        <v>0</v>
      </c>
      <c r="J40" s="1573">
        <v>0</v>
      </c>
      <c r="K40" s="1671">
        <f t="shared" si="2"/>
        <v>16983</v>
      </c>
      <c r="L40" s="1572">
        <v>20000</v>
      </c>
    </row>
    <row r="41" spans="1:14" x14ac:dyDescent="0.2">
      <c r="A41" s="1273" t="s">
        <v>1653</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36509</v>
      </c>
      <c r="D42" s="1673">
        <f t="shared" ref="D42:L42" si="3">SUM(D36:D41)</f>
        <v>9968</v>
      </c>
      <c r="E42" s="1673">
        <f t="shared" si="3"/>
        <v>16733</v>
      </c>
      <c r="F42" s="1673">
        <f t="shared" si="3"/>
        <v>456</v>
      </c>
      <c r="G42" s="1673">
        <f t="shared" si="3"/>
        <v>0</v>
      </c>
      <c r="H42" s="1673">
        <f t="shared" si="3"/>
        <v>0</v>
      </c>
      <c r="I42" s="1673">
        <f t="shared" si="3"/>
        <v>0</v>
      </c>
      <c r="J42" s="1673">
        <f t="shared" si="3"/>
        <v>0</v>
      </c>
      <c r="K42" s="1673">
        <f t="shared" si="3"/>
        <v>63666</v>
      </c>
      <c r="L42" s="1673">
        <f t="shared" si="3"/>
        <v>81200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0</v>
      </c>
      <c r="D44" s="1585">
        <v>0</v>
      </c>
      <c r="E44" s="1585">
        <v>5113</v>
      </c>
      <c r="F44" s="1585">
        <v>0</v>
      </c>
      <c r="G44" s="1585">
        <v>0</v>
      </c>
      <c r="H44" s="1585">
        <v>0</v>
      </c>
      <c r="I44" s="1573">
        <v>0</v>
      </c>
      <c r="J44" s="1573">
        <v>0</v>
      </c>
      <c r="K44" s="1677">
        <f>SUM(C44:J44)</f>
        <v>5113</v>
      </c>
      <c r="L44" s="1585">
        <v>3000</v>
      </c>
    </row>
    <row r="45" spans="1:14" x14ac:dyDescent="0.2">
      <c r="A45" s="1273" t="s">
        <v>810</v>
      </c>
      <c r="B45" s="503">
        <v>2220</v>
      </c>
      <c r="C45" s="1572">
        <v>14617</v>
      </c>
      <c r="D45" s="1572">
        <v>4019</v>
      </c>
      <c r="E45" s="1572">
        <v>9563</v>
      </c>
      <c r="F45" s="1572">
        <v>2025</v>
      </c>
      <c r="G45" s="1572">
        <v>0</v>
      </c>
      <c r="H45" s="1572">
        <v>0</v>
      </c>
      <c r="I45" s="1573">
        <v>0</v>
      </c>
      <c r="J45" s="1573">
        <v>0</v>
      </c>
      <c r="K45" s="1677">
        <f>SUM(C45:J45)</f>
        <v>30224</v>
      </c>
      <c r="L45" s="1572">
        <v>16550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14617</v>
      </c>
      <c r="D47" s="1673">
        <f t="shared" ref="D47:K47" si="4">SUM(D44:D46)</f>
        <v>4019</v>
      </c>
      <c r="E47" s="1673">
        <f t="shared" si="4"/>
        <v>14676</v>
      </c>
      <c r="F47" s="1673">
        <f t="shared" si="4"/>
        <v>2025</v>
      </c>
      <c r="G47" s="1673">
        <f t="shared" si="4"/>
        <v>0</v>
      </c>
      <c r="H47" s="1673">
        <f t="shared" si="4"/>
        <v>0</v>
      </c>
      <c r="I47" s="1673">
        <f t="shared" si="4"/>
        <v>0</v>
      </c>
      <c r="J47" s="1673">
        <f t="shared" si="4"/>
        <v>0</v>
      </c>
      <c r="K47" s="1673">
        <f t="shared" si="4"/>
        <v>35337</v>
      </c>
      <c r="L47" s="1673">
        <f>SUM(L44:L46)</f>
        <v>19550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650</v>
      </c>
      <c r="D49" s="1585">
        <v>0</v>
      </c>
      <c r="E49" s="1585">
        <v>18430</v>
      </c>
      <c r="F49" s="1585">
        <v>520</v>
      </c>
      <c r="G49" s="1585">
        <v>0</v>
      </c>
      <c r="H49" s="1585">
        <v>1855</v>
      </c>
      <c r="I49" s="1573">
        <v>0</v>
      </c>
      <c r="J49" s="1573">
        <v>0</v>
      </c>
      <c r="K49" s="1677">
        <f>SUM(C49:J49)</f>
        <v>21455</v>
      </c>
      <c r="L49" s="1585">
        <v>31650</v>
      </c>
    </row>
    <row r="50" spans="1:14" x14ac:dyDescent="0.2">
      <c r="A50" s="1273" t="s">
        <v>813</v>
      </c>
      <c r="B50" s="503">
        <v>2320</v>
      </c>
      <c r="C50" s="1572">
        <v>124726</v>
      </c>
      <c r="D50" s="1572">
        <v>23206</v>
      </c>
      <c r="E50" s="1572">
        <v>1513</v>
      </c>
      <c r="F50" s="1572">
        <v>1983</v>
      </c>
      <c r="G50" s="1572">
        <v>4241</v>
      </c>
      <c r="H50" s="1572">
        <v>340</v>
      </c>
      <c r="I50" s="1573">
        <v>0</v>
      </c>
      <c r="J50" s="1573">
        <v>0</v>
      </c>
      <c r="K50" s="1677">
        <f>SUM(C50:J50)</f>
        <v>156009</v>
      </c>
      <c r="L50" s="1572">
        <v>149400</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125376</v>
      </c>
      <c r="D53" s="1673">
        <f t="shared" ref="D53:L53" si="5">SUM(D49:D52)</f>
        <v>23206</v>
      </c>
      <c r="E53" s="1673">
        <f t="shared" si="5"/>
        <v>19943</v>
      </c>
      <c r="F53" s="1673">
        <f t="shared" si="5"/>
        <v>2503</v>
      </c>
      <c r="G53" s="1673">
        <f t="shared" si="5"/>
        <v>4241</v>
      </c>
      <c r="H53" s="1673">
        <f t="shared" si="5"/>
        <v>2195</v>
      </c>
      <c r="I53" s="1673">
        <f t="shared" si="5"/>
        <v>0</v>
      </c>
      <c r="J53" s="1673">
        <f t="shared" si="5"/>
        <v>0</v>
      </c>
      <c r="K53" s="1673">
        <f t="shared" si="5"/>
        <v>177464</v>
      </c>
      <c r="L53" s="1673">
        <f t="shared" si="5"/>
        <v>181050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0</v>
      </c>
      <c r="D55" s="1585">
        <v>0</v>
      </c>
      <c r="E55" s="1585">
        <v>0</v>
      </c>
      <c r="F55" s="1585">
        <v>386</v>
      </c>
      <c r="G55" s="1585">
        <v>0</v>
      </c>
      <c r="H55" s="1585">
        <v>0</v>
      </c>
      <c r="I55" s="1573">
        <v>0</v>
      </c>
      <c r="J55" s="1573">
        <v>0</v>
      </c>
      <c r="K55" s="1677">
        <f>SUM(C55:J55)</f>
        <v>386</v>
      </c>
      <c r="L55" s="1585">
        <v>0</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0</v>
      </c>
      <c r="D57" s="1678">
        <f t="shared" ref="D57:K57" si="6">SUM(D55:D56)</f>
        <v>0</v>
      </c>
      <c r="E57" s="1678">
        <f t="shared" si="6"/>
        <v>0</v>
      </c>
      <c r="F57" s="1678">
        <f t="shared" si="6"/>
        <v>386</v>
      </c>
      <c r="G57" s="1678">
        <f t="shared" si="6"/>
        <v>0</v>
      </c>
      <c r="H57" s="1678">
        <f t="shared" si="6"/>
        <v>0</v>
      </c>
      <c r="I57" s="1678">
        <f t="shared" si="6"/>
        <v>0</v>
      </c>
      <c r="J57" s="1678">
        <f t="shared" si="6"/>
        <v>0</v>
      </c>
      <c r="K57" s="1678">
        <f t="shared" si="6"/>
        <v>386</v>
      </c>
      <c r="L57" s="1673">
        <f>SUM(L55:L56)</f>
        <v>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43493</v>
      </c>
      <c r="D60" s="1572">
        <v>4824</v>
      </c>
      <c r="E60" s="1572">
        <v>7783</v>
      </c>
      <c r="F60" s="1572">
        <v>221</v>
      </c>
      <c r="G60" s="1572">
        <v>700</v>
      </c>
      <c r="H60" s="1572">
        <v>0</v>
      </c>
      <c r="I60" s="1573">
        <v>0</v>
      </c>
      <c r="J60" s="1573">
        <v>0</v>
      </c>
      <c r="K60" s="1677">
        <f t="shared" si="7"/>
        <v>57021</v>
      </c>
      <c r="L60" s="1572">
        <v>48300</v>
      </c>
      <c r="M60" s="501"/>
      <c r="N60" s="501"/>
    </row>
    <row r="61" spans="1:14" s="321" customFormat="1" x14ac:dyDescent="0.2">
      <c r="A61" s="1273" t="s">
        <v>195</v>
      </c>
      <c r="B61" s="503">
        <v>2540</v>
      </c>
      <c r="C61" s="1572">
        <v>0</v>
      </c>
      <c r="D61" s="1572">
        <v>0</v>
      </c>
      <c r="E61" s="1572">
        <v>3017</v>
      </c>
      <c r="F61" s="1572">
        <v>57435</v>
      </c>
      <c r="G61" s="1572">
        <v>0</v>
      </c>
      <c r="H61" s="1572">
        <v>0</v>
      </c>
      <c r="I61" s="1573">
        <v>0</v>
      </c>
      <c r="J61" s="1573">
        <v>0</v>
      </c>
      <c r="K61" s="1677">
        <f t="shared" si="7"/>
        <v>60452</v>
      </c>
      <c r="L61" s="1572">
        <v>60000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42708</v>
      </c>
      <c r="D63" s="1572">
        <v>7195</v>
      </c>
      <c r="E63" s="1572">
        <v>5750</v>
      </c>
      <c r="F63" s="1572">
        <v>78992</v>
      </c>
      <c r="G63" s="1572">
        <v>3134</v>
      </c>
      <c r="H63" s="1572">
        <v>0</v>
      </c>
      <c r="I63" s="1573">
        <v>0</v>
      </c>
      <c r="J63" s="1573">
        <v>0</v>
      </c>
      <c r="K63" s="1677">
        <f t="shared" si="7"/>
        <v>137779</v>
      </c>
      <c r="L63" s="1572">
        <v>114750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86201</v>
      </c>
      <c r="D65" s="1673">
        <f t="shared" ref="D65:L65" si="8">SUM(D59:D64)</f>
        <v>12019</v>
      </c>
      <c r="E65" s="1673">
        <f t="shared" si="8"/>
        <v>16550</v>
      </c>
      <c r="F65" s="1673">
        <f t="shared" si="8"/>
        <v>136648</v>
      </c>
      <c r="G65" s="1673">
        <f t="shared" si="8"/>
        <v>3834</v>
      </c>
      <c r="H65" s="1673">
        <f t="shared" si="8"/>
        <v>0</v>
      </c>
      <c r="I65" s="1673">
        <f t="shared" si="8"/>
        <v>0</v>
      </c>
      <c r="J65" s="1673">
        <f t="shared" si="8"/>
        <v>0</v>
      </c>
      <c r="K65" s="1673">
        <f t="shared" si="8"/>
        <v>255252</v>
      </c>
      <c r="L65" s="1673">
        <f t="shared" si="8"/>
        <v>223050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393</v>
      </c>
      <c r="G73" s="1648">
        <v>0</v>
      </c>
      <c r="H73" s="1648">
        <v>0</v>
      </c>
      <c r="I73" s="1626">
        <v>0</v>
      </c>
      <c r="J73" s="1626">
        <v>0</v>
      </c>
      <c r="K73" s="1673">
        <f>SUM(C73:J73)</f>
        <v>393</v>
      </c>
      <c r="L73" s="1650">
        <v>350</v>
      </c>
      <c r="M73" s="501"/>
      <c r="N73" s="501"/>
    </row>
    <row r="74" spans="1:14" ht="12.75" customHeight="1" thickTop="1" thickBot="1" x14ac:dyDescent="0.25">
      <c r="A74" s="1379" t="s">
        <v>806</v>
      </c>
      <c r="B74" s="1383">
        <v>2000</v>
      </c>
      <c r="C74" s="1680">
        <f>SUM(C42,C47,C53,C57,C65,C72,C73)</f>
        <v>262703</v>
      </c>
      <c r="D74" s="1680">
        <f t="shared" ref="D74:K74" si="10">SUM(D42,D47,D53,D57,D65,D72,D73)</f>
        <v>49212</v>
      </c>
      <c r="E74" s="1680">
        <f t="shared" si="10"/>
        <v>67902</v>
      </c>
      <c r="F74" s="1680">
        <f t="shared" si="10"/>
        <v>142411</v>
      </c>
      <c r="G74" s="1680">
        <f t="shared" si="10"/>
        <v>8075</v>
      </c>
      <c r="H74" s="1680">
        <f t="shared" si="10"/>
        <v>2195</v>
      </c>
      <c r="I74" s="1680">
        <f t="shared" si="10"/>
        <v>0</v>
      </c>
      <c r="J74" s="1680">
        <f t="shared" si="10"/>
        <v>0</v>
      </c>
      <c r="K74" s="1680">
        <f t="shared" si="10"/>
        <v>532498</v>
      </c>
      <c r="L74" s="1680">
        <f>SUM(L42,L47,L53,L57,L65,L72,L73)</f>
        <v>505200</v>
      </c>
    </row>
    <row r="75" spans="1:14" s="254" customFormat="1" ht="15.75" customHeight="1" thickTop="1" thickBot="1" x14ac:dyDescent="0.25">
      <c r="A75" s="1347" t="s">
        <v>47</v>
      </c>
      <c r="B75" s="1348" t="s">
        <v>571</v>
      </c>
      <c r="C75" s="1648">
        <v>0</v>
      </c>
      <c r="D75" s="1648">
        <v>0</v>
      </c>
      <c r="E75" s="1648">
        <v>1407</v>
      </c>
      <c r="F75" s="1648">
        <v>221</v>
      </c>
      <c r="G75" s="1648">
        <v>0</v>
      </c>
      <c r="H75" s="1648">
        <v>0</v>
      </c>
      <c r="I75" s="1626">
        <v>0</v>
      </c>
      <c r="J75" s="1626">
        <v>0</v>
      </c>
      <c r="K75" s="1673">
        <f>SUM(C75:J75)</f>
        <v>1628</v>
      </c>
      <c r="L75" s="1650">
        <v>1050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0</v>
      </c>
      <c r="F79" s="1672"/>
      <c r="G79" s="1672"/>
      <c r="H79" s="1572">
        <v>97156</v>
      </c>
      <c r="I79" s="1581"/>
      <c r="J79" s="1581"/>
      <c r="K79" s="1671">
        <f t="shared" si="11"/>
        <v>97156</v>
      </c>
      <c r="L79" s="1572">
        <v>65000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6000</v>
      </c>
      <c r="F82" s="1672"/>
      <c r="G82" s="1672"/>
      <c r="H82" s="1572">
        <v>0</v>
      </c>
      <c r="I82" s="1581"/>
      <c r="J82" s="1581"/>
      <c r="K82" s="1671">
        <f t="shared" si="11"/>
        <v>6000</v>
      </c>
      <c r="L82" s="1572">
        <v>0</v>
      </c>
    </row>
    <row r="83" spans="1:12" x14ac:dyDescent="0.2">
      <c r="A83" s="1277" t="s">
        <v>693</v>
      </c>
      <c r="B83" s="512">
        <v>4190</v>
      </c>
      <c r="C83" s="1672"/>
      <c r="D83" s="1672"/>
      <c r="E83" s="1572">
        <v>18952</v>
      </c>
      <c r="F83" s="1672"/>
      <c r="G83" s="1672"/>
      <c r="H83" s="1572">
        <v>0</v>
      </c>
      <c r="I83" s="1581"/>
      <c r="J83" s="1581"/>
      <c r="K83" s="1671">
        <f t="shared" si="11"/>
        <v>18952</v>
      </c>
      <c r="L83" s="1572">
        <v>0</v>
      </c>
    </row>
    <row r="84" spans="1:12" ht="13.5" thickBot="1" x14ac:dyDescent="0.25">
      <c r="A84" s="1379" t="s">
        <v>1471</v>
      </c>
      <c r="B84" s="1384">
        <v>4100</v>
      </c>
      <c r="C84" s="1672"/>
      <c r="D84" s="1672"/>
      <c r="E84" s="1673">
        <f>SUM(E78:E83)</f>
        <v>24952</v>
      </c>
      <c r="F84" s="1672"/>
      <c r="G84" s="1672"/>
      <c r="H84" s="1673">
        <f>SUM(H78:H83)</f>
        <v>97156</v>
      </c>
      <c r="I84" s="1581"/>
      <c r="J84" s="1581"/>
      <c r="K84" s="1673">
        <f>SUM(K78:K83)</f>
        <v>122108</v>
      </c>
      <c r="L84" s="1673">
        <f>SUM(L78:L83)</f>
        <v>65000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24952</v>
      </c>
      <c r="F102" s="1672"/>
      <c r="G102" s="1672"/>
      <c r="H102" s="1680">
        <f>SUM(H84,H92,H100,H101)</f>
        <v>97156</v>
      </c>
      <c r="I102" s="1581"/>
      <c r="J102" s="1581"/>
      <c r="K102" s="1680">
        <f>SUM(K84,K92,K100,K101)</f>
        <v>122108</v>
      </c>
      <c r="L102" s="1680">
        <f>SUM(L84,L92,L100,L101)</f>
        <v>65000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1086203</v>
      </c>
      <c r="D114" s="1673">
        <f t="shared" ref="D114:K114" si="13">SUM(D33,D74,D75,D102,D112,D113)</f>
        <v>286421</v>
      </c>
      <c r="E114" s="1673">
        <f t="shared" si="13"/>
        <v>117509</v>
      </c>
      <c r="F114" s="1673">
        <f t="shared" si="13"/>
        <v>173735</v>
      </c>
      <c r="G114" s="1673">
        <f t="shared" si="13"/>
        <v>28611</v>
      </c>
      <c r="H114" s="1673">
        <f>SUM(H33,H74,H75,H102,H112,H113)</f>
        <v>99506</v>
      </c>
      <c r="I114" s="1673">
        <f t="shared" si="13"/>
        <v>0</v>
      </c>
      <c r="J114" s="1673">
        <f t="shared" si="13"/>
        <v>0</v>
      </c>
      <c r="K114" s="1673">
        <f t="shared" si="13"/>
        <v>1791985</v>
      </c>
      <c r="L114" s="1673">
        <f>SUM(L33,L74,L75,L102,L112,L113)</f>
        <v>1739150</v>
      </c>
    </row>
    <row r="115" spans="1:14" ht="13.5" thickTop="1" x14ac:dyDescent="0.2">
      <c r="A115" s="2256" t="s">
        <v>989</v>
      </c>
      <c r="B115" s="2257"/>
      <c r="C115" s="1674"/>
      <c r="D115" s="1674"/>
      <c r="E115" s="1674"/>
      <c r="F115" s="1674"/>
      <c r="G115" s="1674"/>
      <c r="H115" s="1674"/>
      <c r="I115" s="1674"/>
      <c r="J115" s="1674"/>
      <c r="K115" s="1688">
        <f>'Revenues 9-14'!C268-'Expenditures 15-22'!K114</f>
        <v>220244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1" t="s">
        <v>293</v>
      </c>
      <c r="B117" s="2262"/>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1962</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30843</v>
      </c>
      <c r="D124" s="1572">
        <v>3622</v>
      </c>
      <c r="E124" s="1572">
        <v>27840</v>
      </c>
      <c r="F124" s="1572">
        <v>15103</v>
      </c>
      <c r="G124" s="1572">
        <v>664</v>
      </c>
      <c r="H124" s="1572">
        <v>0</v>
      </c>
      <c r="I124" s="1573">
        <v>0</v>
      </c>
      <c r="J124" s="1573">
        <v>0</v>
      </c>
      <c r="K124" s="1673">
        <f>SUM(C124:J124)</f>
        <v>78072</v>
      </c>
      <c r="L124" s="1572">
        <v>72000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30843</v>
      </c>
      <c r="D127" s="1673">
        <f t="shared" ref="D127:L127" si="14">SUM(D122:D126)</f>
        <v>3622</v>
      </c>
      <c r="E127" s="1673">
        <f t="shared" si="14"/>
        <v>27840</v>
      </c>
      <c r="F127" s="1673">
        <f t="shared" si="14"/>
        <v>15103</v>
      </c>
      <c r="G127" s="1673">
        <f t="shared" si="14"/>
        <v>664</v>
      </c>
      <c r="H127" s="1673">
        <f t="shared" si="14"/>
        <v>0</v>
      </c>
      <c r="I127" s="1673">
        <f t="shared" si="14"/>
        <v>0</v>
      </c>
      <c r="J127" s="1673">
        <f t="shared" si="14"/>
        <v>0</v>
      </c>
      <c r="K127" s="1673">
        <f t="shared" si="14"/>
        <v>78072</v>
      </c>
      <c r="L127" s="1673">
        <f t="shared" si="14"/>
        <v>72000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30843</v>
      </c>
      <c r="D129" s="1680">
        <f t="shared" ref="D129:L129" si="15">SUM(D120,D127,D128)</f>
        <v>3622</v>
      </c>
      <c r="E129" s="1680">
        <f t="shared" si="15"/>
        <v>27840</v>
      </c>
      <c r="F129" s="1680">
        <f t="shared" si="15"/>
        <v>15103</v>
      </c>
      <c r="G129" s="1680">
        <f t="shared" si="15"/>
        <v>664</v>
      </c>
      <c r="H129" s="1680">
        <f t="shared" si="15"/>
        <v>0</v>
      </c>
      <c r="I129" s="1680">
        <f t="shared" si="15"/>
        <v>0</v>
      </c>
      <c r="J129" s="1680">
        <f t="shared" si="15"/>
        <v>0</v>
      </c>
      <c r="K129" s="1680">
        <f t="shared" si="15"/>
        <v>78072</v>
      </c>
      <c r="L129" s="1680">
        <f t="shared" si="15"/>
        <v>72000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1815</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73" t="s">
        <v>616</v>
      </c>
      <c r="B151" s="2253"/>
      <c r="C151" s="1673">
        <f>SUM(C129,C130,C139,C149,C150)</f>
        <v>30843</v>
      </c>
      <c r="D151" s="1673">
        <f t="shared" ref="D151:K151" si="16">SUM(D129,D130,D139,D149,D150)</f>
        <v>3622</v>
      </c>
      <c r="E151" s="1673">
        <f t="shared" si="16"/>
        <v>27840</v>
      </c>
      <c r="F151" s="1673">
        <f t="shared" si="16"/>
        <v>15103</v>
      </c>
      <c r="G151" s="1673">
        <f t="shared" si="16"/>
        <v>664</v>
      </c>
      <c r="H151" s="1673">
        <f t="shared" si="16"/>
        <v>0</v>
      </c>
      <c r="I151" s="1673">
        <f t="shared" si="16"/>
        <v>0</v>
      </c>
      <c r="J151" s="1673">
        <f t="shared" si="16"/>
        <v>0</v>
      </c>
      <c r="K151" s="1673">
        <f t="shared" si="16"/>
        <v>78072</v>
      </c>
      <c r="L151" s="1673">
        <f>SUM(L129,L130,L139,L149,L150)</f>
        <v>72000</v>
      </c>
    </row>
    <row r="152" spans="1:14" ht="12.75" customHeight="1" thickTop="1" x14ac:dyDescent="0.2">
      <c r="A152" s="2276" t="s">
        <v>1170</v>
      </c>
      <c r="B152" s="2277"/>
      <c r="C152" s="1674"/>
      <c r="D152" s="1674"/>
      <c r="E152" s="1674"/>
      <c r="F152" s="1674"/>
      <c r="G152" s="1674"/>
      <c r="H152" s="1674"/>
      <c r="I152" s="1674"/>
      <c r="J152" s="1672"/>
      <c r="K152" s="1688">
        <f>'Revenues 9-14'!D268-'Expenditures 15-22'!K151</f>
        <v>49808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1" t="s">
        <v>617</v>
      </c>
      <c r="B154" s="226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1815</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1817</v>
      </c>
      <c r="C158" s="1672"/>
      <c r="D158" s="1672"/>
      <c r="E158" s="1672"/>
      <c r="F158" s="1672"/>
      <c r="G158" s="1672"/>
      <c r="H158" s="1573">
        <v>0</v>
      </c>
      <c r="I158" s="1672"/>
      <c r="J158" s="1672"/>
      <c r="K158" s="1671">
        <f>H158</f>
        <v>0</v>
      </c>
      <c r="L158" s="1573">
        <v>0</v>
      </c>
      <c r="M158" s="505"/>
      <c r="N158" s="505"/>
    </row>
    <row r="159" spans="1:14" s="506" customFormat="1" ht="12" x14ac:dyDescent="0.2">
      <c r="A159" s="1461" t="s">
        <v>1818</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1819</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3300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3300</v>
      </c>
    </row>
    <row r="169" spans="1:14" ht="15.75" customHeight="1" thickTop="1" x14ac:dyDescent="0.2">
      <c r="A169" s="543" t="s">
        <v>83</v>
      </c>
      <c r="B169" s="544" t="s">
        <v>38</v>
      </c>
      <c r="C169" s="1672"/>
      <c r="D169" s="1672"/>
      <c r="E169" s="1672"/>
      <c r="F169" s="1672"/>
      <c r="G169" s="1672"/>
      <c r="H169" s="1694">
        <v>5585</v>
      </c>
      <c r="I169" s="1672"/>
      <c r="J169" s="1672"/>
      <c r="K169" s="1671">
        <f>SUM(C169:H169)</f>
        <v>5585</v>
      </c>
      <c r="L169" s="1694">
        <v>15000</v>
      </c>
    </row>
    <row r="170" spans="1:14" ht="33.75" customHeight="1" x14ac:dyDescent="0.2">
      <c r="A170" s="543" t="s">
        <v>1654</v>
      </c>
      <c r="B170" s="545" t="s">
        <v>31</v>
      </c>
      <c r="C170" s="1672"/>
      <c r="D170" s="1672"/>
      <c r="E170" s="1672"/>
      <c r="F170" s="1672"/>
      <c r="G170" s="1672"/>
      <c r="H170" s="1645">
        <v>140000</v>
      </c>
      <c r="I170" s="1672"/>
      <c r="J170" s="1672"/>
      <c r="K170" s="1671">
        <f>SUM(C170:J170)</f>
        <v>140000</v>
      </c>
      <c r="L170" s="1645">
        <v>140000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145585</v>
      </c>
      <c r="I172" s="1683"/>
      <c r="J172" s="1672"/>
      <c r="K172" s="1680">
        <f>SUM(K168,K169,K170,K171)</f>
        <v>145585</v>
      </c>
      <c r="L172" s="1680">
        <f>SUM(L168,L169,L170,L171)</f>
        <v>158300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145585</v>
      </c>
      <c r="I174" s="1683"/>
      <c r="J174" s="1672"/>
      <c r="K174" s="1680">
        <f>SUM(K160,K172,K173)</f>
        <v>145585</v>
      </c>
      <c r="L174" s="1680">
        <f>SUM(L160,L172,L173)</f>
        <v>158300</v>
      </c>
    </row>
    <row r="175" spans="1:14" ht="13.5" thickTop="1" x14ac:dyDescent="0.2">
      <c r="A175" s="2256" t="s">
        <v>989</v>
      </c>
      <c r="B175" s="2257"/>
      <c r="C175" s="1672"/>
      <c r="D175" s="1672"/>
      <c r="E175" s="1672"/>
      <c r="F175" s="1672"/>
      <c r="G175" s="1672"/>
      <c r="H175" s="1674"/>
      <c r="I175" s="1672"/>
      <c r="J175" s="1672"/>
      <c r="K175" s="1688">
        <f>'Revenues 9-14'!E268-'Expenditures 15-22'!K174</f>
        <v>-91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44994</v>
      </c>
      <c r="D182" s="1572">
        <v>2126</v>
      </c>
      <c r="E182" s="1572">
        <v>10413</v>
      </c>
      <c r="F182" s="1572">
        <v>6002</v>
      </c>
      <c r="G182" s="1572">
        <v>0</v>
      </c>
      <c r="H182" s="1572">
        <v>0</v>
      </c>
      <c r="I182" s="1573">
        <v>0</v>
      </c>
      <c r="J182" s="1573">
        <v>0</v>
      </c>
      <c r="K182" s="1671">
        <f>SUM(C182:J182)</f>
        <v>63535</v>
      </c>
      <c r="L182" s="1572">
        <v>113400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44994</v>
      </c>
      <c r="D184" s="1680">
        <f t="shared" ref="D184:J184" si="17">SUM(D180,D182,D183)</f>
        <v>2126</v>
      </c>
      <c r="E184" s="1680">
        <f t="shared" si="17"/>
        <v>10413</v>
      </c>
      <c r="F184" s="1680">
        <f t="shared" si="17"/>
        <v>6002</v>
      </c>
      <c r="G184" s="1680">
        <f t="shared" si="17"/>
        <v>0</v>
      </c>
      <c r="H184" s="1680">
        <f t="shared" si="17"/>
        <v>0</v>
      </c>
      <c r="I184" s="1680">
        <f t="shared" si="17"/>
        <v>0</v>
      </c>
      <c r="J184" s="1680">
        <f t="shared" si="17"/>
        <v>0</v>
      </c>
      <c r="K184" s="1680">
        <f>SUM(K180,K182,K183)</f>
        <v>63535</v>
      </c>
      <c r="L184" s="1680">
        <f>SUM(L180, L182:L183)</f>
        <v>113400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row>
    <row r="200" spans="1:14" x14ac:dyDescent="0.2">
      <c r="A200" s="1273" t="s">
        <v>88</v>
      </c>
      <c r="B200" s="503">
        <v>5120</v>
      </c>
      <c r="C200" s="1672"/>
      <c r="D200" s="1672"/>
      <c r="E200" s="1672"/>
      <c r="F200" s="1672"/>
      <c r="G200" s="1672"/>
      <c r="H200" s="1572">
        <v>0</v>
      </c>
      <c r="I200" s="1672"/>
      <c r="J200" s="1672"/>
      <c r="K200" s="1671">
        <f>SUM(H200)</f>
        <v>0</v>
      </c>
      <c r="L200" s="1572"/>
    </row>
    <row r="201" spans="1:14" ht="12.75" customHeight="1" x14ac:dyDescent="0.2">
      <c r="A201" s="1273" t="s">
        <v>1162</v>
      </c>
      <c r="B201" s="512" t="s">
        <v>613</v>
      </c>
      <c r="C201" s="1672"/>
      <c r="D201" s="1672"/>
      <c r="E201" s="1672"/>
      <c r="F201" s="1672"/>
      <c r="G201" s="1672"/>
      <c r="H201" s="1572">
        <v>0</v>
      </c>
      <c r="I201" s="1672"/>
      <c r="J201" s="1672"/>
      <c r="K201" s="1671">
        <f>SUM(H201)</f>
        <v>0</v>
      </c>
      <c r="L201" s="1572"/>
    </row>
    <row r="202" spans="1:14" x14ac:dyDescent="0.2">
      <c r="A202" s="1273" t="s">
        <v>89</v>
      </c>
      <c r="B202" s="503" t="s">
        <v>585</v>
      </c>
      <c r="C202" s="1672"/>
      <c r="D202" s="1672"/>
      <c r="E202" s="1672"/>
      <c r="F202" s="1672"/>
      <c r="G202" s="1672"/>
      <c r="H202" s="1572">
        <v>0</v>
      </c>
      <c r="I202" s="1672"/>
      <c r="J202" s="1672"/>
      <c r="K202" s="1671">
        <f>SUM(H202)</f>
        <v>0</v>
      </c>
      <c r="L202" s="1572"/>
    </row>
    <row r="203" spans="1:14" x14ac:dyDescent="0.2">
      <c r="A203" s="1285" t="s">
        <v>615</v>
      </c>
      <c r="B203" s="503" t="s">
        <v>614</v>
      </c>
      <c r="C203" s="1672"/>
      <c r="D203" s="1672"/>
      <c r="E203" s="1672"/>
      <c r="F203" s="1672"/>
      <c r="G203" s="1672"/>
      <c r="H203" s="1576">
        <v>0</v>
      </c>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44994</v>
      </c>
      <c r="D210" s="1673">
        <f>SUM(D184,D185)</f>
        <v>2126</v>
      </c>
      <c r="E210" s="1673">
        <f>SUM(E184,E185,E196)</f>
        <v>10413</v>
      </c>
      <c r="F210" s="1673">
        <f>SUM(F184,F185)</f>
        <v>6002</v>
      </c>
      <c r="G210" s="1673">
        <f>SUM(G184,G185)</f>
        <v>0</v>
      </c>
      <c r="H210" s="1673">
        <f>SUM(H184,H185,H196,H208,H209)</f>
        <v>0</v>
      </c>
      <c r="I210" s="1673">
        <f>SUM(I184,I185)</f>
        <v>0</v>
      </c>
      <c r="J210" s="1673">
        <f>SUM(J184,J185)</f>
        <v>0</v>
      </c>
      <c r="K210" s="1671">
        <f>SUM(K184,K185,K196,K208,K209)</f>
        <v>63535</v>
      </c>
      <c r="L210" s="1673">
        <f>SUM(L184,L185,L196,L208,L209)</f>
        <v>113400</v>
      </c>
    </row>
    <row r="211" spans="1:14" ht="13.5" thickTop="1" x14ac:dyDescent="0.2">
      <c r="A211" s="2256" t="s">
        <v>989</v>
      </c>
      <c r="B211" s="2257"/>
      <c r="C211" s="1674"/>
      <c r="D211" s="1674"/>
      <c r="E211" s="1674"/>
      <c r="F211" s="1674"/>
      <c r="G211" s="1674"/>
      <c r="H211" s="1674"/>
      <c r="I211" s="1672"/>
      <c r="J211" s="1672"/>
      <c r="K211" s="1688">
        <f>'Revenues 9-14'!F268-'Expenditures 15-22'!K210</f>
        <v>38252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78" t="s">
        <v>959</v>
      </c>
      <c r="B213" s="2279"/>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7886</v>
      </c>
      <c r="E215" s="1672"/>
      <c r="F215" s="1672"/>
      <c r="G215" s="1672"/>
      <c r="H215" s="1672"/>
      <c r="I215" s="1672"/>
      <c r="J215" s="1672"/>
      <c r="K215" s="1671">
        <f>D215</f>
        <v>7886</v>
      </c>
      <c r="L215" s="1572">
        <v>9200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21077</v>
      </c>
      <c r="E217" s="1672"/>
      <c r="F217" s="1672"/>
      <c r="G217" s="1672"/>
      <c r="H217" s="1672"/>
      <c r="I217" s="1672"/>
      <c r="J217" s="1672"/>
      <c r="K217" s="1671">
        <f t="shared" si="19"/>
        <v>21077</v>
      </c>
      <c r="L217" s="1572">
        <v>8000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848</v>
      </c>
      <c r="E219" s="1672"/>
      <c r="F219" s="1672"/>
      <c r="G219" s="1672"/>
      <c r="H219" s="1672"/>
      <c r="I219" s="1672"/>
      <c r="J219" s="1672"/>
      <c r="K219" s="1671">
        <f t="shared" si="19"/>
        <v>848</v>
      </c>
      <c r="L219" s="1572">
        <v>13500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2610</v>
      </c>
      <c r="E223" s="1672"/>
      <c r="F223" s="1672"/>
      <c r="G223" s="1672"/>
      <c r="H223" s="1672"/>
      <c r="I223" s="1672"/>
      <c r="J223" s="1672"/>
      <c r="K223" s="1671">
        <f t="shared" si="19"/>
        <v>2610</v>
      </c>
      <c r="L223" s="1572">
        <v>2000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100</v>
      </c>
    </row>
    <row r="229" spans="1:12" ht="12.75" customHeight="1" thickBot="1" x14ac:dyDescent="0.25">
      <c r="A229" s="1379" t="s">
        <v>710</v>
      </c>
      <c r="B229" s="1382" t="s">
        <v>566</v>
      </c>
      <c r="C229" s="1672"/>
      <c r="D229" s="1673">
        <f>SUM(D215:D228)</f>
        <v>32421</v>
      </c>
      <c r="E229" s="1672"/>
      <c r="F229" s="1672"/>
      <c r="G229" s="1672"/>
      <c r="H229" s="1672"/>
      <c r="I229" s="1672"/>
      <c r="J229" s="1672"/>
      <c r="K229" s="1673">
        <f>SUM(K215:K228)</f>
        <v>32421</v>
      </c>
      <c r="L229" s="1673">
        <f>SUM(L215:L228)</f>
        <v>32800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90</v>
      </c>
      <c r="E232" s="1672"/>
      <c r="F232" s="1672"/>
      <c r="G232" s="1672"/>
      <c r="H232" s="1672"/>
      <c r="I232" s="1672"/>
      <c r="J232" s="1672"/>
      <c r="K232" s="1671">
        <f t="shared" ref="K232:K237" si="20">D232</f>
        <v>90</v>
      </c>
      <c r="L232" s="1572">
        <v>550</v>
      </c>
    </row>
    <row r="233" spans="1:12" x14ac:dyDescent="0.2">
      <c r="A233" s="1273" t="s">
        <v>1083</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90</v>
      </c>
      <c r="E238" s="1672"/>
      <c r="F238" s="1672"/>
      <c r="G238" s="1672"/>
      <c r="H238" s="1672"/>
      <c r="I238" s="1672"/>
      <c r="J238" s="1672"/>
      <c r="K238" s="1673">
        <f>SUM(K232:K237)</f>
        <v>90</v>
      </c>
      <c r="L238" s="1673">
        <f>SUM(L232:L237)</f>
        <v>550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435</v>
      </c>
      <c r="E240" s="1672"/>
      <c r="F240" s="1672"/>
      <c r="G240" s="1672"/>
      <c r="H240" s="1672"/>
      <c r="I240" s="1672"/>
      <c r="J240" s="1672"/>
      <c r="K240" s="1677">
        <f>D240</f>
        <v>435</v>
      </c>
      <c r="L240" s="1585">
        <v>0</v>
      </c>
    </row>
    <row r="241" spans="1:12" x14ac:dyDescent="0.2">
      <c r="A241" s="1273" t="s">
        <v>810</v>
      </c>
      <c r="B241" s="503">
        <v>2220</v>
      </c>
      <c r="C241" s="1672"/>
      <c r="D241" s="1572">
        <v>6119</v>
      </c>
      <c r="E241" s="1672"/>
      <c r="F241" s="1672"/>
      <c r="G241" s="1672"/>
      <c r="H241" s="1672"/>
      <c r="I241" s="1672"/>
      <c r="J241" s="1672"/>
      <c r="K241" s="1677">
        <f>D241</f>
        <v>6119</v>
      </c>
      <c r="L241" s="1572">
        <v>3600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6554</v>
      </c>
      <c r="E243" s="1672"/>
      <c r="F243" s="1672"/>
      <c r="G243" s="1672"/>
      <c r="H243" s="1672"/>
      <c r="I243" s="1672"/>
      <c r="J243" s="1672"/>
      <c r="K243" s="1673">
        <f>SUM(K240:K242)</f>
        <v>6554</v>
      </c>
      <c r="L243" s="1673">
        <f>SUM(L240:L242)</f>
        <v>3600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244</v>
      </c>
      <c r="E245" s="1672"/>
      <c r="F245" s="1672"/>
      <c r="G245" s="1672"/>
      <c r="H245" s="1672"/>
      <c r="I245" s="1672"/>
      <c r="J245" s="1672"/>
      <c r="K245" s="1677">
        <f>D245</f>
        <v>244</v>
      </c>
      <c r="L245" s="1585">
        <v>29050</v>
      </c>
    </row>
    <row r="246" spans="1:12" x14ac:dyDescent="0.2">
      <c r="A246" s="1273" t="s">
        <v>813</v>
      </c>
      <c r="B246" s="503">
        <v>2320</v>
      </c>
      <c r="C246" s="1672"/>
      <c r="D246" s="1572">
        <v>10924</v>
      </c>
      <c r="E246" s="1672"/>
      <c r="F246" s="1672"/>
      <c r="G246" s="1672"/>
      <c r="H246" s="1672"/>
      <c r="I246" s="1672"/>
      <c r="J246" s="1672"/>
      <c r="K246" s="1677">
        <f t="shared" ref="K246:K256" si="21">D246</f>
        <v>10924</v>
      </c>
      <c r="L246" s="1572">
        <v>9700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38176</v>
      </c>
      <c r="E254" s="1672"/>
      <c r="F254" s="1672"/>
      <c r="G254" s="1672"/>
      <c r="H254" s="1672"/>
      <c r="I254" s="1672"/>
      <c r="J254" s="1672"/>
      <c r="K254" s="1677">
        <f t="shared" si="21"/>
        <v>38176</v>
      </c>
      <c r="L254" s="1572">
        <v>22075</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49344</v>
      </c>
      <c r="E257" s="1672"/>
      <c r="F257" s="1672"/>
      <c r="G257" s="1672"/>
      <c r="H257" s="1672"/>
      <c r="I257" s="1672"/>
      <c r="J257" s="1672"/>
      <c r="K257" s="1673">
        <f>SUM(K245:K256)</f>
        <v>49344</v>
      </c>
      <c r="L257" s="1673">
        <f>SUM(L245:L256)</f>
        <v>60825</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0</v>
      </c>
      <c r="E259" s="1672"/>
      <c r="F259" s="1672"/>
      <c r="G259" s="1672"/>
      <c r="H259" s="1672"/>
      <c r="I259" s="1672"/>
      <c r="J259" s="1672"/>
      <c r="K259" s="1677">
        <f>D259</f>
        <v>0</v>
      </c>
      <c r="L259" s="1585">
        <v>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16341</v>
      </c>
      <c r="E264" s="1672"/>
      <c r="F264" s="1672"/>
      <c r="G264" s="1672"/>
      <c r="H264" s="1672"/>
      <c r="I264" s="1672"/>
      <c r="J264" s="1672"/>
      <c r="K264" s="1677">
        <f t="shared" ref="K264:K269" si="22">D264</f>
        <v>16341</v>
      </c>
      <c r="L264" s="1572">
        <v>12750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11516</v>
      </c>
      <c r="E266" s="1672"/>
      <c r="F266" s="1672"/>
      <c r="G266" s="1672"/>
      <c r="H266" s="1672"/>
      <c r="I266" s="1672"/>
      <c r="J266" s="1672"/>
      <c r="K266" s="1677">
        <f t="shared" si="22"/>
        <v>11516</v>
      </c>
      <c r="L266" s="1572">
        <v>9250</v>
      </c>
    </row>
    <row r="267" spans="1:14" x14ac:dyDescent="0.2">
      <c r="A267" s="1273" t="s">
        <v>947</v>
      </c>
      <c r="B267" s="503">
        <v>2550</v>
      </c>
      <c r="C267" s="1672"/>
      <c r="D267" s="1572">
        <v>6561</v>
      </c>
      <c r="E267" s="1672"/>
      <c r="F267" s="1672"/>
      <c r="G267" s="1672"/>
      <c r="H267" s="1672"/>
      <c r="I267" s="1672"/>
      <c r="J267" s="1672"/>
      <c r="K267" s="1677">
        <f t="shared" si="22"/>
        <v>6561</v>
      </c>
      <c r="L267" s="1572">
        <v>15150</v>
      </c>
    </row>
    <row r="268" spans="1:14" x14ac:dyDescent="0.2">
      <c r="A268" s="1273" t="s">
        <v>100</v>
      </c>
      <c r="B268" s="503">
        <v>2560</v>
      </c>
      <c r="C268" s="1672"/>
      <c r="D268" s="1572">
        <v>13973</v>
      </c>
      <c r="E268" s="1672"/>
      <c r="F268" s="1672"/>
      <c r="G268" s="1672"/>
      <c r="H268" s="1672"/>
      <c r="I268" s="1672"/>
      <c r="J268" s="1672"/>
      <c r="K268" s="1677">
        <f t="shared" si="22"/>
        <v>13973</v>
      </c>
      <c r="L268" s="1572">
        <v>11110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48391</v>
      </c>
      <c r="E270" s="1672"/>
      <c r="F270" s="1672"/>
      <c r="G270" s="1672"/>
      <c r="H270" s="1672"/>
      <c r="I270" s="1672"/>
      <c r="J270" s="1672"/>
      <c r="K270" s="1673">
        <f>SUM(K263:K269)</f>
        <v>48391</v>
      </c>
      <c r="L270" s="1673">
        <f>SUM(L263:L269)</f>
        <v>48260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104379</v>
      </c>
      <c r="E279" s="1672"/>
      <c r="F279" s="1672"/>
      <c r="G279" s="1672"/>
      <c r="H279" s="1672"/>
      <c r="I279" s="1672"/>
      <c r="J279" s="1672"/>
      <c r="K279" s="1680">
        <f>SUM(K238,K243,K257,K261,K270,K277,K278)</f>
        <v>104379</v>
      </c>
      <c r="L279" s="1680">
        <f>SUM(L238,L243,L257,L261,L270,L277,L278)</f>
        <v>113235</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1815</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74" t="s">
        <v>502</v>
      </c>
      <c r="B295" s="2275"/>
      <c r="C295" s="1672"/>
      <c r="D295" s="1673">
        <f>SUM(D229,D279,D280,D285)</f>
        <v>136800</v>
      </c>
      <c r="E295" s="1672"/>
      <c r="F295" s="1672"/>
      <c r="G295" s="1672"/>
      <c r="H295" s="1673">
        <f>H293</f>
        <v>0</v>
      </c>
      <c r="I295" s="1672"/>
      <c r="J295" s="1672"/>
      <c r="K295" s="1673">
        <f>SUM(K229,K279,K280,K285,K293,K294)</f>
        <v>136800</v>
      </c>
      <c r="L295" s="1673">
        <f>SUM(L229,L279,L280,L285,L293,L294)</f>
        <v>146035</v>
      </c>
    </row>
    <row r="296" spans="1:14" ht="13.5" thickTop="1" x14ac:dyDescent="0.2">
      <c r="A296" s="2256" t="s">
        <v>989</v>
      </c>
      <c r="B296" s="2257"/>
      <c r="C296" s="1672"/>
      <c r="D296" s="1674"/>
      <c r="E296" s="1672"/>
      <c r="F296" s="1672"/>
      <c r="G296" s="1672"/>
      <c r="H296" s="1706"/>
      <c r="I296" s="1672"/>
      <c r="J296" s="1672"/>
      <c r="K296" s="1688">
        <f>'Revenues 9-14'!G268-'Expenditures 15-22'!K295</f>
        <v>7984</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6" t="s">
        <v>142</v>
      </c>
      <c r="B298" s="2260"/>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2275</v>
      </c>
      <c r="F301" s="1572">
        <v>0</v>
      </c>
      <c r="G301" s="1572">
        <v>97179</v>
      </c>
      <c r="H301" s="1572">
        <v>0</v>
      </c>
      <c r="I301" s="1573">
        <v>0</v>
      </c>
      <c r="J301" s="1573">
        <v>0</v>
      </c>
      <c r="K301" s="1671">
        <f>SUM(C301:J301)</f>
        <v>99454</v>
      </c>
      <c r="L301" s="1573">
        <v>65000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87000</v>
      </c>
    </row>
    <row r="303" spans="1:14" ht="12.75" customHeight="1" thickBot="1" x14ac:dyDescent="0.25">
      <c r="A303" s="1379" t="s">
        <v>806</v>
      </c>
      <c r="B303" s="1380" t="s">
        <v>565</v>
      </c>
      <c r="C303" s="1680">
        <f>SUM(C301:C302)</f>
        <v>0</v>
      </c>
      <c r="D303" s="1680">
        <f t="shared" ref="D303:L303" si="23">SUM(D301:D302)</f>
        <v>0</v>
      </c>
      <c r="E303" s="1680">
        <f t="shared" si="23"/>
        <v>2275</v>
      </c>
      <c r="F303" s="1680">
        <f t="shared" si="23"/>
        <v>0</v>
      </c>
      <c r="G303" s="1680">
        <f t="shared" si="23"/>
        <v>97179</v>
      </c>
      <c r="H303" s="1680">
        <f t="shared" si="23"/>
        <v>0</v>
      </c>
      <c r="I303" s="1680">
        <f t="shared" si="23"/>
        <v>0</v>
      </c>
      <c r="J303" s="1680">
        <f t="shared" si="23"/>
        <v>0</v>
      </c>
      <c r="K303" s="1680">
        <f t="shared" si="23"/>
        <v>99454</v>
      </c>
      <c r="L303" s="1680">
        <f t="shared" si="23"/>
        <v>152000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1" t="s">
        <v>275</v>
      </c>
      <c r="B312" s="2272"/>
      <c r="C312" s="1673">
        <f>SUM(C303)</f>
        <v>0</v>
      </c>
      <c r="D312" s="1673">
        <f>SUM(D303)</f>
        <v>0</v>
      </c>
      <c r="E312" s="1673">
        <f>SUM(E303,E310)</f>
        <v>2275</v>
      </c>
      <c r="F312" s="1673">
        <f>SUM(F303)</f>
        <v>0</v>
      </c>
      <c r="G312" s="1673">
        <f>SUM(G303)</f>
        <v>97179</v>
      </c>
      <c r="H312" s="1673">
        <f>SUM(H303,H310)</f>
        <v>0</v>
      </c>
      <c r="I312" s="1673">
        <f>SUM(I303)</f>
        <v>0</v>
      </c>
      <c r="J312" s="1673">
        <f>SUM(J303)</f>
        <v>0</v>
      </c>
      <c r="K312" s="1673">
        <f>SUM(K303,K310,K311)</f>
        <v>99454</v>
      </c>
      <c r="L312" s="1673">
        <f>SUM(L303,L310,L311)</f>
        <v>152000</v>
      </c>
      <c r="M312" s="539"/>
      <c r="N312" s="539"/>
    </row>
    <row r="313" spans="1:14" ht="13.5" thickTop="1" x14ac:dyDescent="0.2">
      <c r="A313" s="2267" t="s">
        <v>989</v>
      </c>
      <c r="B313" s="2268"/>
      <c r="C313" s="1676"/>
      <c r="D313" s="1676"/>
      <c r="E313" s="1676"/>
      <c r="F313" s="1676"/>
      <c r="G313" s="1676"/>
      <c r="H313" s="1676"/>
      <c r="I313" s="1676"/>
      <c r="J313" s="1676"/>
      <c r="K313" s="1695">
        <f>'Revenues 9-14'!H268-'Expenditures 15-22'!K312</f>
        <v>48449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0" t="s">
        <v>148</v>
      </c>
      <c r="B315" s="228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2" t="s">
        <v>892</v>
      </c>
      <c r="B317" s="2281"/>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42818</v>
      </c>
      <c r="F322" s="1573">
        <v>0</v>
      </c>
      <c r="G322" s="1573">
        <v>0</v>
      </c>
      <c r="H322" s="1573">
        <v>0</v>
      </c>
      <c r="I322" s="1573">
        <v>0</v>
      </c>
      <c r="J322" s="1573">
        <v>0</v>
      </c>
      <c r="K322" s="1671">
        <f t="shared" si="24"/>
        <v>42818</v>
      </c>
      <c r="L322" s="1573">
        <v>52000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132224</v>
      </c>
      <c r="D325" s="1573">
        <v>27731</v>
      </c>
      <c r="E325" s="1573">
        <v>0</v>
      </c>
      <c r="F325" s="1573">
        <v>0</v>
      </c>
      <c r="G325" s="1573">
        <v>0</v>
      </c>
      <c r="H325" s="1573">
        <v>0</v>
      </c>
      <c r="I325" s="1573">
        <v>0</v>
      </c>
      <c r="J325" s="1573">
        <v>0</v>
      </c>
      <c r="K325" s="1671">
        <f t="shared" si="24"/>
        <v>159955</v>
      </c>
      <c r="L325" s="1573">
        <v>131370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400</v>
      </c>
      <c r="F327" s="1573">
        <v>0</v>
      </c>
      <c r="G327" s="1573">
        <v>0</v>
      </c>
      <c r="H327" s="1573">
        <v>0</v>
      </c>
      <c r="I327" s="1573">
        <v>0</v>
      </c>
      <c r="J327" s="1573">
        <v>0</v>
      </c>
      <c r="K327" s="1671">
        <f t="shared" si="24"/>
        <v>400</v>
      </c>
      <c r="L327" s="1573">
        <v>500</v>
      </c>
      <c r="M327" s="539"/>
      <c r="N327" s="539"/>
    </row>
    <row r="328" spans="1:14" s="548" customFormat="1" x14ac:dyDescent="0.2">
      <c r="A328" s="1289" t="s">
        <v>469</v>
      </c>
      <c r="B328" s="562" t="s">
        <v>1124</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132224</v>
      </c>
      <c r="D330" s="1673">
        <f t="shared" ref="D330:J330" si="25">SUM(D319:D329)</f>
        <v>27731</v>
      </c>
      <c r="E330" s="1673">
        <f t="shared" si="25"/>
        <v>43218</v>
      </c>
      <c r="F330" s="1673">
        <f t="shared" si="25"/>
        <v>0</v>
      </c>
      <c r="G330" s="1673">
        <f t="shared" si="25"/>
        <v>0</v>
      </c>
      <c r="H330" s="1673">
        <f t="shared" si="25"/>
        <v>0</v>
      </c>
      <c r="I330" s="1673">
        <f t="shared" si="25"/>
        <v>0</v>
      </c>
      <c r="J330" s="1673">
        <f t="shared" si="25"/>
        <v>0</v>
      </c>
      <c r="K330" s="1673">
        <f>SUM(K319:K329)</f>
        <v>203173</v>
      </c>
      <c r="L330" s="1673">
        <f>SUM(L319:L329)</f>
        <v>183870</v>
      </c>
      <c r="M330" s="539"/>
      <c r="N330" s="539"/>
    </row>
    <row r="331" spans="1:14" s="548" customFormat="1" ht="12.75" customHeight="1" thickTop="1" x14ac:dyDescent="0.2">
      <c r="A331" s="1466" t="s">
        <v>1821</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1815</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1817</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1822</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132224</v>
      </c>
      <c r="D342" s="1673">
        <f>SUM(D330)</f>
        <v>27731</v>
      </c>
      <c r="E342" s="1673">
        <f>SUM(E330)</f>
        <v>43218</v>
      </c>
      <c r="F342" s="1673">
        <f>SUM(F330)</f>
        <v>0</v>
      </c>
      <c r="G342" s="1673">
        <f>SUM(G330)</f>
        <v>0</v>
      </c>
      <c r="H342" s="1673">
        <f>SUM(H330,H334,H340)</f>
        <v>0</v>
      </c>
      <c r="I342" s="1673">
        <f>SUM(I330)</f>
        <v>0</v>
      </c>
      <c r="J342" s="1673">
        <f>SUM(J330)</f>
        <v>0</v>
      </c>
      <c r="K342" s="1673">
        <f>SUM(K330,K334,K340)</f>
        <v>203173</v>
      </c>
      <c r="L342" s="1680">
        <f>SUM(L330,L334,L340,L341)</f>
        <v>183870</v>
      </c>
    </row>
    <row r="343" spans="1:14" ht="12.75" customHeight="1" thickTop="1" x14ac:dyDescent="0.2">
      <c r="A343" s="2269" t="s">
        <v>989</v>
      </c>
      <c r="B343" s="2270"/>
      <c r="C343" s="1672"/>
      <c r="D343" s="1672"/>
      <c r="E343" s="1672"/>
      <c r="F343" s="1672"/>
      <c r="G343" s="1672"/>
      <c r="H343" s="1672"/>
      <c r="I343" s="1672"/>
      <c r="J343" s="1672"/>
      <c r="K343" s="1688">
        <f>'Revenues 9-14'!J268-'Expenditures 15-22'!K342</f>
        <v>-3321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59" t="s">
        <v>960</v>
      </c>
      <c r="B345" s="2260"/>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4939</v>
      </c>
      <c r="F349" s="1572">
        <v>0</v>
      </c>
      <c r="G349" s="1572">
        <v>21782</v>
      </c>
      <c r="H349" s="1572">
        <v>0</v>
      </c>
      <c r="I349" s="1573">
        <v>0</v>
      </c>
      <c r="J349" s="1573">
        <v>0</v>
      </c>
      <c r="K349" s="1671">
        <f>SUM(C349:J349)</f>
        <v>26721</v>
      </c>
      <c r="L349" s="1572">
        <v>0</v>
      </c>
    </row>
    <row r="350" spans="1:14" ht="12.75" customHeight="1" thickBot="1" x14ac:dyDescent="0.25">
      <c r="A350" s="1379" t="s">
        <v>714</v>
      </c>
      <c r="B350" s="1380" t="s">
        <v>35</v>
      </c>
      <c r="C350" s="1673">
        <f>SUM(C348:C349)</f>
        <v>0</v>
      </c>
      <c r="D350" s="1673">
        <f t="shared" ref="D350:L350" si="26">SUM(D348:D349)</f>
        <v>0</v>
      </c>
      <c r="E350" s="1673">
        <f t="shared" si="26"/>
        <v>4939</v>
      </c>
      <c r="F350" s="1673">
        <f t="shared" si="26"/>
        <v>0</v>
      </c>
      <c r="G350" s="1673">
        <f t="shared" si="26"/>
        <v>21782</v>
      </c>
      <c r="H350" s="1673">
        <f t="shared" si="26"/>
        <v>0</v>
      </c>
      <c r="I350" s="1673">
        <f t="shared" si="26"/>
        <v>0</v>
      </c>
      <c r="J350" s="1673">
        <f t="shared" si="26"/>
        <v>0</v>
      </c>
      <c r="K350" s="1673">
        <f t="shared" si="26"/>
        <v>26721</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4939</v>
      </c>
      <c r="F352" s="1673">
        <f t="shared" si="27"/>
        <v>0</v>
      </c>
      <c r="G352" s="1673">
        <f t="shared" si="27"/>
        <v>21782</v>
      </c>
      <c r="H352" s="1673">
        <f t="shared" si="27"/>
        <v>0</v>
      </c>
      <c r="I352" s="1673">
        <f t="shared" si="27"/>
        <v>0</v>
      </c>
      <c r="J352" s="1673">
        <f t="shared" si="27"/>
        <v>0</v>
      </c>
      <c r="K352" s="1673">
        <f t="shared" si="27"/>
        <v>26721</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v>0</v>
      </c>
      <c r="I354" s="1715"/>
      <c r="J354" s="1672"/>
      <c r="K354" s="1712">
        <f>H354</f>
        <v>0</v>
      </c>
      <c r="L354" s="1576">
        <v>0</v>
      </c>
    </row>
    <row r="355" spans="1:14" ht="12.75" customHeight="1" x14ac:dyDescent="0.2">
      <c r="A355" s="1282" t="s">
        <v>1824</v>
      </c>
      <c r="B355" s="562" t="s">
        <v>1817</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4939</v>
      </c>
      <c r="F367" s="1673">
        <f t="shared" si="28"/>
        <v>0</v>
      </c>
      <c r="G367" s="1673">
        <f t="shared" si="28"/>
        <v>21782</v>
      </c>
      <c r="H367" s="1673">
        <f t="shared" si="28"/>
        <v>0</v>
      </c>
      <c r="I367" s="1673">
        <f t="shared" si="28"/>
        <v>0</v>
      </c>
      <c r="J367" s="1673">
        <f t="shared" si="28"/>
        <v>0</v>
      </c>
      <c r="K367" s="1673">
        <f t="shared" si="28"/>
        <v>26721</v>
      </c>
      <c r="L367" s="1673">
        <f t="shared" si="28"/>
        <v>0</v>
      </c>
    </row>
    <row r="368" spans="1:14" ht="13.5" thickTop="1" x14ac:dyDescent="0.2">
      <c r="A368" s="2256" t="s">
        <v>989</v>
      </c>
      <c r="B368" s="2257"/>
      <c r="C368" s="1693"/>
      <c r="D368" s="1693"/>
      <c r="E368" s="1676"/>
      <c r="F368" s="1676"/>
      <c r="G368" s="1676"/>
      <c r="H368" s="1676"/>
      <c r="I368" s="1676"/>
      <c r="J368" s="1675"/>
      <c r="K368" s="1671">
        <f>'Revenues 9-14'!K268-'Expenditures 15-22'!K367</f>
        <v>-15900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&amp;C&amp;"Calibri,Bold"&amp;9STATEMENT OF EXPENDITURES DISBURSED/EXPENDITURES, BUDGET TO ACTUAL
FOR THE YEAR ENDING JUNE 30, 2020</oddHeader>
    <oddFooter>&amp;C&amp;"Times New Roman,Regular"&amp;11The accompanying notes to the basic financial statements are an integral part of this financial statement.
Page &amp;P</oddFooter>
  </headerFooter>
  <rowBreaks count="7" manualBreakCount="7">
    <brk id="46" max="16383" man="1"/>
    <brk id="92" max="16383" man="1"/>
    <brk id="138" max="16383" man="1"/>
    <brk id="184" max="16383" man="1"/>
    <brk id="230" max="16383" man="1"/>
    <brk id="276" max="16383" man="1"/>
    <brk id="32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3"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4"/>
      <c r="B3" s="1293"/>
      <c r="C3" s="1294"/>
      <c r="D3" s="1295" t="s">
        <v>254</v>
      </c>
      <c r="E3" s="1294"/>
      <c r="F3" s="1295" t="s">
        <v>255</v>
      </c>
    </row>
    <row r="4" spans="1:8" ht="13.7" customHeight="1" x14ac:dyDescent="0.2">
      <c r="A4" s="579" t="s">
        <v>1147</v>
      </c>
      <c r="B4" s="1720">
        <f>'Revenues 9-14'!C5</f>
        <v>383191</v>
      </c>
      <c r="C4" s="1721">
        <v>0</v>
      </c>
      <c r="D4" s="1722">
        <f>B4-C4</f>
        <v>383191</v>
      </c>
      <c r="E4" s="1721">
        <v>383839</v>
      </c>
      <c r="F4" s="1722">
        <f>E4-C4</f>
        <v>383839</v>
      </c>
    </row>
    <row r="5" spans="1:8" ht="13.7" customHeight="1" x14ac:dyDescent="0.2">
      <c r="A5" s="579" t="s">
        <v>865</v>
      </c>
      <c r="B5" s="1723">
        <f>'Revenues 9-14'!D5</f>
        <v>77200</v>
      </c>
      <c r="C5" s="1663">
        <v>0</v>
      </c>
      <c r="D5" s="1724">
        <f t="shared" ref="D5:D18" si="0">B5-C5</f>
        <v>77200</v>
      </c>
      <c r="E5" s="1663">
        <v>77335</v>
      </c>
      <c r="F5" s="1724">
        <f>E5-C5</f>
        <v>77335</v>
      </c>
    </row>
    <row r="6" spans="1:8" ht="13.7" customHeight="1" x14ac:dyDescent="0.2">
      <c r="A6" s="579" t="s">
        <v>408</v>
      </c>
      <c r="B6" s="1723">
        <f>'Revenues 9-14'!E5</f>
        <v>144923</v>
      </c>
      <c r="C6" s="1663">
        <v>0</v>
      </c>
      <c r="D6" s="1724">
        <f t="shared" si="0"/>
        <v>144923</v>
      </c>
      <c r="E6" s="1663">
        <v>145987</v>
      </c>
      <c r="F6" s="1724">
        <f t="shared" ref="F6:F18" si="1">E6-C6</f>
        <v>145987</v>
      </c>
    </row>
    <row r="7" spans="1:8" ht="13.7" customHeight="1" x14ac:dyDescent="0.2">
      <c r="A7" s="579" t="s">
        <v>154</v>
      </c>
      <c r="B7" s="1723">
        <f>'Revenues 9-14'!F5</f>
        <v>23375</v>
      </c>
      <c r="C7" s="1663">
        <v>0</v>
      </c>
      <c r="D7" s="1724">
        <f t="shared" si="0"/>
        <v>23375</v>
      </c>
      <c r="E7" s="1663">
        <v>28739</v>
      </c>
      <c r="F7" s="1724">
        <f t="shared" si="1"/>
        <v>28739</v>
      </c>
    </row>
    <row r="8" spans="1:8" ht="13.7" customHeight="1" x14ac:dyDescent="0.2">
      <c r="A8" s="579" t="s">
        <v>1171</v>
      </c>
      <c r="B8" s="1723">
        <f>'Revenues 9-14'!G5</f>
        <v>74440</v>
      </c>
      <c r="C8" s="1663">
        <v>0</v>
      </c>
      <c r="D8" s="1724">
        <f t="shared" si="0"/>
        <v>74440</v>
      </c>
      <c r="E8" s="1663">
        <v>92539</v>
      </c>
      <c r="F8" s="1724">
        <f t="shared" si="1"/>
        <v>92539</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8463</v>
      </c>
      <c r="C10" s="1663">
        <v>0</v>
      </c>
      <c r="D10" s="1724">
        <f t="shared" si="0"/>
        <v>8463</v>
      </c>
      <c r="E10" s="1663">
        <v>8479</v>
      </c>
      <c r="F10" s="1724">
        <f t="shared" si="1"/>
        <v>8479</v>
      </c>
    </row>
    <row r="11" spans="1:8" x14ac:dyDescent="0.2">
      <c r="A11" s="579" t="s">
        <v>406</v>
      </c>
      <c r="B11" s="1723">
        <f>'Revenues 9-14'!J5</f>
        <v>194778</v>
      </c>
      <c r="C11" s="1663">
        <v>0</v>
      </c>
      <c r="D11" s="1724">
        <f t="shared" si="0"/>
        <v>194778</v>
      </c>
      <c r="E11" s="1663">
        <v>195115</v>
      </c>
      <c r="F11" s="1724">
        <f t="shared" si="1"/>
        <v>195115</v>
      </c>
    </row>
    <row r="12" spans="1:8" ht="13.7" customHeight="1" x14ac:dyDescent="0.2">
      <c r="A12" s="579" t="s">
        <v>156</v>
      </c>
      <c r="B12" s="1723">
        <f>'Revenues 9-14'!K5</f>
        <v>10778</v>
      </c>
      <c r="C12" s="1663">
        <v>0</v>
      </c>
      <c r="D12" s="1724">
        <f t="shared" si="0"/>
        <v>10778</v>
      </c>
      <c r="E12" s="1663">
        <v>10798</v>
      </c>
      <c r="F12" s="1724">
        <f t="shared" si="1"/>
        <v>10798</v>
      </c>
    </row>
    <row r="13" spans="1:8" ht="13.7" customHeight="1" x14ac:dyDescent="0.2">
      <c r="A13" s="579" t="s">
        <v>930</v>
      </c>
      <c r="B13" s="1723">
        <f>SUM('Revenues 9-14'!C6:D6)</f>
        <v>10778</v>
      </c>
      <c r="C13" s="1663">
        <v>0</v>
      </c>
      <c r="D13" s="1724">
        <f t="shared" si="0"/>
        <v>10778</v>
      </c>
      <c r="E13" s="1663">
        <v>10798</v>
      </c>
      <c r="F13" s="1724">
        <f t="shared" si="1"/>
        <v>10798</v>
      </c>
    </row>
    <row r="14" spans="1:8" ht="13.7" customHeight="1" x14ac:dyDescent="0.2">
      <c r="A14" s="579" t="s">
        <v>407</v>
      </c>
      <c r="B14" s="1723">
        <f>SUM('Revenues 9-14'!C7:D7,'Revenues 9-14'!F7:H7)</f>
        <v>3933</v>
      </c>
      <c r="C14" s="1663">
        <v>0</v>
      </c>
      <c r="D14" s="1724">
        <f t="shared" si="0"/>
        <v>3933</v>
      </c>
      <c r="E14" s="1663">
        <v>3941</v>
      </c>
      <c r="F14" s="1724">
        <f t="shared" si="1"/>
        <v>3941</v>
      </c>
    </row>
    <row r="15" spans="1:8" ht="13.7" customHeight="1" x14ac:dyDescent="0.2">
      <c r="A15" s="579" t="s">
        <v>1150</v>
      </c>
      <c r="B15" s="1723">
        <f>SUM('Revenues 9-14'!D9:E9,'Revenues 9-14'!H9)</f>
        <v>0</v>
      </c>
      <c r="C15" s="1663">
        <v>0</v>
      </c>
      <c r="D15" s="1724">
        <f t="shared" si="0"/>
        <v>0</v>
      </c>
      <c r="E15" s="1663">
        <v>0</v>
      </c>
      <c r="F15" s="1724">
        <f t="shared" si="1"/>
        <v>0</v>
      </c>
    </row>
    <row r="16" spans="1:8" ht="13.7" customHeight="1" x14ac:dyDescent="0.2">
      <c r="A16" s="579" t="s">
        <v>1151</v>
      </c>
      <c r="B16" s="1723">
        <f>'Revenues 9-14'!G8</f>
        <v>26299</v>
      </c>
      <c r="C16" s="1663">
        <v>0</v>
      </c>
      <c r="D16" s="1724">
        <f t="shared" si="0"/>
        <v>26299</v>
      </c>
      <c r="E16" s="1663">
        <v>26348</v>
      </c>
      <c r="F16" s="1724">
        <f t="shared" si="1"/>
        <v>26348</v>
      </c>
    </row>
    <row r="17" spans="1:6" ht="13.7" customHeight="1" x14ac:dyDescent="0.2">
      <c r="A17" s="579" t="s">
        <v>1152</v>
      </c>
      <c r="B17" s="1723">
        <f>'Revenues 9-14'!C10</f>
        <v>0</v>
      </c>
      <c r="C17" s="1663">
        <v>0</v>
      </c>
      <c r="D17" s="1724">
        <f t="shared" si="0"/>
        <v>0</v>
      </c>
      <c r="E17" s="1663">
        <v>0</v>
      </c>
      <c r="F17" s="1724">
        <f t="shared" si="1"/>
        <v>0</v>
      </c>
    </row>
    <row r="18" spans="1:6" ht="13.7" customHeight="1" x14ac:dyDescent="0.2">
      <c r="A18" s="579" t="s">
        <v>757</v>
      </c>
      <c r="B18" s="1723">
        <f>SUM('Revenues 9-14'!C11:K11)</f>
        <v>0</v>
      </c>
      <c r="C18" s="1663">
        <v>0</v>
      </c>
      <c r="D18" s="1724">
        <f t="shared" si="0"/>
        <v>0</v>
      </c>
      <c r="E18" s="1663">
        <v>0</v>
      </c>
      <c r="F18" s="1724">
        <f t="shared" si="1"/>
        <v>0</v>
      </c>
    </row>
    <row r="19" spans="1:6" ht="13.7" customHeight="1" thickBot="1" x14ac:dyDescent="0.25">
      <c r="A19" s="1431" t="s">
        <v>1153</v>
      </c>
      <c r="B19" s="1725">
        <f>SUM(B4:B18)</f>
        <v>958158</v>
      </c>
      <c r="C19" s="1725">
        <f>SUM(C4:C18)</f>
        <v>0</v>
      </c>
      <c r="D19" s="1725">
        <f>SUM(D4:D18)</f>
        <v>958158</v>
      </c>
      <c r="E19" s="1725">
        <f>SUM(E4:E18)</f>
        <v>983918</v>
      </c>
      <c r="F19" s="1725">
        <f>SUM(F4:F18)</f>
        <v>983918</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Footer>&amp;C&amp;"Times New Roman,Regular"&amp;11Page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6ce3111e-7420-4802-b50a-75d4e9a0b980"/>
    <ds:schemaRef ds:uri="http://schemas.microsoft.com/sharepoint/v3"/>
    <ds:schemaRef ds:uri="http://purl.org/dc/elements/1.1/"/>
    <ds:schemaRef ds:uri="http://schemas.openxmlformats.org/package/2006/metadata/core-properties"/>
    <ds:schemaRef ds:uri="http://purl.org/dc/terms/"/>
    <ds:schemaRef ds:uri="http://schemas.microsoft.com/office/2006/documentManagement/types"/>
    <ds:schemaRef ds:uri="4d435f69-8686-490b-bd6d-b153bf22ab50"/>
    <ds:schemaRef ds:uri="http://www.w3.org/XML/1998/namespace"/>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33-34</vt:lpstr>
      <vt:lpstr>Itemization 35</vt:lpstr>
      <vt:lpstr>REF 36</vt:lpstr>
      <vt:lpstr>Opinion-Notes 37</vt:lpstr>
      <vt:lpstr>DeficitAFRSum Calc 38</vt:lpstr>
      <vt:lpstr>AFR20</vt:lpstr>
      <vt:lpstr>SF&amp;QC Sec-1 39</vt:lpstr>
      <vt:lpstr>SF&amp;QC Sec-40</vt:lpstr>
      <vt:lpstr>SSPAF 41</vt:lpstr>
      <vt:lpstr>AUDITCHECK</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2020-09-30T13:12:24Z</cp:lastPrinted>
  <dcterms:created xsi:type="dcterms:W3CDTF">2003-10-29T19:06:34Z</dcterms:created>
  <dcterms:modified xsi:type="dcterms:W3CDTF">2020-10-01T15:13:56Z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