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CB2E31E-FB38-4021-924A-11D74FE9684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6" r:id="rId31"/>
    <sheet name="Finding 2020-002" sheetId="189" r:id="rId32"/>
    <sheet name="SF&amp;QC Sec-2" sheetId="175" r:id="rId33"/>
    <sheet name="SF&amp;QC Sec-3" sheetId="176" r:id="rId34"/>
    <sheet name="SSPAF" sheetId="177" r:id="rId35"/>
    <sheet name="CAP 2020-001" sheetId="185" r:id="rId36"/>
    <sheet name="CAP 2020-002" sheetId="187" r:id="rId37"/>
  </sheets>
  <definedNames>
    <definedName name="_xlnm._FilterDatabase" localSheetId="23" hidden="1">'AFR20'!$A$1:$F$7884</definedName>
    <definedName name="pass" localSheetId="36">#REF!</definedName>
    <definedName name="pass" localSheetId="30">#REF!</definedName>
    <definedName name="pass" localSheetId="31">#REF!</definedName>
    <definedName name="pass">#REF!</definedName>
    <definedName name="pass1" localSheetId="36">#REF!</definedName>
    <definedName name="pass1" localSheetId="30">#REF!</definedName>
    <definedName name="pass1" localSheetId="31">#REF!</definedName>
    <definedName name="pass1">#REF!</definedName>
    <definedName name="pass2" localSheetId="36">#REF!</definedName>
    <definedName name="pass2" localSheetId="30">#REF!</definedName>
    <definedName name="pass2" localSheetId="31">#REF!</definedName>
    <definedName name="pass2">#REF!</definedName>
    <definedName name="pass3" localSheetId="30">#REF!</definedName>
    <definedName name="pass3" localSheetId="31">#REF!</definedName>
    <definedName name="pass3">#REF!</definedName>
    <definedName name="pass4" localSheetId="30">#REF!</definedName>
    <definedName name="pass4" localSheetId="31">#REF!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8" l="1"/>
  <c r="J32" i="8"/>
  <c r="J31" i="8"/>
  <c r="J8" i="12" l="1"/>
  <c r="H5" i="12"/>
  <c r="C10" i="189" l="1"/>
  <c r="B4" i="189"/>
  <c r="C10" i="186"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9"/>
  <c r="B2" i="179"/>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D22" i="37"/>
  <c r="L22" i="37"/>
  <c r="D24" i="37"/>
  <c r="B4270" i="106" s="1"/>
  <c r="D4270" i="106" s="1"/>
  <c r="F50" i="34" l="1"/>
  <c r="F42" i="34"/>
  <c r="C129" i="29"/>
  <c r="H33" i="118"/>
  <c r="D36" i="108"/>
  <c r="B7047" i="106"/>
  <c r="D7047" i="106" s="1"/>
  <c r="B2805" i="106"/>
  <c r="D2805" i="106" s="1"/>
  <c r="F56" i="34"/>
  <c r="B7832" i="106" s="1"/>
  <c r="D7832" i="106" s="1"/>
  <c r="E34" i="108"/>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M63" i="184" l="1"/>
  <c r="M68" i="184" s="1"/>
  <c r="L16" i="11"/>
  <c r="B2061" i="106" s="1"/>
  <c r="D2061" i="106" s="1"/>
  <c r="J16" i="4"/>
  <c r="B6226" i="106" s="1"/>
  <c r="D6226" i="106" s="1"/>
  <c r="C367" i="29"/>
  <c r="B3622" i="106" s="1"/>
  <c r="D3622" i="106" s="1"/>
  <c r="I151" i="29"/>
  <c r="F59" i="34"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N63" i="184" l="1"/>
  <c r="N68" i="184"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H24" i="118"/>
  <c r="K24" i="118" s="1"/>
  <c r="O23" i="118" s="1"/>
  <c r="O25" i="118" s="1"/>
  <c r="D35" i="36"/>
  <c r="B3414" i="106"/>
  <c r="D3414" i="106" s="1"/>
  <c r="B3411" i="106"/>
  <c r="D3411" i="106" s="1"/>
  <c r="E13" i="3"/>
  <c r="B131" i="106" s="1"/>
  <c r="D13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<sst xmlns="http://schemas.openxmlformats.org/spreadsheetml/2006/main" count="5305" uniqueCount="2146">
  <si>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</si>
  <si>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</si>
  <si>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</si>
  <si>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</si>
  <si>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</si>
  <si>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</si>
  <si>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</si>
  <si>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</si>
  <si>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</si>
  <si>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</si>
  <si>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</si>
  <si>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</si>
  <si>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</si>
  <si>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</si>
  <si>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</si>
  <si>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</si>
  <si>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</si>
  <si>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</si>
  <si>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</si>
  <si>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</si>
  <si>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</si>
  <si>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</si>
  <si>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</si>
  <si>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</si>
  <si>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</si>
  <si>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</si>
  <si>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</si>
  <si>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</si>
  <si>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</si>
  <si>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</si>
  <si>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</si>
  <si>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</si>
  <si>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</si>
  <si>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</si>
  <si>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</si>
  <si>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</si>
  <si>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</si>
  <si>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</si>
  <si>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</si>
  <si>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</si>
  <si>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</si>
  <si>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</si>
  <si>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</si>
  <si>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</si>
  <si>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</si>
  <si>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</si>
  <si>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</si>
  <si>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</si>
  <si>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</si>
  <si>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</si>
  <si>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</si>
  <si>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</si>
  <si>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</si>
  <si>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</si>
  <si>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</si>
  <si>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</si>
  <si>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</si>
  <si>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</si>
  <si>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</si>
  <si>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</si>
  <si>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</si>
  <si>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</si>
  <si>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</si>
  <si>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</si>
  <si>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</si>
  <si>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</si>
  <si>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</si>
  <si>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</si>
  <si>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</si>
  <si>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</si>
  <si>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</si>
  <si>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</si>
  <si>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</si>
  <si>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</si>
  <si>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</si>
  <si>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</si>
  <si>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</si>
  <si>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</si>
  <si>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</si>
  <si>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</si>
  <si>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</si>
  <si>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</si>
  <si>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</si>
  <si>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</si>
  <si>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</si>
  <si>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</si>
  <si>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</si>
  <si>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</si>
  <si>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</si>
  <si>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</si>
  <si>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</si>
  <si>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</si>
  <si>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</si>
  <si>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</si>
  <si>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</si>
  <si>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</si>
  <si>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</si>
  <si>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</si>
  <si>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</si>
  <si>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</si>
  <si>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</si>
  <si>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</si>
  <si>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</si>
  <si>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</si>
  <si>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</si>
  <si>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</si>
  <si>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</si>
  <si>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</si>
  <si>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</si>
  <si>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</si>
  <si>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</si>
  <si>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</si>
  <si>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</si>
  <si>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</si>
  <si>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</si>
  <si>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</si>
  <si>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</si>
  <si>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</si>
  <si>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</si>
  <si>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</si>
  <si>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</si>
  <si>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</si>
  <si>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</si>
  <si>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</si>
  <si>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</si>
  <si>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</si>
  <si>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</si>
  <si>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</si>
  <si>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</si>
  <si>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</si>
  <si>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</si>
  <si>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</si>
  <si>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</si>
  <si>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</si>
  <si>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</si>
  <si>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</si>
  <si>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</si>
  <si>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</si>
  <si>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</si>
  <si>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</si>
  <si>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</si>
  <si>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</si>
  <si>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</si>
  <si>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</si>
  <si>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</si>
  <si>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</si>
  <si>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</si>
  <si>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</si>
  <si>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</si>
  <si>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</si>
  <si>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</si>
  <si>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</si>
  <si>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</si>
  <si>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</si>
  <si>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</si>
  <si>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</si>
  <si>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</si>
  <si>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</si>
  <si>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</si>
  <si>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</si>
  <si>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</si>
  <si>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</si>
  <si>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</si>
  <si>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</si>
  <si>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</si>
  <si>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</si>
  <si>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</si>
  <si>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</si>
  <si>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</si>
  <si>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</si>
  <si>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</si>
  <si>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</si>
  <si>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</si>
  <si>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</si>
  <si>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</si>
  <si>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</si>
  <si>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</si>
  <si>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</si>
  <si>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</si>
  <si>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</si>
  <si>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</si>
  <si>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</si>
  <si>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</si>
  <si>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</si>
  <si>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</si>
  <si>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</si>
  <si>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</si>
  <si>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</si>
  <si>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</si>
  <si>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</si>
  <si>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</si>
  <si>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</si>
  <si>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</si>
  <si>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</si>
  <si>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</si>
  <si>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</si>
  <si>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</si>
  <si>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</si>
  <si>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</si>
  <si>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</si>
  <si>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</si>
  <si>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</si>
  <si>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</si>
  <si>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</si>
  <si>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</si>
  <si>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</si>
  <si>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</si>
  <si>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</si>
  <si>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</si>
  <si>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</si>
  <si>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</si>
  <si>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</si>
  <si>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</si>
  <si>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</si>
  <si>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</si>
  <si>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</si>
  <si>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</si>
  <si>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</si>
  <si>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</si>
  <si>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</si>
  <si>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</si>
  <si>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</si>
  <si>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</si>
  <si>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</si>
  <si>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</si>
  <si>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</si>
  <si>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</si>
  <si>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</si>
  <si>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</si>
  <si>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</si>
  <si>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</si>
  <si>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</si>
  <si>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</si>
  <si>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</si>
  <si>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</si>
  <si>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</si>
  <si>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</si>
  <si>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</si>
  <si>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</si>
  <si>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</si>
  <si>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</si>
  <si>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</si>
  <si>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</si>
  <si>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</si>
  <si>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</si>
  <si>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</si>
  <si>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</si>
  <si>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</si>
  <si>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</si>
  <si>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</si>
  <si>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</si>
  <si>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</si>
  <si>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</si>
  <si>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</si>
  <si>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</si>
  <si>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</si>
  <si>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</si>
  <si>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</si>
  <si>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</si>
  <si>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</si>
  <si>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</si>
  <si>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</si>
  <si>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</si>
  <si>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</si>
  <si>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</si>
  <si>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</si>
  <si>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</si>
  <si>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</si>
  <si>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</si>
  <si>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</si>
  <si>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</si>
  <si>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</si>
  <si>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</si>
  <si>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</si>
  <si>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</si>
  <si>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</si>
  <si>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</si>
  <si>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</si>
  <si>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</si>
  <si>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</si>
  <si>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</si>
  <si>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</si>
  <si>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</si>
  <si>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</si>
  <si>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</si>
  <si>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</si>
  <si>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</si>
  <si>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</si>
  <si>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</si>
  <si>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</si>
  <si>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</si>
  <si>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</si>
  <si>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</si>
  <si>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</si>
  <si>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</si>
  <si>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</si>
  <si>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</si>
  <si>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</si>
  <si>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</si>
  <si>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</si>
  <si>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</si>
  <si>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</si>
  <si>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</si>
  <si>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</si>
  <si>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</si>
  <si>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</si>
  <si>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</si>
  <si>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</si>
  <si>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</si>
  <si>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</si>
  <si>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</si>
  <si>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</si>
  <si>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</si>
  <si>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</si>
  <si>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</si>
  <si>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</si>
  <si>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</si>
  <si>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</si>
  <si>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</si>
  <si>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</si>
  <si>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</si>
  <si>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</si>
  <si>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</si>
  <si>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</si>
  <si>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</si>
  <si>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</si>
  <si>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</si>
  <si>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</si>
  <si>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</si>
  <si>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</si>
  <si>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</si>
  <si>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</si>
  <si>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</si>
  <si>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</si>
  <si>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</si>
  <si>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</si>
  <si>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</si>
  <si>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</si>
  <si>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</si>
  <si>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</si>
  <si>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</si>
  <si>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</si>
  <si>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</si>
  <si>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</si>
  <si>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</si>
  <si>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</si>
  <si>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</si>
  <si>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</si>
  <si>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</si>
  <si>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</si>
  <si>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</si>
  <si>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</si>
  <si>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</si>
  <si>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</si>
  <si>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</si>
  <si>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</si>
  <si>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</si>
  <si>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</si>
  <si>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</si>
  <si>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</si>
  <si>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</si>
  <si>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</si>
  <si>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</si>
  <si>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</si>
  <si>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</si>
  <si>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</si>
  <si>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</si>
  <si>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</si>
  <si>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</si>
  <si>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</si>
  <si>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</si>
  <si>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</si>
  <si>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</si>
  <si>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</si>
  <si>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</si>
  <si>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</si>
  <si>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</si>
  <si>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</si>
  <si>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</si>
  <si>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</si>
  <si>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</si>
  <si>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</si>
  <si>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</si>
  <si>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</si>
  <si>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</si>
  <si>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</si>
  <si>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</si>
  <si>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</si>
  <si>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</si>
  <si>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</si>
  <si>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</si>
  <si>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</si>
  <si>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</si>
  <si>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</si>
  <si>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</si>
  <si>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</si>
  <si>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</si>
  <si>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</si>
  <si>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</si>
  <si>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</si>
  <si>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</si>
  <si>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</si>
  <si>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</si>
  <si>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</si>
  <si>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</si>
  <si>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</si>
  <si>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</si>
  <si>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</si>
  <si>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</si>
  <si>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</si>
  <si>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</si>
  <si>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</si>
  <si>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</si>
  <si>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</si>
  <si>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</si>
  <si>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</si>
  <si>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</si>
  <si>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</si>
  <si>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</si>
  <si>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</si>
  <si>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</si>
  <si>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</si>
  <si>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</si>
  <si>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</si>
  <si>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</si>
  <si>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</si>
  <si>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</si>
  <si>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</si>
  <si>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</si>
  <si>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</si>
  <si>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</si>
  <si>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</si>
  <si>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</si>
  <si>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</si>
  <si>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</si>
  <si>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</si>
  <si>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</si>
  <si>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</si>
  <si>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</si>
  <si>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</si>
  <si>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</si>
  <si>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</si>
  <si>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</si>
  <si>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</si>
  <si>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</si>
  <si>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</si>
  <si>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</si>
  <si>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</si>
  <si>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</si>
  <si>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</si>
  <si>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</si>
  <si>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</si>
  <si>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</si>
  <si>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</si>
  <si>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</si>
  <si>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</si>
  <si>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</si>
  <si>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</si>
  <si>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</si>
  <si>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</si>
  <si>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</si>
  <si>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</si>
  <si>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</si>
  <si>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</si>
  <si>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</si>
  <si>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</si>
  <si>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</si>
  <si>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</si>
  <si>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</si>
  <si>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</si>
  <si>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</si>
  <si>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</si>
  <si>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</si>
  <si>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</si>
  <si>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</si>
  <si>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</si>
  <si>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</si>
  <si>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</si>
  <si>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</si>
  <si>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</si>
  <si>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</si>
  <si>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</si>
  <si>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</si>
  <si>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</si>
  <si>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</si>
  <si>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</si>
  <si>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</si>
  <si>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</si>
  <si>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</si>
  <si>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</si>
  <si>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</si>
  <si>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</si>
  <si>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</si>
  <si>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</si>
  <si>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</si>
  <si>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</si>
  <si>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</si>
  <si>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</si>
  <si>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</si>
  <si>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</si>
  <si>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</si>
  <si>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</si>
  <si>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</si>
  <si>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</si>
  <si>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</si>
  <si>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</si>
  <si>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</si>
  <si>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</si>
  <si>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</si>
  <si>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</si>
  <si>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</si>
  <si>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</si>
  <si>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</si>
  <si>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</si>
  <si>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</si>
  <si>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</si>
  <si>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</si>
  <si>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</si>
  <si>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</si>
  <si>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</si>
  <si>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</si>
  <si>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</si>
  <si>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</si>
  <si>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</si>
  <si>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</si>
  <si>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</si>
  <si>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</si>
  <si>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</si>
  <si>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</si>
  <si>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</si>
  <si>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</si>
  <si>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</si>
  <si>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</si>
  <si>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</si>
  <si>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</si>
  <si>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</si>
  <si>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</si>
  <si>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</si>
  <si>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</si>
  <si>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</si>
  <si>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</si>
  <si>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</si>
  <si>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</si>
  <si>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</si>
  <si>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</si>
  <si>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</si>
  <si>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</si>
  <si>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</si>
  <si>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</si>
  <si>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</si>
  <si>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</si>
  <si>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</si>
  <si>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</si>
  <si>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</si>
  <si>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</si>
  <si>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</si>
  <si>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</si>
  <si>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</si>
  <si>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</si>
  <si>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</si>
  <si>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</si>
  <si>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</si>
  <si>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</si>
  <si>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</si>
  <si>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</si>
  <si>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</si>
  <si>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</si>
  <si>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</si>
  <si>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</si>
  <si>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</si>
  <si>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</si>
  <si>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</si>
  <si>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</si>
  <si>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</si>
  <si>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</si>
  <si>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</si>
  <si>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</si>
  <si>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</si>
  <si>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</si>
  <si>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</si>
  <si>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</si>
  <si>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</si>
  <si>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</si>
  <si>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</si>
  <si>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</si>
  <si>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</si>
  <si>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</si>
  <si>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</si>
  <si>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</si>
  <si>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</si>
  <si>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</si>
  <si>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</si>
  <si>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</si>
  <si>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</si>
  <si>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</si>
  <si>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</si>
  <si>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</si>
  <si>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</si>
  <si>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</si>
  <si>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</si>
  <si>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</si>
  <si>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</si>
  <si>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</si>
  <si>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</si>
  <si>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</si>
  <si>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</si>
  <si>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</si>
  <si>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</si>
  <si>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</si>
  <si>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</si>
  <si>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</si>
  <si>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</si>
  <si>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</si>
  <si>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</si>
  <si>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</si>
  <si>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</si>
  <si>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</si>
  <si>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</si>
  <si>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</si>
  <si>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</si>
  <si>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</si>
  <si>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</si>
  <si>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</si>
  <si>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</si>
  <si>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</si>
  <si>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</si>
  <si>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</si>
  <si>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</si>
  <si>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</si>
  <si>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</si>
  <si>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</si>
  <si>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</si>
  <si>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</si>
  <si>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</si>
  <si>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</si>
  <si>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</si>
  <si>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</si>
  <si>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</si>
  <si>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</si>
  <si>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</si>
  <si>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</si>
  <si>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</si>
  <si>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</si>
  <si>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</si>
  <si>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</si>
  <si>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</si>
  <si>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</si>
  <si>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</si>
  <si>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</si>
  <si>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</si>
  <si>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</si>
  <si>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</si>
  <si>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</si>
  <si>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</si>
  <si>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</si>
  <si>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</si>
  <si>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</si>
  <si>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</si>
  <si>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</si>
  <si>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</si>
  <si>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</si>
  <si>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</si>
  <si>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</si>
  <si>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</si>
  <si>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</si>
  <si>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</si>
  <si>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</si>
  <si>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</si>
  <si>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</si>
  <si>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</si>
  <si>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</si>
  <si>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</si>
  <si>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</si>
  <si>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</si>
  <si>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</si>
  <si>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</si>
  <si>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</si>
  <si>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</si>
  <si>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</si>
  <si>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</si>
  <si>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</si>
  <si>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</si>
  <si>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</si>
  <si>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</si>
  <si>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</si>
  <si>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</si>
  <si>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</si>
  <si>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</si>
  <si>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</si>
  <si>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</si>
  <si>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</si>
  <si>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</si>
  <si>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</si>
  <si>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</si>
  <si>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</si>
  <si>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</si>
  <si>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</si>
  <si>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</si>
  <si>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</si>
  <si>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</si>
  <si>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</si>
  <si>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</si>
  <si>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</si>
  <si>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</si>
  <si>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</si>
  <si>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</si>
  <si>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</si>
  <si>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</si>
  <si>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</si>
  <si>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</si>
  <si>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</si>
  <si>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</si>
  <si>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</si>
  <si>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</si>
  <si>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</si>
  <si>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</si>
  <si>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</si>
  <si>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</si>
  <si>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</si>
  <si>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</si>
  <si>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</si>
  <si>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</si>
  <si>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</si>
  <si>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</si>
  <si>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</si>
  <si>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</si>
  <si>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</si>
  <si>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</si>
  <si>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</si>
  <si>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</si>
  <si>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</si>
  <si>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</si>
  <si>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</si>
  <si>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</si>
  <si>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</si>
  <si>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</si>
  <si>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</si>
  <si>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</si>
  <si>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</si>
  <si>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</si>
  <si>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</si>
  <si>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</si>
  <si>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</si>
  <si>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</si>
  <si>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</si>
  <si>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</si>
  <si>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</si>
  <si>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</si>
  <si>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</si>
  <si>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</si>
  <si>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</si>
  <si>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</si>
  <si>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</si>
  <si>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</si>
  <si>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</si>
  <si>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</si>
  <si>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</si>
  <si>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</si>
  <si>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</si>
  <si>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</si>
  <si>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</si>
  <si>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</si>
  <si>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</si>
  <si>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</si>
  <si>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</si>
  <si>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</si>
  <si>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</si>
  <si>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</si>
  <si>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</si>
  <si>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</si>
  <si>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</si>
  <si>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</si>
  <si>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</si>
  <si>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</si>
  <si>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</si>
  <si>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</si>
  <si>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</si>
  <si>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</si>
  <si>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</si>
  <si>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</si>
  <si>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</si>
  <si>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</si>
  <si>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</si>
  <si>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</si>
  <si>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</si>
  <si>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</si>
  <si>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</si>
  <si>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</si>
  <si>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</si>
  <si>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</si>
  <si>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</si>
  <si>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</si>
  <si>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</si>
  <si>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</si>
  <si>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</si>
  <si>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</si>
  <si>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</si>
  <si>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</si>
  <si>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</si>
  <si>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</si>
  <si>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</si>
  <si>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</si>
  <si>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</si>
  <si>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</si>
  <si>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</si>
  <si>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</si>
  <si>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</si>
  <si>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</si>
  <si>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</si>
  <si>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</si>
  <si>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</si>
  <si>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</si>
  <si>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</si>
  <si>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</si>
  <si>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</si>
  <si>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</si>
  <si>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</si>
  <si>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</si>
  <si>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</si>
  <si>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</si>
  <si>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</si>
  <si>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</si>
  <si>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</si>
  <si>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</si>
  <si>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</si>
  <si>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</si>
  <si>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</si>
  <si>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</si>
  <si>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</si>
  <si>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</si>
  <si>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</si>
  <si>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</si>
  <si>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</si>
  <si>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</si>
  <si>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</si>
  <si>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</si>
  <si>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</si>
  <si>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</si>
  <si>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</si>
  <si>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</si>
  <si>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</si>
  <si>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</si>
  <si>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</si>
  <si>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</si>
  <si>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</si>
  <si>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</si>
  <si>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</si>
  <si>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</si>
  <si>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</si>
  <si>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</si>
  <si>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</si>
  <si>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</si>
  <si>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</si>
  <si>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</si>
  <si>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</si>
  <si>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</si>
  <si>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</si>
  <si>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</si>
  <si>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</si>
  <si>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</si>
  <si>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</si>
  <si>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</si>
  <si>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</si>
  <si>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</si>
  <si>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</si>
  <si>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</si>
  <si>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</si>
  <si>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</si>
  <si>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</si>
  <si>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</si>
  <si>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</si>
  <si>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</si>
  <si>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</si>
  <si>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</si>
  <si>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</si>
  <si>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</si>
  <si>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</si>
  <si>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</si>
  <si>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</si>
  <si>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</si>
  <si>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</si>
  <si>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</si>
  <si>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</si>
  <si>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</si>
  <si>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</si>
  <si>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</si>
  <si>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</si>
  <si>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</si>
  <si>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</si>
  <si>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</si>
  <si>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</si>
  <si>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</si>
  <si>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</si>
  <si>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</si>
  <si>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</si>
  <si>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</si>
  <si>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</si>
  <si>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</si>
  <si>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</si>
  <si>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</si>
  <si>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</si>
  <si>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</si>
  <si>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</si>
  <si>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</si>
  <si>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</si>
  <si>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</si>
  <si>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</si>
  <si>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</si>
  <si>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</si>
  <si>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</si>
  <si>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</si>
  <si>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</si>
  <si>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</si>
  <si>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</si>
  <si>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</si>
  <si>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</si>
  <si>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</si>
  <si>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</si>
  <si>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</si>
  <si>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</si>
  <si>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</si>
  <si>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</si>
  <si>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</si>
  <si>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</si>
  <si>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</si>
  <si>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</si>
  <si>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</si>
  <si>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</si>
  <si>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</si>
  <si>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</si>
  <si>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</si>
  <si>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</si>
  <si>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</si>
  <si>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</si>
  <si>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</si>
  <si>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</si>
  <si>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</si>
  <si>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</si>
  <si>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</si>
  <si>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</si>
  <si>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</si>
  <si>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</si>
  <si>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</si>
  <si>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</si>
  <si>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</si>
  <si>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</si>
  <si>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</si>
  <si>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</si>
  <si>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</si>
  <si>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</si>
  <si>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</si>
  <si>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</si>
  <si>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</si>
  <si>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</si>
  <si>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</si>
  <si>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</si>
  <si>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</si>
  <si>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</si>
  <si>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</si>
  <si>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</si>
  <si>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</si>
  <si>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</si>
  <si>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</si>
  <si>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</si>
  <si>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</si>
  <si>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</si>
  <si>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</si>
  <si>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</si>
  <si>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</si>
  <si>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</si>
  <si>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</si>
  <si>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</si>
  <si>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</si>
  <si>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</si>
  <si>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</si>
  <si>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</si>
  <si>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</si>
  <si>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</si>
  <si>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</si>
  <si>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</si>
  <si>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</si>
  <si>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</si>
  <si>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</si>
  <si>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</si>
  <si>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</si>
  <si>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</si>
  <si>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</si>
  <si>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</si>
  <si>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</si>
  <si>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</si>
  <si>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</si>
  <si>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</si>
  <si>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</si>
  <si>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</si>
  <si>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</si>
  <si>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</si>
  <si>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</si>
  <si>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</si>
  <si>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</si>
  <si>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</si>
  <si>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</si>
  <si>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</si>
  <si>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</si>
  <si>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</si>
  <si>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</si>
  <si>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</si>
  <si>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</si>
  <si>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</si>
  <si>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</si>
  <si>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</si>
  <si>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</si>
  <si>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</si>
  <si>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</si>
  <si>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</si>
  <si>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</si>
  <si>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</si>
  <si>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</si>
  <si>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</si>
  <si>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</si>
  <si>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</si>
  <si>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</si>
  <si>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</si>
  <si>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</si>
  <si>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</si>
  <si>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</si>
  <si>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</si>
  <si>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</si>
  <si>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</si>
  <si>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</si>
  <si>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</si>
  <si>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</si>
  <si>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</si>
  <si>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</si>
  <si>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</si>
  <si>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</si>
  <si>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</si>
  <si>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</si>
  <si>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</si>
  <si>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</si>
  <si>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</si>
  <si>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</si>
  <si>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</si>
  <si>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</si>
  <si>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</si>
  <si>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</si>
  <si>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</si>
  <si>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</si>
  <si>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</si>
  <si>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</si>
  <si>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</si>
  <si>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</si>
  <si>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</si>
  <si>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</si>
  <si>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</si>
  <si>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</si>
  <si>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</si>
  <si>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</si>
  <si>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</si>
  <si>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</si>
  <si>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</si>
  <si>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</si>
  <si>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</si>
  <si>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</si>
  <si>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</si>
  <si>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</si>
  <si>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</si>
  <si>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</si>
  <si>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</si>
  <si>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</si>
  <si>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</si>
  <si>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</si>
  <si>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</si>
  <si>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</si>
  <si>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</si>
  <si>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</si>
  <si>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</si>
  <si>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</si>
  <si>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</si>
  <si>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</si>
  <si>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</si>
  <si>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</si>
  <si>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</si>
  <si>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</si>
  <si>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</si>
  <si>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</si>
  <si>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</si>
  <si>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</si>
  <si>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</si>
  <si>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</si>
  <si>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</si>
  <si>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</si>
  <si>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</si>
  <si>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</si>
  <si>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</si>
  <si>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</si>
  <si>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</si>
  <si>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</si>
  <si>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</si>
  <si>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</si>
  <si>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</si>
  <si>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</si>
  <si>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</si>
  <si>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</si>
  <si>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</si>
  <si>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</si>
  <si>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</si>
  <si>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</si>
  <si>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</si>
  <si>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</si>
  <si>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</si>
  <si>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</si>
  <si>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</si>
  <si>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</si>
  <si>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</si>
  <si>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</si>
  <si>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</si>
  <si>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</si>
  <si>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</si>
  <si>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</si>
  <si>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</si>
  <si>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</si>
  <si>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</si>
  <si>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</si>
  <si>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</si>
  <si>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</si>
  <si>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</si>
  <si>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</si>
  <si>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</si>
  <si>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</si>
  <si>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</si>
  <si>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</si>
  <si>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</si>
  <si>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</si>
  <si>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</si>
  <si>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</si>
  <si>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</si>
  <si>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</si>
  <si>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</si>
  <si>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</si>
  <si>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</si>
  <si>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</si>
  <si>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</si>
  <si>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</si>
  <si>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</si>
  <si>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</si>
  <si>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</si>
  <si>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</si>
  <si>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</si>
  <si>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</si>
  <si>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</si>
  <si>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</si>
  <si>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</si>
  <si>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</si>
  <si>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</si>
  <si>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</si>
  <si>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</si>
  <si>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</si>
  <si>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</si>
  <si>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</si>
  <si>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</si>
  <si>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</si>
  <si>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</si>
  <si>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</si>
  <si>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</si>
  <si>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</si>
  <si>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</si>
  <si>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</si>
  <si>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</si>
  <si>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</si>
  <si>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</si>
  <si>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</si>
  <si>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</si>
  <si>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</si>
  <si>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</si>
  <si>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</si>
  <si>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</si>
  <si>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</si>
  <si>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</si>
  <si>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</si>
  <si>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</si>
  <si>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</si>
  <si>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</si>
  <si>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</si>
  <si>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</si>
  <si>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</si>
  <si>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</si>
  <si>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</si>
  <si>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</si>
  <si>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</si>
  <si>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</si>
  <si>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</si>
  <si>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</si>
  <si>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</si>
  <si>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</si>
  <si>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</si>
  <si>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</si>
  <si>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</si>
  <si>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</si>
  <si>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</si>
  <si>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</si>
  <si>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</si>
  <si>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</si>
  <si>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</si>
  <si>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</si>
  <si>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</si>
  <si>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</si>
  <si>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</si>
  <si>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</si>
  <si>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</si>
  <si>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</si>
  <si>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</si>
  <si>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</si>
  <si>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</si>
  <si>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</si>
  <si>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</si>
  <si>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</si>
  <si>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</si>
  <si>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</si>
  <si>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</si>
  <si>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</si>
  <si>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</si>
  <si>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</si>
  <si>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</si>
  <si>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</si>
  <si>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</si>
  <si>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</si>
  <si>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</si>
  <si>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</si>
  <si>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</si>
  <si>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</si>
  <si>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</si>
  <si>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</si>
  <si>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</si>
  <si>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</si>
  <si>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</si>
  <si>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</si>
  <si>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</si>
  <si>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</si>
  <si>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</si>
  <si>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</si>
  <si>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</si>
  <si>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</si>
  <si>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</si>
  <si>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</si>
  <si>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</si>
  <si>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</si>
  <si>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</si>
  <si>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</si>
  <si>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</si>
  <si>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</si>
  <si>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</si>
  <si>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</si>
  <si>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</si>
  <si>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</si>
  <si>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</si>
  <si>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</si>
  <si>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</si>
  <si>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</si>
  <si>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</si>
  <si>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</si>
  <si>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</si>
  <si>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</si>
  <si>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</si>
  <si>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</si>
  <si>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</si>
  <si>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</si>
  <si>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</si>
  <si>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</si>
  <si>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</si>
  <si>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</si>
  <si>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</si>
  <si>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</si>
  <si>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</si>
  <si>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</si>
  <si>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</si>
  <si>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</si>
  <si>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</si>
  <si>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</si>
  <si>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</si>
  <si>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</si>
  <si>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</si>
  <si>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</si>
  <si>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</si>
  <si>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</si>
  <si>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</si>
  <si>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</si>
  <si>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</si>
  <si>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</si>
  <si>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</si>
  <si>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</si>
  <si>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</si>
  <si>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</si>
  <si>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</si>
  <si>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</si>
  <si>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</si>
  <si>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</si>
  <si>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</si>
  <si>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</si>
  <si>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</si>
  <si>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</si>
  <si>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</si>
  <si>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</si>
  <si>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</si>
  <si>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</si>
  <si>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</si>
  <si>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</si>
  <si>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</si>
  <si>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</si>
  <si>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</si>
  <si>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</si>
  <si>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</si>
  <si>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</si>
  <si>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</si>
  <si>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</si>
  <si>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</si>
  <si>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</si>
  <si>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</si>
  <si>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</si>
  <si>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</si>
  <si>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</si>
  <si>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</si>
  <si>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</si>
  <si>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</si>
  <si>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</si>
  <si>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</si>
  <si>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</si>
  <si>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</si>
  <si>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</si>
  <si>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</si>
  <si>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</si>
  <si>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</si>
  <si>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</si>
  <si>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</si>
  <si>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</si>
  <si>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</si>
  <si>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</si>
  <si>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</si>
  <si>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</si>
  <si>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</si>
  <si>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</si>
  <si>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</si>
  <si>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</si>
  <si>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</si>
  <si>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</si>
  <si>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</si>
  <si>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</si>
  <si>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</si>
  <si>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</si>
  <si>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</si>
  <si>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</si>
  <si>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</si>
  <si>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</si>
  <si>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</si>
  <si>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</si>
  <si>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</si>
  <si>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</si>
  <si>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</si>
  <si>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</si>
  <si>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</si>
  <si>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</si>
  <si>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</si>
  <si>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</si>
  <si>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</si>
  <si>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</si>
  <si>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</si>
  <si>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</si>
  <si>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</si>
  <si>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</si>
  <si>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</si>
  <si>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</si>
  <si>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</si>
  <si>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</si>
  <si>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</si>
  <si>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</si>
  <si>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</si>
  <si>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</si>
  <si>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</si>
  <si>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</si>
  <si>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</si>
  <si>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</si>
  <si>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</si>
  <si>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</si>
  <si>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</si>
  <si>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</si>
  <si>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</si>
  <si>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</si>
  <si>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</si>
  <si>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</si>
  <si>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</si>
  <si>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</si>
  <si>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</si>
  <si>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</si>
  <si>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</si>
  <si>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</si>
  <si>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</si>
  <si>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</si>
  <si>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</si>
  <si>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</si>
  <si>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</si>
  <si>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</si>
  <si>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</si>
  <si>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</si>
  <si>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</si>
  <si>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</si>
  <si>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</si>
  <si>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</si>
  <si>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</si>
  <si>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</si>
  <si>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</si>
  <si>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</si>
  <si>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</si>
  <si>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</si>
  <si>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</si>
  <si>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</si>
  <si>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</si>
  <si>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</si>
  <si>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</si>
  <si>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</si>
  <si>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</si>
  <si>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</si>
  <si>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</si>
  <si>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</si>
  <si>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</si>
  <si>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</si>
  <si>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</si>
  <si>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</si>
  <si>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</si>
  <si>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</si>
  <si>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</si>
  <si>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</si>
  <si>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</si>
  <si>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</si>
  <si>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</si>
  <si>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</si>
  <si>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</si>
  <si>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</si>
  <si>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</si>
  <si>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</si>
  <si>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</si>
  <si>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</si>
  <si>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</si>
  <si>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</si>
  <si>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</si>
  <si>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</si>
  <si>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</si>
  <si>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</si>
  <si>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</si>
  <si>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</si>
  <si>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</si>
  <si>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</si>
  <si>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</si>
  <si>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</si>
  <si>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</si>
  <si>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</si>
  <si>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</si>
  <si>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</si>
  <si>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</si>
  <si>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</si>
  <si>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</si>
  <si>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</si>
  <si>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</si>
  <si>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</si>
  <si>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</si>
  <si>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</si>
  <si>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</si>
  <si>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</si>
  <si>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</si>
  <si>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</si>
  <si>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</si>
  <si>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</si>
  <si>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</si>
  <si>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</si>
  <si>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</si>
  <si>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</si>
  <si>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</si>
  <si>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</si>
  <si>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</si>
  <si>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</si>
  <si>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</si>
  <si>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</si>
  <si>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</si>
  <si>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</si>
  <si>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</si>
  <si>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</si>
  <si>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</si>
  <si>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</si>
  <si>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</si>
  <si>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</si>
  <si>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</si>
  <si>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</si>
  <si>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</si>
  <si>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</si>
  <si>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</si>
  <si>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</si>
  <si>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</si>
  <si>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</si>
  <si>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</si>
  <si>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</si>
  <si>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</si>
  <si>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</si>
  <si>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</si>
  <si>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</si>
  <si>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</si>
  <si>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</si>
  <si>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</si>
  <si>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</si>
  <si>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</si>
  <si>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</si>
  <si>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</si>
  <si>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</si>
  <si>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</si>
  <si>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</si>
  <si>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</si>
  <si>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</si>
  <si>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</si>
  <si>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</si>
  <si>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</si>
  <si>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</si>
  <si>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</si>
  <si>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</si>
  <si>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</si>
  <si>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</si>
  <si>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</si>
  <si>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</si>
  <si>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</si>
  <si>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</si>
  <si>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</si>
  <si>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</si>
  <si>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</si>
  <si>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</si>
  <si>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</si>
  <si>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</si>
  <si>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</si>
  <si>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</si>
  <si>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</si>
  <si>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</si>
  <si>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</si>
  <si>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</si>
  <si>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</si>
  <si>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</si>
  <si>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</si>
  <si>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</si>
  <si>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</si>
  <si>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</si>
  <si>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</si>
  <si>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</si>
  <si>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</si>
  <si>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</si>
  <si>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</si>
  <si>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</si>
  <si>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</si>
  <si>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</si>
  <si>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</si>
  <si>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</si>
  <si>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</si>
  <si>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</si>
  <si>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</si>
  <si>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</si>
  <si>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</si>
  <si>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</si>
  <si>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</si>
  <si>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</si>
  <si>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</si>
  <si>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</si>
  <si>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</si>
  <si>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</si>
  <si>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</si>
  <si>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</si>
  <si>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</si>
  <si>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</si>
  <si>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</si>
  <si>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</si>
  <si>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</si>
  <si>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</si>
  <si>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</si>
  <si>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</si>
  <si>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</si>
  <si>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</si>
  <si>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</si>
  <si>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</si>
  <si>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</si>
  <si>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</si>
  <si>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</si>
  <si>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</si>
  <si>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</si>
  <si>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</si>
  <si>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</si>
  <si>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</si>
  <si>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</si>
  <si>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</si>
  <si>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</si>
  <si>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</si>
  <si>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</si>
  <si>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</si>
  <si>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</si>
  <si>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</si>
  <si>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</si>
  <si>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</si>
  <si>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</si>
  <si>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</si>
  <si>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</si>
  <si>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</si>
  <si>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</si>
  <si>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</si>
  <si>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</si>
  <si>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</si>
  <si>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</si>
  <si>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</si>
  <si>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</si>
  <si>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</si>
  <si>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</si>
  <si>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</si>
  <si>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</si>
  <si>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</si>
  <si>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</si>
  <si>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</si>
  <si>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</si>
  <si>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</si>
  <si>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</si>
  <si>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</si>
  <si>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</si>
  <si>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</si>
  <si>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</si>
  <si>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</si>
  <si>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</si>
  <si>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</si>
  <si>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</si>
  <si>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</si>
  <si>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</si>
  <si>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</si>
  <si>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</si>
  <si>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</si>
  <si>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</si>
  <si>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</si>
  <si>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</si>
  <si>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</si>
  <si>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</si>
  <si>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</si>
  <si>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</si>
  <si>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</si>
  <si>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</si>
  <si>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</si>
  <si>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</si>
  <si>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</si>
  <si>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</si>
  <si>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</si>
  <si>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</si>
  <si>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</si>
  <si>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</si>
  <si>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</si>
  <si>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</si>
  <si>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</si>
  <si>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</si>
  <si>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</si>
  <si>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</si>
  <si>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</si>
  <si>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</si>
  <si>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</si>
  <si>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</si>
  <si>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</si>
  <si>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</si>
  <si>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</si>
  <si>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</si>
  <si>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</si>
  <si>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</si>
  <si>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</si>
  <si>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</si>
  <si>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</si>
  <si>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</si>
  <si>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</si>
  <si>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</si>
  <si>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</si>
  <si>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</si>
  <si>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</si>
  <si>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</si>
  <si>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</si>
  <si>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</si>
  <si>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</si>
  <si>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</si>
  <si>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</si>
  <si>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</si>
  <si>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</si>
  <si>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</si>
  <si>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</si>
  <si>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</si>
  <si>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</si>
  <si>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</si>
  <si>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</si>
  <si>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</si>
  <si>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</si>
  <si>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</si>
  <si>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</si>
  <si>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</si>
  <si>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</si>
  <si>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</si>
  <si>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</si>
  <si>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</si>
  <si>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</si>
  <si>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</si>
  <si>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</si>
  <si>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</si>
  <si>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</si>
  <si>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</si>
  <si>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</si>
  <si>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</si>
  <si>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</si>
  <si>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</si>
  <si>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</si>
  <si>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</si>
  <si>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</si>
  <si>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</si>
  <si>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</si>
  <si>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</si>
  <si>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</si>
  <si>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</si>
  <si>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</si>
  <si>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</si>
  <si>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</si>
  <si>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</si>
  <si>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</si>
  <si>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</si>
  <si>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</si>
  <si>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</si>
  <si>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</si>
  <si>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</si>
  <si>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</si>
  <si>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</si>
  <si>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</si>
  <si>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</si>
  <si>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</si>
  <si>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</si>
  <si>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</si>
  <si>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</si>
  <si>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</si>
  <si>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</si>
  <si>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</si>
  <si>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</si>
  <si>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</si>
  <si>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</si>
  <si>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</si>
  <si>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</si>
  <si>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</si>
  <si>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</si>
  <si>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</si>
  <si>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</si>
  <si>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</si>
  <si>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</si>
  <si>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</si>
  <si>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</si>
  <si>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</si>
  <si>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</si>
  <si>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</si>
  <si>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</si>
  <si>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</si>
  <si>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</si>
  <si>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</si>
  <si>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</si>
  <si>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</si>
  <si>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</si>
  <si>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</si>
  <si>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</si>
  <si>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</si>
  <si>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</si>
  <si>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</si>
  <si>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</si>
  <si>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</si>
  <si>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</si>
  <si>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</si>
  <si>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</si>
  <si>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</si>
  <si>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</si>
  <si>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</si>
  <si>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</si>
  <si>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</si>
  <si>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</si>
  <si>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</si>
  <si>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</si>
  <si>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</si>
  <si>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</si>
  <si>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</si>
  <si>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</si>
  <si>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</si>
  <si>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</si>
  <si>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</si>
  <si>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</si>
  <si>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</si>
  <si>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</si>
  <si>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</si>
  <si>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</si>
  <si>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</si>
  <si>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</si>
  <si>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</si>
  <si>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</si>
  <si>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</si>
  <si>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</si>
  <si>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</si>
  <si>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</si>
  <si>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</si>
  <si>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</si>
  <si>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</si>
  <si>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</si>
  <si>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</si>
  <si>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</si>
  <si>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</si>
  <si>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</si>
  <si>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</si>
  <si>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</si>
  <si>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</si>
  <si>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</si>
  <si>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</si>
  <si>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</si>
  <si>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</si>
  <si>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</si>
  <si>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</si>
  <si>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</si>
  <si>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</si>
  <si>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</si>
  <si>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</si>
  <si>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</si>
  <si>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</si>
  <si>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</si>
  <si>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</si>
  <si>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</si>
  <si>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</si>
  <si>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</si>
  <si>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</si>
  <si>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</si>
  <si>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</si>
  <si>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</si>
  <si>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</si>
  <si>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</si>
  <si>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</si>
  <si>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</si>
  <si>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</si>
  <si>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</si>
  <si>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</si>
  <si>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</si>
  <si>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</si>
  <si>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</si>
  <si>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</si>
  <si>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</si>
  <si>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</si>
  <si>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</si>
  <si>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</si>
  <si>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</si>
  <si>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</si>
  <si>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</si>
  <si>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</si>
  <si>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</si>
  <si>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</si>
  <si>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</si>
  <si>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</si>
  <si>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</si>
  <si>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</si>
  <si>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</si>
  <si>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</si>
  <si>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</si>
  <si>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</si>
  <si>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</si>
  <si>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</si>
  <si>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</si>
  <si>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</si>
  <si>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</si>
  <si>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</si>
  <si>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</si>
  <si>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</si>
  <si>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</si>
  <si>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</si>
  <si>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</si>
  <si>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</si>
  <si>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</si>
  <si>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</si>
  <si>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</si>
  <si>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</si>
  <si>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</si>
  <si>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</si>
  <si>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</si>
  <si>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</si>
  <si>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</si>
  <si>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</si>
  <si>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</si>
  <si>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</si>
  <si>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</si>
  <si>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</si>
  <si>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</si>
  <si>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</si>
  <si>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</si>
  <si>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</si>
  <si>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</si>
  <si>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</si>
  <si>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</si>
  <si>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</si>
  <si>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</si>
  <si>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</si>
  <si>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</si>
  <si>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</si>
  <si>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</si>
  <si>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</si>
  <si>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</si>
  <si>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</si>
  <si>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</si>
  <si>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</si>
  <si>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</si>
  <si>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</si>
  <si>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</si>
  <si>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</si>
  <si>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</si>
  <si>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</si>
  <si>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</si>
  <si>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</si>
  <si>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</si>
  <si>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</si>
  <si>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</si>
  <si>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</si>
  <si>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</si>
  <si>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</si>
  <si>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</si>
  <si>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</si>
  <si>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</si>
  <si>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</si>
  <si>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</si>
  <si>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</si>
  <si>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</si>
  <si>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</si>
  <si>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</si>
  <si>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</si>
  <si>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</si>
  <si>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</si>
  <si>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</si>
  <si>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</si>
  <si>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</si>
  <si>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</si>
  <si>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</si>
  <si>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</si>
  <si>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</si>
  <si>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</si>
  <si>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</si>
  <si>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</si>
  <si>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</si>
  <si>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</si>
  <si>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</si>
  <si>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</si>
  <si>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</si>
  <si>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</si>
  <si>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</si>
  <si>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</si>
  <si>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</si>
  <si>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</si>
  <si>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</si>
  <si>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</si>
  <si>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</si>
  <si>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</si>
  <si>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</si>
  <si>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</si>
  <si>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</si>
  <si>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</si>
  <si>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</si>
  <si>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</si>
  <si>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</si>
  <si>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</si>
  <si>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</si>
  <si>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</si>
  <si>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</si>
  <si>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</si>
  <si>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</si>
  <si>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</si>
  <si>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</si>
  <si>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</si>
  <si>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</si>
  <si>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</si>
  <si>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</si>
  <si>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</si>
  <si>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</si>
  <si>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</si>
  <si>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</si>
  <si>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</si>
  <si>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</si>
  <si>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</si>
  <si>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</si>
  <si>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</si>
  <si>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</si>
  <si>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</si>
  <si>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</si>
  <si>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</si>
  <si>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</si>
  <si>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</si>
  <si>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</si>
  <si>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</si>
  <si>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</si>
  <si>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</si>
  <si>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</si>
  <si>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</si>
  <si>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</si>
  <si>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</si>
  <si>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</si>
  <si>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</si>
  <si>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</si>
  <si>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</si>
  <si>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</si>
  <si>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</si>
  <si>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</si>
  <si>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</si>
  <si>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</si>
  <si>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</si>
  <si>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</si>
  <si>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</si>
  <si>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</si>
  <si>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</si>
  <si>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</si>
  <si>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</si>
  <si>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</si>
  <si>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</si>
  <si>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</si>
  <si>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</si>
  <si>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</si>
  <si>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</si>
  <si>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</si>
  <si>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</si>
  <si>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</si>
  <si>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</si>
  <si>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</si>
  <si>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</si>
  <si>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</si>
  <si>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</si>
  <si>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</si>
  <si>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</si>
  <si>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</si>
  <si>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</si>
  <si>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</si>
  <si>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</si>
  <si>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</si>
  <si>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</si>
  <si>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</si>
  <si>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</si>
  <si>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</si>
  <si>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</si>
  <si>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</si>
  <si>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</si>
  <si>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</si>
  <si>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</si>
  <si>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</si>
  <si>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</si>
  <si>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</si>
  <si>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</si>
  <si>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</si>
  <si>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</si>
  <si>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</si>
  <si>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</si>
  <si>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</si>
  <si>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</si>
  <si>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</si>
  <si>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</si>
  <si>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</si>
  <si>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</si>
  <si>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</si>
  <si>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</si>
  <si>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</si>
  <si>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</si>
  <si>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</si>
  <si>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</si>
  <si>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</si>
  <si>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</si>
  <si>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</si>
  <si>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</si>
  <si>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</si>
  <si>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cost-effective basis, the District will pursue this option.</t>
  </si>
  <si>
    <t>Anticipated Date of Completion:</t>
  </si>
  <si>
    <t>Name of Contact Person:</t>
  </si>
  <si>
    <t>Shane Kazubowski,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</si>
  <si>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</si>
  <si>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</si>
  <si>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</si>
  <si>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</si>
  <si>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2020-</t>
  </si>
  <si>
    <t>July, 2021</t>
  </si>
  <si>
    <t>Wethersfield Community Unit School District No. 230</t>
  </si>
  <si>
    <t>28-037-2300-26</t>
  </si>
  <si>
    <t>2019-001</t>
  </si>
  <si>
    <t>Lack of Segregation of Duties</t>
  </si>
  <si>
    <t>Unresolved - See Finding 2020-001</t>
  </si>
  <si>
    <t>Segregation of duties amount accounting personnel is an integral part of an internal control structure.</t>
  </si>
  <si>
    <t>All District accounting and financial records are maintained by two individuals.</t>
  </si>
  <si>
    <t>Certain individuals could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</si>
  <si>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</si>
  <si>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</si>
  <si>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cost-effective basis, the District will pursue this option.</t>
  </si>
  <si>
    <t>Henry-Stark Counties Co-Op for Special Education</t>
  </si>
  <si>
    <t>Year Ending June 30, 2020</t>
  </si>
  <si>
    <t>The District maintains a common checking account for most funds of the Districts. The common bank account provided the cash flow for the Tort Fund to expend more resources than the funds had on hand during the year.</t>
  </si>
  <si>
    <t>Cash and investment balances of each separate fund will be monitored and interfund loans, permanent transfers or delaying expenditures will be made depending on cash flow needs.</t>
  </si>
  <si>
    <t>The plan will be implemented.</t>
  </si>
  <si>
    <t>x</t>
  </si>
  <si>
    <t>Loans under 105 ILCS 5/10-22.33 are to be approved by the school board prior to the funds being transferred.</t>
  </si>
  <si>
    <t>The District should monitor the cash balances and make interfund loans, transfers or accounting corrections when needed.</t>
  </si>
  <si>
    <t>The District will monitor cash balances and make any required correcting accounting entries. If required, the Board of Education will approve interfund loans or transfers as needed.</t>
  </si>
  <si>
    <t>The Tort Fund carried a negative cash balance during the year. This negative balance was in a common checking account and covered by available monies in the other funds. This Ioan was not authorized with a motion by the Board of Education.</t>
  </si>
  <si>
    <t>The District made loans to the Tort Fund which were not formally approved by the Board of Education.</t>
  </si>
  <si>
    <t>The negative cash balance created inter-fund loans to the Tort Fund which the Board of Education did not formally approve.</t>
  </si>
  <si>
    <t>The cash balances of the Tort Fund were allowed to carry a negative balance during the year.</t>
  </si>
  <si>
    <t>July, 2020</t>
  </si>
  <si>
    <t>Henry</t>
  </si>
  <si>
    <t>439 Willard</t>
  </si>
  <si>
    <t>Kewanee</t>
  </si>
  <si>
    <t>skazubow@geese230.com</t>
  </si>
  <si>
    <t>Shane Kazubowski</t>
  </si>
  <si>
    <t>(309) 853-4860</t>
  </si>
  <si>
    <t>(309) 856-7976</t>
  </si>
  <si>
    <t>tcustis@gorenzcpa.com</t>
  </si>
  <si>
    <t>Tim C. Custis, CPA</t>
  </si>
  <si>
    <t>QZAB Bonds</t>
  </si>
  <si>
    <t>Qualified Zone Academy Bond</t>
  </si>
  <si>
    <t>Alternative Revenue Bonds</t>
  </si>
  <si>
    <t>Capital Leases</t>
  </si>
  <si>
    <t>Working Cash Bonds</t>
  </si>
  <si>
    <t>Technology Lease</t>
  </si>
  <si>
    <t>Bus Lease</t>
  </si>
  <si>
    <t>NONE</t>
  </si>
  <si>
    <t>Geneseo, Henry Stark ROE</t>
  </si>
  <si>
    <t>Annawan/Cambridge/Galva/Wethersfield/Alwood</t>
  </si>
  <si>
    <t>Illinois Energy Consortium (School Districts all over the State)</t>
  </si>
  <si>
    <t>Sherrard/Mercer County/Annawan/United</t>
  </si>
  <si>
    <t>Prairie State Insurance Cooperative made up of 100 districts</t>
  </si>
  <si>
    <t>Illinois Liquid Assets Funds</t>
  </si>
  <si>
    <t>Schools of Illinois Public Cooperative</t>
  </si>
  <si>
    <t>Bureau, Henry, and Stark Regional Offices of Education</t>
  </si>
  <si>
    <t>Bradford/Geneseo/Bureau/Henry and Stark ROEs</t>
  </si>
  <si>
    <t>Annawan</t>
  </si>
  <si>
    <t>Henry-Bureau-Stark ROEs</t>
  </si>
  <si>
    <t>Annawan School District</t>
  </si>
  <si>
    <t>Alwood/Annawan/Cambridge/Galva/Start/#1</t>
  </si>
  <si>
    <t xml:space="preserve">Annawan  </t>
  </si>
  <si>
    <t>Page 10, Line 74 - Sales of Bulk Food</t>
  </si>
  <si>
    <t>Page 10, Line 87 - Tech Equipment Rental Charges</t>
  </si>
  <si>
    <t>Page 11, Line 106 - Courtesy Rider Fees</t>
  </si>
  <si>
    <t>Page 11, Line 107 - Refunds &amp; Reimbursements</t>
  </si>
  <si>
    <t>Page 12, Line 168 - State Library Grant</t>
  </si>
  <si>
    <t>Page 18, Line 171 - Bond Agent Fees</t>
  </si>
  <si>
    <t>Page 28, Line 98 - Tech Equipment Rental Charges</t>
  </si>
  <si>
    <t>Audit Check, Line 80 - For the current fiscal year under audit, the District did not have any qualifying contracts exceeding $25,000.</t>
  </si>
  <si>
    <t>Page 24, Line 35 - Bus Capital Lease Payments</t>
  </si>
  <si>
    <t>Page 24, Line 36 - Bus Capital Lease Payments</t>
  </si>
  <si>
    <t>Page 24, Line 39 - Technology Capital Lease Additions</t>
  </si>
  <si>
    <t>Page 24, Line 40 - Technology Capital Lease Additions</t>
  </si>
  <si>
    <t>Part C - 20 - See Finding 2020-001, Part A - 9 - See Finding 2020-002</t>
  </si>
  <si>
    <t>See PDF version</t>
  </si>
  <si>
    <t xml:space="preserve">  Wethersfield CUSD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</si>
</sst>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54" fillId="0" borderId="0" xfId="3" applyFont="1" applyAlignment="1" applyProtection="1">
      <alignment horizontal="center" vertical="center"/>
    </xf>
    <xf numFmtId="0" fontId="125" fillId="0" borderId="155" xfId="19" applyFont="1" applyBorder="1" applyAlignment="1" applyProtection="1">
      <alignment horizontal="left" vertical="top" wrapText="1"/>
      <protection locked="0"/>
    </xf>
    <xf numFmtId="164" fontId="55"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2">
        <f>+'AFR20'!E4</f>
        <v>44119</v>
      </c>
      <c r="C1" s="2062"/>
      <c r="D1" s="2063"/>
      <c r="I1" s="2141" t="s">
        <v>401</v>
      </c>
      <c r="J1" s="2142"/>
      <c r="K1" s="2142"/>
      <c r="L1" s="2142"/>
      <c r="M1" s="2142"/>
      <c r="N1" s="2142"/>
      <c r="O1" s="2142"/>
      <c r="P1" s="2142"/>
      <c r="Q1" s="2142"/>
      <c r="R1" s="2142"/>
      <c r="S1" s="2142"/>
    </row>
    <row r="2" spans="1:32" ht="12" customHeight="1" x14ac:dyDescent="0.2">
      <c r="A2" s="1831" t="str">
        <f>"Due to ISBE on "</f>
        <v xml:space="preserve">Due to ISBE on </v>
      </c>
      <c r="B2" s="2064">
        <f>+'AFR20'!F4</f>
        <v>44151</v>
      </c>
      <c r="C2" s="2064"/>
      <c r="D2" s="2065"/>
      <c r="I2" s="2143" t="s">
        <v>2002</v>
      </c>
      <c r="J2" s="2142"/>
      <c r="K2" s="2142"/>
      <c r="L2" s="2142"/>
      <c r="M2" s="2142"/>
      <c r="N2" s="2142"/>
      <c r="O2" s="2142"/>
      <c r="P2" s="2142"/>
      <c r="Q2" s="2142"/>
      <c r="R2" s="2142"/>
      <c r="S2" s="2142"/>
    </row>
    <row r="3" spans="1:32" ht="12" customHeight="1" x14ac:dyDescent="0.2">
      <c r="A3" s="1834" t="str">
        <f>"SD/JA"&amp;MID('AFR20'!E2,3,2)</f>
        <v>SD/JA20</v>
      </c>
      <c r="B3" s="151"/>
      <c r="C3" s="151"/>
      <c r="D3" s="152"/>
      <c r="I3" s="2143" t="s">
        <v>52</v>
      </c>
      <c r="J3" s="2142"/>
      <c r="K3" s="2142"/>
      <c r="L3" s="2142"/>
      <c r="M3" s="2142"/>
      <c r="N3" s="2142"/>
      <c r="O3" s="2142"/>
      <c r="P3" s="2142"/>
      <c r="Q3" s="2142"/>
      <c r="R3" s="2142"/>
      <c r="S3" s="2142"/>
    </row>
    <row r="4" spans="1:32" ht="12" customHeight="1" x14ac:dyDescent="0.2">
      <c r="A4" s="37"/>
      <c r="I4" s="2143" t="s">
        <v>520</v>
      </c>
      <c r="J4" s="2142"/>
      <c r="K4" s="2142"/>
      <c r="L4" s="2142"/>
      <c r="M4" s="2142"/>
      <c r="N4" s="2142"/>
      <c r="O4" s="2142"/>
      <c r="P4" s="2142"/>
      <c r="Q4" s="2142"/>
      <c r="R4" s="2142"/>
      <c r="S4" s="2142"/>
    </row>
    <row r="5" spans="1:32" ht="14.1" customHeight="1" x14ac:dyDescent="0.2">
      <c r="B5" s="101" t="s">
        <v>2091</v>
      </c>
      <c r="C5" s="26" t="s">
        <v>903</v>
      </c>
      <c r="D5" s="81"/>
      <c r="E5" s="81"/>
      <c r="H5" s="38"/>
      <c r="I5" s="2150" t="s">
        <v>674</v>
      </c>
      <c r="J5" s="2095"/>
      <c r="K5" s="2095"/>
      <c r="L5" s="2095"/>
      <c r="M5" s="2095"/>
      <c r="N5" s="2095"/>
      <c r="O5" s="2095"/>
      <c r="P5" s="2095"/>
      <c r="Q5" s="2095"/>
      <c r="R5" s="2095"/>
      <c r="S5" s="2095"/>
      <c r="AF5" s="1827"/>
    </row>
    <row r="6" spans="1:32" ht="14.1" customHeight="1" x14ac:dyDescent="0.2">
      <c r="B6" s="101"/>
      <c r="C6" s="26" t="s">
        <v>904</v>
      </c>
      <c r="D6" s="81"/>
      <c r="E6" s="81"/>
      <c r="I6" s="2149" t="s">
        <v>876</v>
      </c>
      <c r="J6" s="2095"/>
      <c r="K6" s="2095"/>
      <c r="L6" s="2095"/>
      <c r="M6" s="2095"/>
      <c r="N6" s="2095"/>
      <c r="O6" s="2095"/>
      <c r="P6" s="2095"/>
      <c r="Q6" s="2095"/>
      <c r="R6" s="2095"/>
      <c r="S6" s="2095"/>
    </row>
    <row r="7" spans="1:32" ht="12.2" customHeight="1" x14ac:dyDescent="0.2">
      <c r="I7" s="2144" t="str">
        <f>"June 30, "&amp;'AFR20'!E2</f>
        <v>June 30, 2020</v>
      </c>
      <c r="J7" s="2145"/>
      <c r="K7" s="2145"/>
      <c r="L7" s="2145"/>
      <c r="M7" s="2145"/>
      <c r="N7" s="2145"/>
      <c r="O7" s="2145"/>
      <c r="P7" s="2145"/>
      <c r="Q7" s="2145"/>
      <c r="R7" s="2145"/>
      <c r="S7" s="21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6" t="s">
        <v>668</v>
      </c>
      <c r="J9" s="2147"/>
      <c r="K9" s="2147"/>
      <c r="L9" s="2147"/>
      <c r="M9" s="2147"/>
      <c r="N9" s="2147"/>
      <c r="O9" s="2147"/>
      <c r="P9" s="2147"/>
      <c r="Q9" s="2147"/>
      <c r="R9" s="2147"/>
      <c r="S9" s="2148"/>
      <c r="T9" s="2091" t="s">
        <v>529</v>
      </c>
      <c r="U9" s="2092"/>
      <c r="V9" s="2092"/>
      <c r="W9" s="2092"/>
      <c r="X9" s="2092"/>
      <c r="Y9" s="2092"/>
      <c r="Z9" s="2092"/>
      <c r="AA9" s="2093"/>
    </row>
    <row r="10" spans="1:32" ht="13.5" customHeight="1" x14ac:dyDescent="0.2">
      <c r="A10" s="2100" t="s">
        <v>669</v>
      </c>
      <c r="B10" s="2101"/>
      <c r="C10" s="2101"/>
      <c r="D10" s="2101"/>
      <c r="E10" s="2101"/>
      <c r="F10" s="2101"/>
      <c r="G10" s="2101"/>
      <c r="H10" s="2102"/>
      <c r="I10" s="29"/>
      <c r="J10" s="30"/>
      <c r="K10" s="28"/>
      <c r="R10" s="30"/>
      <c r="S10" s="30"/>
      <c r="T10" s="2094"/>
      <c r="U10" s="2095"/>
      <c r="V10" s="2095"/>
      <c r="W10" s="2095"/>
      <c r="X10" s="2095"/>
      <c r="Y10" s="2095"/>
      <c r="Z10" s="2095"/>
      <c r="AA10" s="2096"/>
    </row>
    <row r="11" spans="1:32" ht="14.25" customHeight="1" x14ac:dyDescent="0.2">
      <c r="A11" s="2103" t="s">
        <v>948</v>
      </c>
      <c r="B11" s="2104"/>
      <c r="C11" s="2104"/>
      <c r="D11" s="2104"/>
      <c r="E11" s="2104"/>
      <c r="F11" s="2104"/>
      <c r="G11" s="2104"/>
      <c r="H11" s="2105"/>
      <c r="I11" s="27"/>
      <c r="J11" s="71"/>
      <c r="K11" s="27"/>
      <c r="O11" s="144" t="s">
        <v>2050</v>
      </c>
      <c r="P11" s="97" t="s">
        <v>199</v>
      </c>
      <c r="Q11" s="30"/>
      <c r="R11" s="28"/>
      <c r="S11" s="27"/>
      <c r="T11" s="2097"/>
      <c r="U11" s="2098"/>
      <c r="V11" s="2098"/>
      <c r="W11" s="2098"/>
      <c r="X11" s="2098"/>
      <c r="Y11" s="2098"/>
      <c r="Z11" s="2098"/>
      <c r="AA11" s="209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1">
        <v>28037230026</v>
      </c>
      <c r="B13" s="2112"/>
      <c r="C13" s="2112"/>
      <c r="D13" s="2112"/>
      <c r="E13" s="2112"/>
      <c r="F13" s="2112"/>
      <c r="G13" s="2112"/>
      <c r="H13" s="2113"/>
      <c r="I13" s="31"/>
      <c r="J13" s="30"/>
      <c r="K13" s="28"/>
      <c r="L13" s="30"/>
      <c r="M13" s="30"/>
      <c r="N13" s="30"/>
      <c r="O13" s="30"/>
      <c r="P13" s="30"/>
      <c r="Q13" s="30"/>
      <c r="R13" s="30"/>
      <c r="S13" s="30"/>
      <c r="T13" s="2116" t="s">
        <v>2051</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9" t="s">
        <v>2100</v>
      </c>
      <c r="B15" s="2114"/>
      <c r="C15" s="2114"/>
      <c r="D15" s="2114"/>
      <c r="E15" s="2114"/>
      <c r="F15" s="2114"/>
      <c r="G15" s="2114"/>
      <c r="H15" s="2115"/>
      <c r="T15" s="2077" t="s">
        <v>2108</v>
      </c>
      <c r="U15" s="2078"/>
      <c r="V15" s="2078"/>
      <c r="W15" s="2078"/>
      <c r="X15" s="2078"/>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9" t="s">
        <v>2145</v>
      </c>
      <c r="B17" s="2139"/>
      <c r="C17" s="2139"/>
      <c r="D17" s="2139"/>
      <c r="E17" s="2139"/>
      <c r="F17" s="2139"/>
      <c r="G17" s="2139"/>
      <c r="H17" s="2140"/>
      <c r="T17" s="2126" t="s">
        <v>2052</v>
      </c>
      <c r="U17" s="2127"/>
      <c r="V17" s="2127"/>
      <c r="W17" s="2127"/>
      <c r="X17" s="2127"/>
      <c r="Y17" s="2127"/>
      <c r="Z17" s="2127"/>
      <c r="AA17" s="2128"/>
    </row>
    <row r="18" spans="1:27" ht="13.5" customHeight="1" x14ac:dyDescent="0.2">
      <c r="A18" s="82" t="s">
        <v>526</v>
      </c>
      <c r="B18" s="73"/>
      <c r="C18" s="69"/>
      <c r="D18" s="73"/>
      <c r="E18" s="73"/>
      <c r="F18" s="73"/>
      <c r="G18" s="73"/>
      <c r="H18" s="53"/>
      <c r="I18" s="2136" t="s">
        <v>670</v>
      </c>
      <c r="J18" s="2137"/>
      <c r="K18" s="2137"/>
      <c r="L18" s="2137"/>
      <c r="M18" s="2137"/>
      <c r="N18" s="2137"/>
      <c r="O18" s="2137"/>
      <c r="P18" s="2137"/>
      <c r="Q18" s="2137"/>
      <c r="R18" s="2137"/>
      <c r="S18" s="2138"/>
      <c r="T18" s="82" t="s">
        <v>705</v>
      </c>
      <c r="U18" s="48"/>
      <c r="V18" s="69"/>
      <c r="W18" s="47"/>
      <c r="X18" s="82" t="s">
        <v>263</v>
      </c>
      <c r="Y18" s="78"/>
      <c r="Z18" s="154" t="s">
        <v>671</v>
      </c>
      <c r="AA18" s="44"/>
    </row>
    <row r="19" spans="1:27" ht="13.5" customHeight="1" x14ac:dyDescent="0.2">
      <c r="A19" s="2109" t="s">
        <v>2101</v>
      </c>
      <c r="B19" s="2110"/>
      <c r="C19" s="2110"/>
      <c r="D19" s="2110"/>
      <c r="E19" s="2110"/>
      <c r="F19" s="2110"/>
      <c r="G19" s="2110"/>
      <c r="H19" s="2108"/>
      <c r="I19" s="30"/>
      <c r="J19" s="96"/>
      <c r="K19" s="40"/>
      <c r="L19" s="38"/>
      <c r="M19" s="109" t="s">
        <v>311</v>
      </c>
      <c r="P19" s="27"/>
      <c r="Q19" s="27"/>
      <c r="R19" s="27"/>
      <c r="S19" s="31"/>
      <c r="T19" s="2109" t="s">
        <v>2053</v>
      </c>
      <c r="U19" s="2107"/>
      <c r="V19" s="2107"/>
      <c r="W19" s="2108"/>
      <c r="X19" s="2124" t="s">
        <v>2054</v>
      </c>
      <c r="Y19" s="2125"/>
      <c r="Z19" s="2122">
        <v>61614</v>
      </c>
      <c r="AA19" s="212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6" t="s">
        <v>2102</v>
      </c>
      <c r="B21" s="2107"/>
      <c r="C21" s="2107"/>
      <c r="D21" s="2107"/>
      <c r="E21" s="2107"/>
      <c r="F21" s="2107"/>
      <c r="G21" s="2107"/>
      <c r="H21" s="2108"/>
      <c r="I21" s="2132" t="s">
        <v>672</v>
      </c>
      <c r="J21" s="2095"/>
      <c r="K21" s="2095"/>
      <c r="L21" s="2095"/>
      <c r="M21" s="2095"/>
      <c r="N21" s="2095"/>
      <c r="O21" s="2095"/>
      <c r="P21" s="2095"/>
      <c r="Q21" s="2095"/>
      <c r="R21" s="2095"/>
      <c r="S21" s="2096"/>
      <c r="T21" s="2074" t="s">
        <v>2055</v>
      </c>
      <c r="U21" s="2075"/>
      <c r="V21" s="2075"/>
      <c r="W21" s="2075"/>
      <c r="X21" s="2088" t="s">
        <v>2056</v>
      </c>
      <c r="Y21" s="2089"/>
      <c r="Z21" s="2089"/>
      <c r="AA21" s="2090"/>
    </row>
    <row r="22" spans="1:27" ht="13.5" customHeight="1" x14ac:dyDescent="0.2">
      <c r="A22" s="84" t="s">
        <v>527</v>
      </c>
      <c r="B22" s="56"/>
      <c r="C22" s="56"/>
      <c r="D22" s="56"/>
      <c r="E22" s="56"/>
      <c r="F22" s="56"/>
      <c r="G22" s="56"/>
      <c r="H22" s="57"/>
      <c r="I22" s="2133" t="s">
        <v>1411</v>
      </c>
      <c r="J22" s="2134"/>
      <c r="K22" s="2134"/>
      <c r="L22" s="2134"/>
      <c r="M22" s="2134"/>
      <c r="N22" s="2134"/>
      <c r="O22" s="2134"/>
      <c r="P22" s="2134"/>
      <c r="Q22" s="2134"/>
      <c r="R22" s="2134"/>
      <c r="S22" s="2135"/>
      <c r="T22" s="82" t="s">
        <v>1498</v>
      </c>
      <c r="U22" s="48"/>
      <c r="V22" s="69"/>
      <c r="W22" s="48"/>
      <c r="X22" s="155" t="s">
        <v>1306</v>
      </c>
      <c r="Z22" s="43"/>
      <c r="AA22" s="44"/>
    </row>
    <row r="23" spans="1:27" ht="13.5" customHeight="1" x14ac:dyDescent="0.2">
      <c r="A23" s="2129" t="s">
        <v>2103</v>
      </c>
      <c r="B23" s="2130"/>
      <c r="C23" s="2130"/>
      <c r="D23" s="2130"/>
      <c r="E23" s="2130"/>
      <c r="F23" s="2130"/>
      <c r="G23" s="2130"/>
      <c r="H23" s="2131"/>
      <c r="T23" s="2069" t="s">
        <v>2057</v>
      </c>
      <c r="U23" s="2070"/>
      <c r="V23" s="2070"/>
      <c r="W23" s="2070"/>
      <c r="X23" s="2085">
        <v>44501</v>
      </c>
      <c r="Y23" s="2086"/>
      <c r="Z23" s="2086"/>
      <c r="AA23" s="2087"/>
    </row>
    <row r="24" spans="1:27" ht="14.1" customHeight="1" x14ac:dyDescent="0.2">
      <c r="A24" s="85" t="s">
        <v>671</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527</v>
      </c>
      <c r="U24" s="103"/>
      <c r="V24" s="103"/>
      <c r="W24" s="103"/>
      <c r="X24" s="104"/>
      <c r="Y24" s="104"/>
      <c r="Z24" s="104"/>
      <c r="AA24" s="105"/>
    </row>
    <row r="25" spans="1:27" ht="14.1" customHeight="1" x14ac:dyDescent="0.2">
      <c r="A25" s="2106">
        <v>61443</v>
      </c>
      <c r="B25" s="2107"/>
      <c r="C25" s="2107"/>
      <c r="D25" s="2107"/>
      <c r="E25" s="2107"/>
      <c r="F25" s="2107"/>
      <c r="G25" s="2107"/>
      <c r="H25" s="2108"/>
      <c r="I25" s="110"/>
      <c r="J25" s="2173"/>
      <c r="K25" s="2173"/>
      <c r="L25" s="2173"/>
      <c r="M25" s="2173"/>
      <c r="N25" s="2173"/>
      <c r="O25" s="2173"/>
      <c r="P25" s="2173"/>
      <c r="Q25" s="2173"/>
      <c r="R25" s="2173"/>
      <c r="S25" s="2174"/>
      <c r="T25" s="2066" t="s">
        <v>2107</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4" t="s">
        <v>1493</v>
      </c>
      <c r="J27" s="2137"/>
      <c r="K27" s="2137"/>
      <c r="L27" s="2137"/>
      <c r="M27" s="2137"/>
      <c r="N27" s="2137"/>
      <c r="O27" s="2137"/>
      <c r="P27" s="2137"/>
      <c r="Q27" s="2137"/>
      <c r="R27" s="2137"/>
      <c r="S27" s="213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2091</v>
      </c>
      <c r="F29" s="137" t="s">
        <v>1304</v>
      </c>
      <c r="G29" s="111"/>
      <c r="I29" s="51"/>
      <c r="J29" s="99"/>
      <c r="K29" s="28" t="s">
        <v>571</v>
      </c>
      <c r="L29" s="144" t="s">
        <v>2091</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2091</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2091</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0"/>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9" t="s">
        <v>2104</v>
      </c>
      <c r="B38" s="2139"/>
      <c r="C38" s="2139"/>
      <c r="D38" s="2139"/>
      <c r="E38" s="2139"/>
      <c r="F38" s="2107"/>
      <c r="G38" s="2107"/>
      <c r="H38" s="2108"/>
      <c r="I38" s="2158"/>
      <c r="J38" s="2078"/>
      <c r="K38" s="2078"/>
      <c r="L38" s="2078"/>
      <c r="M38" s="2078"/>
      <c r="N38" s="2078"/>
      <c r="O38" s="2078"/>
      <c r="P38" s="2079"/>
      <c r="Q38" s="2079"/>
      <c r="R38" s="2079"/>
      <c r="S38" s="2080"/>
      <c r="T38" s="2077"/>
      <c r="U38" s="2078"/>
      <c r="V38" s="2078"/>
      <c r="W38" s="2078"/>
      <c r="X38" s="2079"/>
      <c r="Y38" s="2079"/>
      <c r="Z38" s="2079"/>
      <c r="AA38" s="2080"/>
    </row>
    <row r="39" spans="1:27" ht="12" customHeight="1" x14ac:dyDescent="0.2">
      <c r="A39" s="2162" t="s">
        <v>527</v>
      </c>
      <c r="B39" s="2163"/>
      <c r="C39" s="69"/>
      <c r="D39" s="66"/>
      <c r="E39" s="66"/>
      <c r="F39" s="76"/>
      <c r="G39" s="66"/>
      <c r="H39" s="53"/>
      <c r="I39" s="2162" t="s">
        <v>527</v>
      </c>
      <c r="J39" s="2163"/>
      <c r="K39" s="2163"/>
      <c r="L39" s="2163"/>
      <c r="M39" s="2163"/>
      <c r="N39" s="64"/>
      <c r="O39" s="69"/>
      <c r="P39" s="69"/>
      <c r="Q39" s="75"/>
      <c r="R39" s="69"/>
      <c r="S39" s="53"/>
      <c r="T39" s="69" t="s">
        <v>527</v>
      </c>
      <c r="U39" s="48"/>
      <c r="V39" s="69"/>
      <c r="W39" s="47"/>
      <c r="X39" s="75"/>
      <c r="Y39" s="43"/>
      <c r="Z39" s="43"/>
      <c r="AA39" s="44"/>
    </row>
    <row r="40" spans="1:27" ht="13.5" customHeight="1" x14ac:dyDescent="0.2">
      <c r="A40" s="2165" t="s">
        <v>2103</v>
      </c>
      <c r="B40" s="2166"/>
      <c r="C40" s="2167"/>
      <c r="D40" s="2167"/>
      <c r="E40" s="2167"/>
      <c r="F40" s="2168"/>
      <c r="G40" s="2168"/>
      <c r="H40" s="2169"/>
      <c r="I40" s="2081"/>
      <c r="J40" s="2083"/>
      <c r="K40" s="2083"/>
      <c r="L40" s="2083"/>
      <c r="M40" s="2083"/>
      <c r="N40" s="2083"/>
      <c r="O40" s="2083"/>
      <c r="P40" s="2083"/>
      <c r="Q40" s="2083"/>
      <c r="R40" s="2083"/>
      <c r="S40" s="2084"/>
      <c r="T40" s="2081"/>
      <c r="U40" s="2082"/>
      <c r="V40" s="2083"/>
      <c r="W40" s="2083"/>
      <c r="X40" s="2083"/>
      <c r="Y40" s="2083"/>
      <c r="Z40" s="2083"/>
      <c r="AA40" s="208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5" t="s">
        <v>2105</v>
      </c>
      <c r="B42" s="2156"/>
      <c r="C42" s="2157"/>
      <c r="D42" s="2170" t="s">
        <v>2106</v>
      </c>
      <c r="E42" s="2156"/>
      <c r="F42" s="2156"/>
      <c r="G42" s="2156"/>
      <c r="H42" s="2157"/>
      <c r="I42" s="2076"/>
      <c r="J42" s="2072"/>
      <c r="K42" s="2072"/>
      <c r="L42" s="2072"/>
      <c r="M42" s="2072"/>
      <c r="N42" s="2072"/>
      <c r="O42" s="2073"/>
      <c r="P42" s="2071"/>
      <c r="Q42" s="2072"/>
      <c r="R42" s="2072"/>
      <c r="S42" s="2073"/>
      <c r="T42" s="2076"/>
      <c r="U42" s="2072"/>
      <c r="V42" s="2072"/>
      <c r="W42" s="2073"/>
      <c r="X42" s="2071"/>
      <c r="Y42" s="2072"/>
      <c r="Z42" s="2072"/>
      <c r="AA42" s="207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9"/>
      <c r="B44" s="2160"/>
      <c r="C44" s="2160"/>
      <c r="D44" s="2160"/>
      <c r="E44" s="2160"/>
      <c r="F44" s="2160"/>
      <c r="G44" s="2160"/>
      <c r="H44" s="2161"/>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3"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4"/>
      <c r="B3" s="1294"/>
      <c r="C3" s="1295"/>
      <c r="D3" s="1296" t="s">
        <v>254</v>
      </c>
      <c r="E3" s="1295"/>
      <c r="F3" s="1296" t="s">
        <v>255</v>
      </c>
    </row>
    <row r="4" spans="1:8" ht="13.7" customHeight="1" x14ac:dyDescent="0.2">
      <c r="A4" s="579" t="s">
        <v>1144</v>
      </c>
      <c r="B4" s="1721">
        <f>'Revenues 9-14'!C5</f>
        <v>1576287</v>
      </c>
      <c r="C4" s="1722">
        <v>835417</v>
      </c>
      <c r="D4" s="1723">
        <f>B4-C4</f>
        <v>740870</v>
      </c>
      <c r="E4" s="1722">
        <v>1560005</v>
      </c>
      <c r="F4" s="1723">
        <f>E4-C4</f>
        <v>724588</v>
      </c>
    </row>
    <row r="5" spans="1:8" ht="13.7" customHeight="1" x14ac:dyDescent="0.2">
      <c r="A5" s="579" t="s">
        <v>864</v>
      </c>
      <c r="B5" s="1724">
        <f>'Revenues 9-14'!D5</f>
        <v>304046</v>
      </c>
      <c r="C5" s="1664">
        <v>161571</v>
      </c>
      <c r="D5" s="1725">
        <f t="shared" ref="D5:D18" si="0">B5-C5</f>
        <v>142475</v>
      </c>
      <c r="E5" s="1664">
        <v>301707</v>
      </c>
      <c r="F5" s="1725">
        <f>E5-C5</f>
        <v>140136</v>
      </c>
    </row>
    <row r="6" spans="1:8" ht="13.7" customHeight="1" x14ac:dyDescent="0.2">
      <c r="A6" s="579" t="s">
        <v>407</v>
      </c>
      <c r="B6" s="1724">
        <f>'Revenues 9-14'!E5</f>
        <v>201604</v>
      </c>
      <c r="C6" s="1664">
        <v>104892</v>
      </c>
      <c r="D6" s="1725">
        <f t="shared" si="0"/>
        <v>96712</v>
      </c>
      <c r="E6" s="1664">
        <v>195868</v>
      </c>
      <c r="F6" s="1725">
        <f t="shared" ref="F6:F18" si="1">E6-C6</f>
        <v>90976</v>
      </c>
    </row>
    <row r="7" spans="1:8" ht="13.7" customHeight="1" x14ac:dyDescent="0.2">
      <c r="A7" s="579" t="s">
        <v>154</v>
      </c>
      <c r="B7" s="1724">
        <f>'Revenues 9-14'!F5</f>
        <v>121618</v>
      </c>
      <c r="C7" s="1664">
        <v>64628</v>
      </c>
      <c r="D7" s="1725">
        <f t="shared" si="0"/>
        <v>56990</v>
      </c>
      <c r="E7" s="1664">
        <v>120683</v>
      </c>
      <c r="F7" s="1725">
        <f t="shared" si="1"/>
        <v>56055</v>
      </c>
    </row>
    <row r="8" spans="1:8" ht="13.7" customHeight="1" x14ac:dyDescent="0.2">
      <c r="A8" s="579" t="s">
        <v>1168</v>
      </c>
      <c r="B8" s="1724">
        <f>'Revenues 9-14'!G5</f>
        <v>63364</v>
      </c>
      <c r="C8" s="1664">
        <v>27855</v>
      </c>
      <c r="D8" s="1725">
        <f t="shared" si="0"/>
        <v>35509</v>
      </c>
      <c r="E8" s="1664">
        <v>52014</v>
      </c>
      <c r="F8" s="1725">
        <f t="shared" si="1"/>
        <v>24159</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30339</v>
      </c>
      <c r="C10" s="1664">
        <v>16092</v>
      </c>
      <c r="D10" s="1725">
        <f t="shared" si="0"/>
        <v>14247</v>
      </c>
      <c r="E10" s="1664">
        <v>30050</v>
      </c>
      <c r="F10" s="1725">
        <f t="shared" si="1"/>
        <v>13958</v>
      </c>
    </row>
    <row r="11" spans="1:8" x14ac:dyDescent="0.2">
      <c r="A11" s="579" t="s">
        <v>405</v>
      </c>
      <c r="B11" s="1724">
        <f>'Revenues 9-14'!J5</f>
        <v>263146</v>
      </c>
      <c r="C11" s="1664">
        <v>147288</v>
      </c>
      <c r="D11" s="1725">
        <f t="shared" si="0"/>
        <v>115858</v>
      </c>
      <c r="E11" s="1664">
        <v>275036</v>
      </c>
      <c r="F11" s="1725">
        <f t="shared" si="1"/>
        <v>127748</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30339</v>
      </c>
      <c r="C13" s="1664">
        <v>16092</v>
      </c>
      <c r="D13" s="1725">
        <f t="shared" si="0"/>
        <v>14247</v>
      </c>
      <c r="E13" s="1664">
        <v>30050</v>
      </c>
      <c r="F13" s="1725">
        <f t="shared" si="1"/>
        <v>13958</v>
      </c>
    </row>
    <row r="14" spans="1:8" ht="13.7" customHeight="1" x14ac:dyDescent="0.2">
      <c r="A14" s="579" t="s">
        <v>406</v>
      </c>
      <c r="B14" s="1724">
        <f>SUM('Revenues 9-14'!C7:D7,'Revenues 9-14'!F7:H7)</f>
        <v>24259</v>
      </c>
      <c r="C14" s="1664">
        <v>12861</v>
      </c>
      <c r="D14" s="1725">
        <f t="shared" si="0"/>
        <v>11398</v>
      </c>
      <c r="E14" s="1664">
        <v>24016</v>
      </c>
      <c r="F14" s="1725">
        <f t="shared" si="1"/>
        <v>11155</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115631</v>
      </c>
      <c r="C16" s="1664">
        <v>65339</v>
      </c>
      <c r="D16" s="1725">
        <f t="shared" si="0"/>
        <v>50292</v>
      </c>
      <c r="E16" s="1664">
        <v>122010</v>
      </c>
      <c r="F16" s="1725">
        <f t="shared" si="1"/>
        <v>56671</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2730633</v>
      </c>
      <c r="C19" s="1726">
        <f>SUM(C4:C18)</f>
        <v>1452035</v>
      </c>
      <c r="D19" s="1726">
        <f>SUM(D4:D18)</f>
        <v>1278598</v>
      </c>
      <c r="E19" s="1726">
        <f>SUM(E4:E18)</f>
        <v>2711439</v>
      </c>
      <c r="F19" s="1726">
        <f>SUM(F4:F18)</f>
        <v>1259404</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624</v>
      </c>
      <c r="B1" s="2320"/>
      <c r="C1" s="585"/>
    </row>
    <row r="2" spans="1:7" ht="33.75" x14ac:dyDescent="0.2">
      <c r="A2" s="2328" t="s">
        <v>1778</v>
      </c>
      <c r="B2" s="232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2" t="s">
        <v>1103</v>
      </c>
      <c r="B3" s="2333"/>
      <c r="C3" s="2321"/>
      <c r="D3" s="2322"/>
      <c r="E3" s="2322"/>
      <c r="F3" s="2323"/>
    </row>
    <row r="4" spans="1:7" ht="12.75" customHeight="1" thickBot="1" x14ac:dyDescent="0.25">
      <c r="A4" s="2330" t="s">
        <v>625</v>
      </c>
      <c r="B4" s="2331"/>
      <c r="C4" s="1656"/>
      <c r="D4" s="1656"/>
      <c r="E4" s="1656"/>
      <c r="F4" s="1732">
        <f>SUM(C4+D4)-E4</f>
        <v>0</v>
      </c>
    </row>
    <row r="5" spans="1:7" ht="15.75" customHeight="1" thickTop="1" x14ac:dyDescent="0.2">
      <c r="A5" s="2315" t="s">
        <v>1100</v>
      </c>
      <c r="B5" s="2316"/>
      <c r="C5" s="2324"/>
      <c r="D5" s="2325"/>
      <c r="E5" s="2325"/>
      <c r="F5" s="232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17" t="s">
        <v>626</v>
      </c>
      <c r="B15" s="2318"/>
      <c r="C15" s="1732">
        <f>SUM(C6:C14)</f>
        <v>0</v>
      </c>
      <c r="D15" s="1732">
        <f>SUM(D6:D14)</f>
        <v>0</v>
      </c>
      <c r="E15" s="1732">
        <f>SUM(E6:E14)</f>
        <v>0</v>
      </c>
      <c r="F15" s="1732">
        <f>SUM(F6:F14)</f>
        <v>0</v>
      </c>
      <c r="G15" s="473"/>
    </row>
    <row r="16" spans="1:7" s="197" customFormat="1" ht="15.75" customHeight="1" thickTop="1" x14ac:dyDescent="0.2">
      <c r="A16" s="2327" t="s">
        <v>1101</v>
      </c>
      <c r="B16" s="2316"/>
      <c r="C16" s="2324"/>
      <c r="D16" s="2325"/>
      <c r="E16" s="2325"/>
      <c r="F16" s="2326"/>
    </row>
    <row r="17" spans="1:11" ht="12.75" customHeight="1" thickBot="1" x14ac:dyDescent="0.25">
      <c r="A17" s="2340" t="s">
        <v>64</v>
      </c>
      <c r="B17" s="2341"/>
      <c r="C17" s="1733"/>
      <c r="D17" s="1664"/>
      <c r="E17" s="1733"/>
      <c r="F17" s="1732">
        <f>SUM(C17+D17)-E17</f>
        <v>0</v>
      </c>
    </row>
    <row r="18" spans="1:11" ht="12.75" customHeight="1" thickTop="1" thickBot="1" x14ac:dyDescent="0.25">
      <c r="A18" s="2340" t="s">
        <v>6</v>
      </c>
      <c r="B18" s="2341"/>
      <c r="C18" s="1733"/>
      <c r="D18" s="1664"/>
      <c r="E18" s="1733"/>
      <c r="F18" s="1732">
        <f>SUM(C18+D18)-E18</f>
        <v>0</v>
      </c>
    </row>
    <row r="19" spans="1:11" ht="12.75" customHeight="1" thickTop="1" thickBot="1" x14ac:dyDescent="0.25">
      <c r="A19" s="2340" t="s">
        <v>384</v>
      </c>
      <c r="B19" s="2341"/>
      <c r="C19" s="1733"/>
      <c r="D19" s="1664"/>
      <c r="E19" s="1733"/>
      <c r="F19" s="1732">
        <f>SUM(C19+D19)-E19</f>
        <v>0</v>
      </c>
    </row>
    <row r="20" spans="1:11" ht="12.75" customHeight="1" thickTop="1" thickBot="1" x14ac:dyDescent="0.25">
      <c r="A20" s="2340" t="s">
        <v>444</v>
      </c>
      <c r="B20" s="2341"/>
      <c r="C20" s="1733"/>
      <c r="D20" s="1664"/>
      <c r="E20" s="1733"/>
      <c r="F20" s="1732">
        <f>SUM(C20+D20)-E20</f>
        <v>0</v>
      </c>
    </row>
    <row r="21" spans="1:11" ht="14.25" thickTop="1" thickBot="1" x14ac:dyDescent="0.25">
      <c r="A21" s="2317" t="s">
        <v>627</v>
      </c>
      <c r="B21" s="2318"/>
      <c r="C21" s="1732">
        <f>SUM(C17:C20)</f>
        <v>0</v>
      </c>
      <c r="D21" s="1732">
        <f>SUM(D17:D20)</f>
        <v>0</v>
      </c>
      <c r="E21" s="1732">
        <f>SUM(E17:E20)</f>
        <v>0</v>
      </c>
      <c r="F21" s="1732">
        <f>SUM(F17:F20)</f>
        <v>0</v>
      </c>
      <c r="G21" s="473"/>
    </row>
    <row r="22" spans="1:11" ht="15.75" customHeight="1" thickTop="1" x14ac:dyDescent="0.2">
      <c r="A22" s="2342" t="s">
        <v>1102</v>
      </c>
      <c r="B22" s="2316"/>
      <c r="C22" s="2324"/>
      <c r="D22" s="2325"/>
      <c r="E22" s="2325"/>
      <c r="F22" s="2326"/>
    </row>
    <row r="23" spans="1:11" ht="13.5" thickBot="1" x14ac:dyDescent="0.25">
      <c r="A23" s="2330" t="s">
        <v>628</v>
      </c>
      <c r="B23" s="2331"/>
      <c r="C23" s="1656"/>
      <c r="D23" s="1656"/>
      <c r="E23" s="1656"/>
      <c r="F23" s="1732">
        <f>SUM(C23+D23)-E23</f>
        <v>0</v>
      </c>
      <c r="G23" s="473"/>
    </row>
    <row r="24" spans="1:11" ht="15.75" customHeight="1" thickTop="1" x14ac:dyDescent="0.2">
      <c r="A24" s="2342" t="s">
        <v>2005</v>
      </c>
      <c r="B24" s="2316"/>
      <c r="C24" s="2324"/>
      <c r="D24" s="2325"/>
      <c r="E24" s="2325"/>
      <c r="F24" s="2326"/>
    </row>
    <row r="25" spans="1:11" ht="13.5" thickBot="1" x14ac:dyDescent="0.25">
      <c r="A25" s="2330" t="s">
        <v>2006</v>
      </c>
      <c r="B25" s="2331"/>
      <c r="C25" s="1656"/>
      <c r="D25" s="1656"/>
      <c r="E25" s="1656"/>
      <c r="F25" s="1732">
        <f>SUM(C25+D25)-E25</f>
        <v>0</v>
      </c>
      <c r="G25" s="473"/>
    </row>
    <row r="26" spans="1:11" ht="15.75" customHeight="1" thickTop="1" x14ac:dyDescent="0.2">
      <c r="A26" s="2315" t="s">
        <v>651</v>
      </c>
      <c r="B26" s="2316"/>
      <c r="C26" s="589"/>
      <c r="D26" s="589"/>
      <c r="E26" s="589"/>
      <c r="F26" s="590"/>
    </row>
    <row r="27" spans="1:11" ht="13.5" thickBot="1" x14ac:dyDescent="0.25">
      <c r="A27" s="2317" t="s">
        <v>1060</v>
      </c>
      <c r="B27" s="2318"/>
      <c r="C27" s="1664"/>
      <c r="D27" s="1664"/>
      <c r="E27" s="1664"/>
      <c r="F27" s="1732">
        <f>SUM(C27+D27)-E27</f>
        <v>0</v>
      </c>
      <c r="G27" s="473"/>
    </row>
    <row r="28" spans="1:11" ht="7.5" customHeight="1" thickTop="1" x14ac:dyDescent="0.2">
      <c r="A28" s="489"/>
    </row>
    <row r="29" spans="1:11" ht="23.25" customHeight="1" x14ac:dyDescent="0.2">
      <c r="A29" s="2343" t="s">
        <v>577</v>
      </c>
      <c r="B29" s="2320"/>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2109</v>
      </c>
      <c r="B31" s="595">
        <v>40154</v>
      </c>
      <c r="C31" s="1734">
        <v>560000</v>
      </c>
      <c r="D31" s="1735">
        <v>9</v>
      </c>
      <c r="E31" s="1734">
        <v>560000</v>
      </c>
      <c r="F31" s="1734"/>
      <c r="G31" s="1734"/>
      <c r="H31" s="1734"/>
      <c r="I31" s="1736">
        <f>((E31+F31)-H31)+G31</f>
        <v>560000</v>
      </c>
      <c r="J31" s="1734">
        <f>I31-344603</f>
        <v>215397</v>
      </c>
      <c r="K31" s="596"/>
    </row>
    <row r="32" spans="1:11" ht="12" customHeight="1" x14ac:dyDescent="0.2">
      <c r="A32" s="594" t="s">
        <v>2113</v>
      </c>
      <c r="B32" s="595">
        <v>41426</v>
      </c>
      <c r="C32" s="1734">
        <v>600000</v>
      </c>
      <c r="D32" s="1735">
        <v>1</v>
      </c>
      <c r="E32" s="1734">
        <v>315000</v>
      </c>
      <c r="F32" s="1734"/>
      <c r="G32" s="1734"/>
      <c r="H32" s="1734">
        <v>155000</v>
      </c>
      <c r="I32" s="1736">
        <f>((E32+F32)-H32)+G32</f>
        <v>160000</v>
      </c>
      <c r="J32" s="1734">
        <f>I32-143305</f>
        <v>16695</v>
      </c>
      <c r="K32" s="596"/>
    </row>
    <row r="33" spans="1:11" ht="12" customHeight="1" x14ac:dyDescent="0.2">
      <c r="A33" s="594" t="s">
        <v>2111</v>
      </c>
      <c r="B33" s="595">
        <v>41791</v>
      </c>
      <c r="C33" s="1734">
        <v>1235000</v>
      </c>
      <c r="D33" s="1735">
        <v>8</v>
      </c>
      <c r="E33" s="1734">
        <v>820000</v>
      </c>
      <c r="F33" s="1734"/>
      <c r="G33" s="1734"/>
      <c r="H33" s="1734">
        <v>130000</v>
      </c>
      <c r="I33" s="1736">
        <f t="shared" ref="I33:I48" si="1">((E33+F33)-H33)+G33</f>
        <v>690000</v>
      </c>
      <c r="J33" s="1734">
        <f>I33-119680</f>
        <v>570320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2115</v>
      </c>
      <c r="B35" s="595"/>
      <c r="C35" s="1737">
        <v>95380</v>
      </c>
      <c r="D35" s="1735">
        <v>7</v>
      </c>
      <c r="E35" s="1737">
        <v>38613</v>
      </c>
      <c r="F35" s="1737"/>
      <c r="G35" s="1737">
        <v>-19071</v>
      </c>
      <c r="H35" s="1737"/>
      <c r="I35" s="1736">
        <f t="shared" si="1"/>
        <v>19542</v>
      </c>
      <c r="J35" s="1737">
        <v>19542</v>
      </c>
      <c r="K35" s="597"/>
    </row>
    <row r="36" spans="1:11" ht="12" customHeight="1" x14ac:dyDescent="0.2">
      <c r="A36" s="594" t="s">
        <v>2115</v>
      </c>
      <c r="B36" s="595"/>
      <c r="C36" s="1734">
        <v>83473</v>
      </c>
      <c r="D36" s="1735">
        <v>7</v>
      </c>
      <c r="E36" s="1734">
        <v>33652</v>
      </c>
      <c r="F36" s="1734"/>
      <c r="G36" s="1734">
        <v>-16621</v>
      </c>
      <c r="H36" s="1734"/>
      <c r="I36" s="1736">
        <f t="shared" si="1"/>
        <v>17031</v>
      </c>
      <c r="J36" s="1734">
        <v>17031</v>
      </c>
      <c r="K36" s="598"/>
    </row>
    <row r="37" spans="1:11" ht="12" customHeight="1" x14ac:dyDescent="0.2">
      <c r="A37" s="594" t="s">
        <v>2114</v>
      </c>
      <c r="B37" s="595"/>
      <c r="C37" s="1574">
        <v>27388</v>
      </c>
      <c r="D37" s="1738">
        <v>7</v>
      </c>
      <c r="E37" s="1574">
        <v>9157</v>
      </c>
      <c r="F37" s="1574"/>
      <c r="G37" s="1574"/>
      <c r="H37" s="1574">
        <v>9157</v>
      </c>
      <c r="I37" s="1736">
        <f t="shared" si="1"/>
        <v>0</v>
      </c>
      <c r="J37" s="1574"/>
      <c r="K37" s="597"/>
    </row>
    <row r="38" spans="1:11" ht="12" customHeight="1" x14ac:dyDescent="0.2">
      <c r="A38" s="594" t="s">
        <v>2114</v>
      </c>
      <c r="B38" s="595"/>
      <c r="C38" s="1734">
        <v>29850</v>
      </c>
      <c r="D38" s="1739">
        <v>7</v>
      </c>
      <c r="E38" s="1740">
        <v>19534</v>
      </c>
      <c r="F38" s="1740"/>
      <c r="G38" s="1740"/>
      <c r="H38" s="1740">
        <v>9512</v>
      </c>
      <c r="I38" s="1736">
        <f t="shared" si="1"/>
        <v>10022</v>
      </c>
      <c r="J38" s="1741">
        <v>10022</v>
      </c>
      <c r="K38" s="599"/>
    </row>
    <row r="39" spans="1:11" ht="12" customHeight="1" x14ac:dyDescent="0.2">
      <c r="A39" s="594" t="s">
        <v>2114</v>
      </c>
      <c r="B39" s="595"/>
      <c r="C39" s="1734">
        <v>18214</v>
      </c>
      <c r="D39" s="1739">
        <v>7</v>
      </c>
      <c r="E39" s="1740"/>
      <c r="F39" s="1740"/>
      <c r="G39" s="1740">
        <v>18214</v>
      </c>
      <c r="H39" s="1740"/>
      <c r="I39" s="1736">
        <f t="shared" si="1"/>
        <v>18214</v>
      </c>
      <c r="J39" s="1741">
        <v>18214</v>
      </c>
      <c r="K39" s="599"/>
    </row>
    <row r="40" spans="1:11" ht="12" customHeight="1" x14ac:dyDescent="0.2">
      <c r="A40" s="594" t="s">
        <v>2114</v>
      </c>
      <c r="B40" s="595"/>
      <c r="C40" s="1734">
        <v>81453</v>
      </c>
      <c r="D40" s="1739">
        <v>7</v>
      </c>
      <c r="E40" s="1740"/>
      <c r="F40" s="1740"/>
      <c r="G40" s="1740">
        <v>81453</v>
      </c>
      <c r="H40" s="1740">
        <v>28513</v>
      </c>
      <c r="I40" s="1736">
        <f t="shared" si="1"/>
        <v>52940</v>
      </c>
      <c r="J40" s="1741">
        <v>52940</v>
      </c>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2730758</v>
      </c>
      <c r="D49" s="1742"/>
      <c r="E49" s="1736">
        <f t="shared" ref="E49:J49" si="2">SUM(E31:E48)</f>
        <v>1795956</v>
      </c>
      <c r="F49" s="1736">
        <f t="shared" si="2"/>
        <v>0</v>
      </c>
      <c r="G49" s="1736">
        <f t="shared" si="2"/>
        <v>63975</v>
      </c>
      <c r="H49" s="1736">
        <f t="shared" si="2"/>
        <v>332182</v>
      </c>
      <c r="I49" s="1736">
        <f t="shared" si="2"/>
        <v>1527749</v>
      </c>
      <c r="J49" s="1736">
        <f t="shared" si="2"/>
        <v>920161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34" t="s">
        <v>579</v>
      </c>
      <c r="C52" s="2335"/>
      <c r="D52" s="2335"/>
      <c r="E52" s="603" t="s">
        <v>839</v>
      </c>
      <c r="F52" s="2336" t="s">
        <v>2112</v>
      </c>
      <c r="G52" s="2337"/>
      <c r="H52" s="596"/>
      <c r="I52" s="596"/>
      <c r="J52" s="600"/>
    </row>
    <row r="53" spans="1:11" ht="11.25" customHeight="1" x14ac:dyDescent="0.2">
      <c r="A53" s="604" t="s">
        <v>906</v>
      </c>
      <c r="B53" s="605" t="s">
        <v>944</v>
      </c>
      <c r="C53" s="600"/>
      <c r="D53" s="597"/>
      <c r="E53" s="603" t="s">
        <v>493</v>
      </c>
      <c r="F53" s="2338" t="s">
        <v>2111</v>
      </c>
      <c r="G53" s="2339"/>
      <c r="H53" s="596"/>
      <c r="I53" s="596"/>
      <c r="J53" s="600"/>
    </row>
    <row r="54" spans="1:11" ht="11.25" customHeight="1" x14ac:dyDescent="0.2">
      <c r="A54" s="606" t="s">
        <v>907</v>
      </c>
      <c r="B54" s="601" t="s">
        <v>945</v>
      </c>
      <c r="C54" s="600"/>
      <c r="D54" s="597"/>
      <c r="E54" s="603" t="s">
        <v>494</v>
      </c>
      <c r="F54" s="2338" t="s">
        <v>2110</v>
      </c>
      <c r="G54" s="23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850</v>
      </c>
      <c r="B1" s="2371"/>
      <c r="C1" s="2371"/>
      <c r="D1" s="2371"/>
      <c r="E1" s="2371"/>
      <c r="F1" s="2371"/>
      <c r="G1" s="2372"/>
      <c r="H1" s="1298"/>
      <c r="I1" s="614"/>
      <c r="J1" s="400"/>
    </row>
    <row r="2" spans="1:11" ht="26.25" x14ac:dyDescent="0.2">
      <c r="A2" s="2347" t="s">
        <v>1657</v>
      </c>
      <c r="B2" s="2348"/>
      <c r="C2" s="2348"/>
      <c r="D2" s="2348"/>
      <c r="E2" s="2349"/>
      <c r="F2" s="615" t="s">
        <v>897</v>
      </c>
      <c r="G2" s="616" t="s">
        <v>1654</v>
      </c>
      <c r="H2" s="616" t="s">
        <v>406</v>
      </c>
      <c r="I2" s="616" t="s">
        <v>1147</v>
      </c>
      <c r="J2" s="616" t="s">
        <v>1788</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v>122514</v>
      </c>
      <c r="K3" s="1745"/>
    </row>
    <row r="4" spans="1:11" x14ac:dyDescent="0.2">
      <c r="A4" s="2353" t="s">
        <v>365</v>
      </c>
      <c r="B4" s="2354"/>
      <c r="C4" s="2354"/>
      <c r="D4" s="2354"/>
      <c r="E4" s="2335"/>
      <c r="F4" s="620"/>
      <c r="G4" s="1746"/>
      <c r="H4" s="1747"/>
      <c r="I4" s="1746"/>
      <c r="J4" s="1748"/>
      <c r="K4" s="1748"/>
    </row>
    <row r="5" spans="1:11" x14ac:dyDescent="0.2">
      <c r="A5" s="2373" t="s">
        <v>1059</v>
      </c>
      <c r="B5" s="2344"/>
      <c r="C5" s="2344"/>
      <c r="D5" s="2344"/>
      <c r="E5" s="2374"/>
      <c r="F5" s="622" t="s">
        <v>842</v>
      </c>
      <c r="G5" s="1749"/>
      <c r="H5" s="1744">
        <f>12861+11391+7</f>
        <v>24259</v>
      </c>
      <c r="I5" s="1750"/>
      <c r="J5" s="1751"/>
      <c r="K5" s="1751"/>
    </row>
    <row r="6" spans="1:11" x14ac:dyDescent="0.2">
      <c r="A6" s="625" t="s">
        <v>714</v>
      </c>
      <c r="B6" s="626"/>
      <c r="C6" s="626"/>
      <c r="D6" s="626"/>
      <c r="E6" s="627"/>
      <c r="F6" s="628" t="s">
        <v>843</v>
      </c>
      <c r="G6" s="1744"/>
      <c r="H6" s="1744">
        <v>5</v>
      </c>
      <c r="I6" s="1744"/>
      <c r="J6" s="1745">
        <v>138</v>
      </c>
      <c r="K6" s="1745"/>
    </row>
    <row r="7" spans="1:11" x14ac:dyDescent="0.2">
      <c r="A7" s="629" t="s">
        <v>244</v>
      </c>
      <c r="B7" s="630"/>
      <c r="C7" s="630"/>
      <c r="D7" s="630"/>
      <c r="E7" s="631"/>
      <c r="F7" s="622" t="s">
        <v>844</v>
      </c>
      <c r="G7" s="1746"/>
      <c r="H7" s="1746"/>
      <c r="I7" s="1746"/>
      <c r="J7" s="1752"/>
      <c r="K7" s="1745">
        <v>1453</v>
      </c>
    </row>
    <row r="8" spans="1:11" x14ac:dyDescent="0.2">
      <c r="A8" s="629" t="s">
        <v>341</v>
      </c>
      <c r="B8" s="630"/>
      <c r="C8" s="630"/>
      <c r="D8" s="630"/>
      <c r="E8" s="631"/>
      <c r="F8" s="622" t="s">
        <v>845</v>
      </c>
      <c r="G8" s="1753"/>
      <c r="H8" s="1753"/>
      <c r="I8" s="1753"/>
      <c r="J8" s="1745">
        <f>145551+66437</f>
        <v>211988</v>
      </c>
      <c r="K8" s="1748"/>
    </row>
    <row r="9" spans="1:11" x14ac:dyDescent="0.2">
      <c r="A9" s="629" t="s">
        <v>137</v>
      </c>
      <c r="B9" s="630"/>
      <c r="C9" s="630"/>
      <c r="D9" s="630"/>
      <c r="E9" s="631"/>
      <c r="F9" s="628" t="s">
        <v>847</v>
      </c>
      <c r="G9" s="1753"/>
      <c r="H9" s="1749"/>
      <c r="I9" s="1749"/>
      <c r="J9" s="1752"/>
      <c r="K9" s="1745">
        <v>4524</v>
      </c>
    </row>
    <row r="10" spans="1:11" x14ac:dyDescent="0.2">
      <c r="A10" s="2373" t="s">
        <v>1789</v>
      </c>
      <c r="B10" s="2344"/>
      <c r="C10" s="2344"/>
      <c r="D10" s="2344"/>
      <c r="E10" s="2375"/>
      <c r="F10" s="633" t="s">
        <v>856</v>
      </c>
      <c r="G10" s="1753"/>
      <c r="H10" s="1754"/>
      <c r="I10" s="1744"/>
      <c r="J10" s="1745"/>
      <c r="K10" s="1745"/>
    </row>
    <row r="11" spans="1:11" x14ac:dyDescent="0.2">
      <c r="A11" s="2373" t="s">
        <v>159</v>
      </c>
      <c r="B11" s="2344"/>
      <c r="C11" s="2344"/>
      <c r="D11" s="2344"/>
      <c r="E11" s="2374"/>
      <c r="F11" s="622" t="s">
        <v>846</v>
      </c>
      <c r="G11" s="1749"/>
      <c r="H11" s="1744"/>
      <c r="I11" s="1744"/>
      <c r="J11" s="1745"/>
      <c r="K11" s="1751"/>
    </row>
    <row r="12" spans="1:11" ht="13.5" thickBot="1" x14ac:dyDescent="0.25">
      <c r="A12" s="2361" t="s">
        <v>898</v>
      </c>
      <c r="B12" s="2362"/>
      <c r="C12" s="2362"/>
      <c r="D12" s="2362"/>
      <c r="E12" s="2363"/>
      <c r="F12" s="1433"/>
      <c r="G12" s="1755">
        <f>SUM(G5:G11)</f>
        <v>0</v>
      </c>
      <c r="H12" s="1755">
        <f>SUM(H5:H11)</f>
        <v>24264</v>
      </c>
      <c r="I12" s="1755">
        <f>SUM(I5:I11)</f>
        <v>0</v>
      </c>
      <c r="J12" s="1755">
        <f>SUM(J5:J11)</f>
        <v>212126</v>
      </c>
      <c r="K12" s="1755">
        <f>SUM(K5:K11)</f>
        <v>5977</v>
      </c>
    </row>
    <row r="13" spans="1:11" ht="13.5" thickTop="1" x14ac:dyDescent="0.2">
      <c r="A13" s="2355" t="s">
        <v>366</v>
      </c>
      <c r="B13" s="2356"/>
      <c r="C13" s="2356"/>
      <c r="D13" s="2356"/>
      <c r="E13" s="2357"/>
      <c r="F13" s="634"/>
      <c r="G13" s="1756"/>
      <c r="H13" s="1757"/>
      <c r="I13" s="1758"/>
      <c r="J13" s="1758"/>
      <c r="K13" s="1758"/>
    </row>
    <row r="14" spans="1:11" x14ac:dyDescent="0.2">
      <c r="A14" s="2379" t="s">
        <v>452</v>
      </c>
      <c r="B14" s="2379"/>
      <c r="C14" s="2379"/>
      <c r="D14" s="2379"/>
      <c r="E14" s="2380"/>
      <c r="F14" s="635" t="s">
        <v>848</v>
      </c>
      <c r="G14" s="1753"/>
      <c r="H14" s="1744">
        <v>24264</v>
      </c>
      <c r="I14" s="1749"/>
      <c r="J14" s="1751"/>
      <c r="K14" s="1745">
        <v>5977</v>
      </c>
    </row>
    <row r="15" spans="1:11" x14ac:dyDescent="0.2">
      <c r="A15" s="2344" t="s">
        <v>4</v>
      </c>
      <c r="B15" s="2344"/>
      <c r="C15" s="2344"/>
      <c r="D15" s="2344"/>
      <c r="E15" s="2374"/>
      <c r="F15" s="635" t="s">
        <v>849</v>
      </c>
      <c r="G15" s="1749"/>
      <c r="H15" s="1744"/>
      <c r="I15" s="1744"/>
      <c r="J15" s="1745">
        <v>66437</v>
      </c>
      <c r="K15" s="1745"/>
    </row>
    <row r="16" spans="1:11" x14ac:dyDescent="0.2">
      <c r="A16" s="2344" t="s">
        <v>294</v>
      </c>
      <c r="B16" s="2344"/>
      <c r="C16" s="2344"/>
      <c r="D16" s="2344"/>
      <c r="E16" s="2374"/>
      <c r="F16" s="635" t="s">
        <v>916</v>
      </c>
      <c r="G16" s="1750"/>
      <c r="H16" s="1746"/>
      <c r="I16" s="1746"/>
      <c r="J16" s="1748"/>
      <c r="K16" s="1748"/>
    </row>
    <row r="17" spans="1:15" x14ac:dyDescent="0.2">
      <c r="A17" s="2368" t="s">
        <v>928</v>
      </c>
      <c r="B17" s="2368"/>
      <c r="C17" s="2368"/>
      <c r="D17" s="2368"/>
      <c r="E17" s="2369"/>
      <c r="F17" s="636"/>
      <c r="G17" s="1759"/>
      <c r="H17" s="1760"/>
      <c r="I17" s="1760"/>
      <c r="J17" s="1761"/>
      <c r="K17" s="1762"/>
    </row>
    <row r="18" spans="1:15" x14ac:dyDescent="0.2">
      <c r="A18" s="2358" t="s">
        <v>364</v>
      </c>
      <c r="B18" s="2359"/>
      <c r="C18" s="2359"/>
      <c r="D18" s="2359"/>
      <c r="E18" s="2360"/>
      <c r="F18" s="635" t="s">
        <v>925</v>
      </c>
      <c r="G18" s="1753"/>
      <c r="H18" s="1753"/>
      <c r="I18" s="1753"/>
      <c r="J18" s="1745">
        <v>18524</v>
      </c>
      <c r="K18" s="1763"/>
    </row>
    <row r="19" spans="1:15" ht="21.75" customHeight="1" x14ac:dyDescent="0.2">
      <c r="A19" s="2381" t="s">
        <v>1785</v>
      </c>
      <c r="B19" s="2381"/>
      <c r="C19" s="2381"/>
      <c r="D19" s="2381"/>
      <c r="E19" s="2382"/>
      <c r="F19" s="635" t="s">
        <v>926</v>
      </c>
      <c r="G19" s="1753"/>
      <c r="H19" s="1753"/>
      <c r="I19" s="1753"/>
      <c r="J19" s="1745">
        <v>130000</v>
      </c>
      <c r="K19" s="1763"/>
    </row>
    <row r="20" spans="1:15" x14ac:dyDescent="0.2">
      <c r="A20" s="2358" t="s">
        <v>1790</v>
      </c>
      <c r="B20" s="2359"/>
      <c r="C20" s="2359"/>
      <c r="D20" s="2359"/>
      <c r="E20" s="2360"/>
      <c r="F20" s="635" t="s">
        <v>927</v>
      </c>
      <c r="G20" s="1753"/>
      <c r="H20" s="1753"/>
      <c r="I20" s="1753"/>
      <c r="J20" s="1745"/>
      <c r="K20" s="1763"/>
    </row>
    <row r="21" spans="1:15" ht="13.5" thickBot="1" x14ac:dyDescent="0.25">
      <c r="A21" s="2364" t="s">
        <v>632</v>
      </c>
      <c r="B21" s="2364"/>
      <c r="C21" s="2364"/>
      <c r="D21" s="2364"/>
      <c r="E21" s="2364"/>
      <c r="F21" s="1434"/>
      <c r="G21" s="1760"/>
      <c r="H21" s="1764"/>
      <c r="I21" s="1764"/>
      <c r="J21" s="1765">
        <f>SUM(J18:J20)</f>
        <v>148524</v>
      </c>
      <c r="K21" s="1761"/>
    </row>
    <row r="22" spans="1:15" ht="13.5" thickTop="1" x14ac:dyDescent="0.2">
      <c r="A22" s="2344" t="s">
        <v>1791</v>
      </c>
      <c r="B22" s="2344"/>
      <c r="C22" s="2344"/>
      <c r="D22" s="2344"/>
      <c r="E22" s="2374"/>
      <c r="F22" s="635" t="s">
        <v>856</v>
      </c>
      <c r="G22" s="1753"/>
      <c r="H22" s="1744"/>
      <c r="I22" s="1744"/>
      <c r="J22" s="1766"/>
      <c r="K22" s="1745"/>
    </row>
    <row r="23" spans="1:15" ht="13.5" thickBot="1" x14ac:dyDescent="0.25">
      <c r="A23" s="2365" t="s">
        <v>899</v>
      </c>
      <c r="B23" s="2364"/>
      <c r="C23" s="2364"/>
      <c r="D23" s="2364"/>
      <c r="E23" s="2364"/>
      <c r="F23" s="1436"/>
      <c r="G23" s="1755">
        <f>SUM(G14:G16,G21,G22)</f>
        <v>0</v>
      </c>
      <c r="H23" s="1755">
        <f>SUM(H14:H16,H21,H22)</f>
        <v>24264</v>
      </c>
      <c r="I23" s="1755">
        <f>SUM(I14:I16,I21,I22)</f>
        <v>0</v>
      </c>
      <c r="J23" s="1755">
        <f>SUM(J14:J16,J21,J22)</f>
        <v>214961</v>
      </c>
      <c r="K23" s="1755">
        <f>SUM(K14:K16,K21,K22)</f>
        <v>5977</v>
      </c>
      <c r="M23" s="1846"/>
      <c r="N23" s="1846"/>
      <c r="O23" s="1846"/>
    </row>
    <row r="24" spans="1:15" ht="14.25" thickTop="1" thickBot="1" x14ac:dyDescent="0.25">
      <c r="A24" s="2366" t="str">
        <f>"Ending Cash Basis Fund Balance as of June 30, "&amp;'AFR20'!E2</f>
        <v>Ending Cash Basis Fund Balance as of June 30, 2020</v>
      </c>
      <c r="B24" s="2367"/>
      <c r="C24" s="2367"/>
      <c r="D24" s="2367"/>
      <c r="E24" s="2367"/>
      <c r="F24" s="1437"/>
      <c r="G24" s="1767">
        <f>SUM(G3,G12)-G23</f>
        <v>0</v>
      </c>
      <c r="H24" s="1767">
        <f>SUM(H3,H12)-H23</f>
        <v>0</v>
      </c>
      <c r="I24" s="1767">
        <f>SUM(I3,I12)-I23</f>
        <v>0</v>
      </c>
      <c r="J24" s="1767">
        <f>SUM(J3,J12)-J23</f>
        <v>119679</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v>119679</v>
      </c>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2091</v>
      </c>
      <c r="E30" s="648" t="s">
        <v>762</v>
      </c>
      <c r="F30" s="197"/>
      <c r="G30" s="645"/>
    </row>
    <row r="31" spans="1:15" x14ac:dyDescent="0.2">
      <c r="A31" s="649"/>
      <c r="D31" s="232"/>
      <c r="E31" s="650" t="s">
        <v>763</v>
      </c>
      <c r="F31" s="651" t="s">
        <v>535</v>
      </c>
      <c r="G31" s="618"/>
      <c r="H31" s="2376"/>
      <c r="I31" s="2377"/>
      <c r="J31" s="2377"/>
      <c r="K31" s="2377"/>
    </row>
    <row r="32" spans="1:15" x14ac:dyDescent="0.2">
      <c r="A32" s="649"/>
      <c r="B32" s="232"/>
      <c r="C32" s="232"/>
      <c r="D32" s="232"/>
      <c r="E32" s="645"/>
      <c r="F32" s="651" t="s">
        <v>536</v>
      </c>
      <c r="G32" s="618"/>
      <c r="H32" s="2378"/>
      <c r="I32" s="2377"/>
      <c r="J32" s="2377"/>
      <c r="K32" s="2377"/>
    </row>
    <row r="33" spans="1:11" ht="1.5" customHeight="1" x14ac:dyDescent="0.2">
      <c r="A33" s="652" t="s">
        <v>1158</v>
      </c>
      <c r="B33" s="341"/>
      <c r="C33" s="341"/>
      <c r="D33" s="341"/>
      <c r="E33" s="341"/>
      <c r="F33" s="341"/>
      <c r="G33" s="653"/>
      <c r="H33" s="2378"/>
      <c r="I33" s="2377"/>
      <c r="J33" s="2377"/>
      <c r="K33" s="237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4" t="s">
        <v>537</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1874</v>
      </c>
      <c r="B1" s="2386"/>
      <c r="C1" s="2387"/>
      <c r="D1" s="666"/>
      <c r="E1" s="667"/>
      <c r="F1" s="667"/>
      <c r="G1" s="668"/>
      <c r="H1" s="669"/>
      <c r="I1" s="670"/>
      <c r="J1" s="2383"/>
      <c r="K1" s="2384"/>
      <c r="L1" s="2384"/>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39570</v>
      </c>
      <c r="D5" s="1770"/>
      <c r="E5" s="1770"/>
      <c r="F5" s="1765">
        <f>(C5+D5)-E5</f>
        <v>39570</v>
      </c>
      <c r="G5" s="676"/>
      <c r="H5" s="680"/>
      <c r="I5" s="680"/>
      <c r="J5" s="680"/>
      <c r="K5" s="637"/>
      <c r="L5" s="1442">
        <f>F5-K5</f>
        <v>39570</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6301720</v>
      </c>
      <c r="D8" s="1771">
        <v>2975</v>
      </c>
      <c r="E8" s="1771"/>
      <c r="F8" s="1765">
        <f>(C8+D8)-E8</f>
        <v>6304695</v>
      </c>
      <c r="G8" s="681">
        <v>50</v>
      </c>
      <c r="H8" s="619">
        <v>2874769</v>
      </c>
      <c r="I8" s="619">
        <v>102446</v>
      </c>
      <c r="J8" s="619"/>
      <c r="K8" s="1442">
        <f>(H8+I8)-J8</f>
        <v>2977215</v>
      </c>
      <c r="L8" s="1442">
        <f>F8-K8</f>
        <v>3327480</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1089969</v>
      </c>
      <c r="D10" s="1772">
        <v>2050</v>
      </c>
      <c r="E10" s="1772"/>
      <c r="F10" s="1773">
        <f>(C10+D10)-E10</f>
        <v>1092019</v>
      </c>
      <c r="G10" s="681">
        <v>20</v>
      </c>
      <c r="H10" s="683">
        <v>587213</v>
      </c>
      <c r="I10" s="683">
        <v>42823</v>
      </c>
      <c r="J10" s="683"/>
      <c r="K10" s="1442">
        <f>(H10+I10)-J10</f>
        <v>630036</v>
      </c>
      <c r="L10" s="1442">
        <f>F10-K10</f>
        <v>461983</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796734</v>
      </c>
      <c r="D12" s="1771">
        <v>193521</v>
      </c>
      <c r="E12" s="1771">
        <v>70170</v>
      </c>
      <c r="F12" s="1765">
        <f>(C12+D12)-E12</f>
        <v>920085</v>
      </c>
      <c r="G12" s="681">
        <v>10</v>
      </c>
      <c r="H12" s="619">
        <v>430526</v>
      </c>
      <c r="I12" s="619">
        <v>92005</v>
      </c>
      <c r="J12" s="619">
        <v>70170</v>
      </c>
      <c r="K12" s="1442">
        <f>(H12+I12)-J12</f>
        <v>452361</v>
      </c>
      <c r="L12" s="1442">
        <f>F12-K12</f>
        <v>467724</v>
      </c>
    </row>
    <row r="13" spans="1:14" ht="14.25" thickTop="1" thickBot="1" x14ac:dyDescent="0.25">
      <c r="A13" s="684" t="s">
        <v>1111</v>
      </c>
      <c r="B13" s="679">
        <v>252</v>
      </c>
      <c r="C13" s="1771">
        <v>672065</v>
      </c>
      <c r="D13" s="1771">
        <v>8156</v>
      </c>
      <c r="E13" s="1771"/>
      <c r="F13" s="1765">
        <f>(C13+D13)-E13</f>
        <v>680221</v>
      </c>
      <c r="G13" s="681">
        <v>5</v>
      </c>
      <c r="H13" s="619">
        <v>599111</v>
      </c>
      <c r="I13" s="619">
        <v>38109</v>
      </c>
      <c r="J13" s="619"/>
      <c r="K13" s="1442">
        <f>(H13+I13)-J13</f>
        <v>637220</v>
      </c>
      <c r="L13" s="1442">
        <f>F13-K13</f>
        <v>43001</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8900058</v>
      </c>
      <c r="D16" s="1765">
        <f>SUM(D3,D5:D6,D8:D10,D12:D15)</f>
        <v>206702</v>
      </c>
      <c r="E16" s="1765">
        <f>SUM(E3,E5:E6,E8:E10,E12:E15)</f>
        <v>70170</v>
      </c>
      <c r="F16" s="1765">
        <f>SUM(F3,F5:F6,F8:F10,F12:F15)</f>
        <v>9036590</v>
      </c>
      <c r="G16" s="681"/>
      <c r="H16" s="1435">
        <f>SUM(H3,H6,H8:H10,H12:H14,)</f>
        <v>4491619</v>
      </c>
      <c r="I16" s="1435">
        <f>SUM(I3,I6,I8:I10,I12:I14,)</f>
        <v>275383</v>
      </c>
      <c r="J16" s="1435">
        <f>SUM(J3,J6,J8:J10,J12:J14,)</f>
        <v>70170</v>
      </c>
      <c r="K16" s="1435">
        <f>(H16+I16)-J16</f>
        <v>4696832</v>
      </c>
      <c r="L16" s="1435">
        <f>F16-K16</f>
        <v>4339758</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275383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473</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7"/>
      <c r="B5" s="2398"/>
      <c r="C5" s="2398"/>
      <c r="D5" s="2398"/>
      <c r="E5" s="2398"/>
      <c r="F5" s="2398"/>
    </row>
    <row r="6" spans="1:9" ht="13.5" customHeight="1" thickBot="1" x14ac:dyDescent="0.25">
      <c r="A6" s="2388" t="s">
        <v>1094</v>
      </c>
      <c r="B6" s="2389"/>
      <c r="C6" s="2389"/>
      <c r="D6" s="2389"/>
      <c r="E6" s="2389"/>
      <c r="F6" s="2390"/>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4791779</v>
      </c>
      <c r="G8" s="701"/>
    </row>
    <row r="9" spans="1:9" x14ac:dyDescent="0.2">
      <c r="A9" s="705" t="s">
        <v>456</v>
      </c>
      <c r="B9" s="706" t="s">
        <v>1847</v>
      </c>
      <c r="C9" s="707"/>
      <c r="D9" s="705" t="s">
        <v>497</v>
      </c>
      <c r="E9" s="704"/>
      <c r="F9" s="1775">
        <f>'Expenditures 15-22'!K151</f>
        <v>435203</v>
      </c>
      <c r="G9" s="708"/>
    </row>
    <row r="10" spans="1:9" x14ac:dyDescent="0.2">
      <c r="A10" s="705" t="s">
        <v>495</v>
      </c>
      <c r="B10" s="706" t="s">
        <v>1848</v>
      </c>
      <c r="C10" s="707"/>
      <c r="D10" s="705" t="s">
        <v>497</v>
      </c>
      <c r="E10" s="704"/>
      <c r="F10" s="1775">
        <f>'Expenditures 15-22'!K174</f>
        <v>361263</v>
      </c>
      <c r="G10" s="708"/>
    </row>
    <row r="11" spans="1:9" x14ac:dyDescent="0.2">
      <c r="A11" s="705" t="s">
        <v>457</v>
      </c>
      <c r="B11" s="706" t="s">
        <v>1849</v>
      </c>
      <c r="C11" s="707"/>
      <c r="D11" s="705" t="s">
        <v>497</v>
      </c>
      <c r="E11" s="704"/>
      <c r="F11" s="1775">
        <f>'Expenditures 15-22'!K210</f>
        <v>270056</v>
      </c>
      <c r="G11" s="708"/>
    </row>
    <row r="12" spans="1:9" x14ac:dyDescent="0.2">
      <c r="A12" s="705" t="s">
        <v>458</v>
      </c>
      <c r="B12" s="706" t="s">
        <v>1850</v>
      </c>
      <c r="C12" s="707"/>
      <c r="D12" s="705" t="s">
        <v>497</v>
      </c>
      <c r="E12" s="704"/>
      <c r="F12" s="1775">
        <f>'Expenditures 15-22'!K295</f>
        <v>172971</v>
      </c>
      <c r="G12" s="708"/>
    </row>
    <row r="13" spans="1:9" x14ac:dyDescent="0.2">
      <c r="A13" s="705" t="s">
        <v>106</v>
      </c>
      <c r="B13" s="706" t="s">
        <v>1851</v>
      </c>
      <c r="C13" s="707"/>
      <c r="D13" s="705" t="s">
        <v>497</v>
      </c>
      <c r="E13" s="704"/>
      <c r="F13" s="1775">
        <f>'Expenditures 15-22'!K342</f>
        <v>259303</v>
      </c>
      <c r="G13" s="709"/>
    </row>
    <row r="14" spans="1:9" ht="12" customHeight="1" thickBot="1" x14ac:dyDescent="0.25">
      <c r="A14" s="1443"/>
      <c r="B14" s="1444"/>
      <c r="C14" s="1445"/>
      <c r="D14" s="1446" t="s">
        <v>497</v>
      </c>
      <c r="E14" s="1447" t="s">
        <v>951</v>
      </c>
      <c r="F14" s="1776">
        <f>SUM(F8:F13)</f>
        <v>6290575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112788</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512315</v>
      </c>
      <c r="G53" s="701"/>
    </row>
    <row r="54" spans="1:7" x14ac:dyDescent="0.2">
      <c r="A54" s="705" t="s">
        <v>455</v>
      </c>
      <c r="B54" s="705" t="s">
        <v>1458</v>
      </c>
      <c r="C54" s="724" t="s">
        <v>974</v>
      </c>
      <c r="D54" s="720" t="s">
        <v>1085</v>
      </c>
      <c r="E54" s="704"/>
      <c r="F54" s="1782">
        <f>'Expenditures 15-22'!G114</f>
        <v>122199</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2975</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332182</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35692</v>
      </c>
      <c r="G64" s="701"/>
    </row>
    <row r="65" spans="1:9" x14ac:dyDescent="0.2">
      <c r="A65" s="705" t="s">
        <v>457</v>
      </c>
      <c r="B65" s="705" t="s">
        <v>1860</v>
      </c>
      <c r="C65" s="721" t="s">
        <v>974</v>
      </c>
      <c r="D65" s="720" t="s">
        <v>1085</v>
      </c>
      <c r="E65" s="704"/>
      <c r="F65" s="1782">
        <f>'Expenditures 15-22'!G210</f>
        <v>23723</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6307</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12362</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1160543</v>
      </c>
      <c r="G77" s="701"/>
    </row>
    <row r="78" spans="1:9" s="728" customFormat="1" ht="12" customHeight="1" thickTop="1" thickBot="1" x14ac:dyDescent="0.25">
      <c r="A78" s="1450"/>
      <c r="B78" s="1448"/>
      <c r="C78" s="1445"/>
      <c r="D78" s="1449" t="s">
        <v>2011</v>
      </c>
      <c r="E78" s="1447"/>
      <c r="F78" s="1788">
        <f>(F14-F77)</f>
        <v>5130032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496.8</v>
      </c>
      <c r="G79" s="733"/>
      <c r="H79" s="705"/>
      <c r="I79" s="705"/>
    </row>
    <row r="80" spans="1:9" s="728" customFormat="1" ht="12" customHeight="1" thickBot="1" x14ac:dyDescent="0.25">
      <c r="A80" s="1452"/>
      <c r="B80" s="1448"/>
      <c r="C80" s="1445"/>
      <c r="D80" s="1449" t="s">
        <v>2012</v>
      </c>
      <c r="E80" s="1447" t="s">
        <v>951</v>
      </c>
      <c r="F80" s="1790">
        <f>IF(F79&gt;0,F78/F79," Complete Line 79")</f>
        <v>10326.151368760064</v>
      </c>
      <c r="G80" s="705"/>
    </row>
    <row r="81" spans="1:7" s="728" customFormat="1" ht="8.25" customHeight="1" thickTop="1" x14ac:dyDescent="0.2">
      <c r="A81" s="734"/>
      <c r="B81" s="705"/>
      <c r="C81" s="707"/>
      <c r="D81" s="735"/>
      <c r="E81" s="704"/>
      <c r="F81" s="1791"/>
      <c r="G81" s="705"/>
    </row>
    <row r="82" spans="1:7" s="728" customFormat="1" ht="12" thickBot="1" x14ac:dyDescent="0.25">
      <c r="A82" s="2388" t="s">
        <v>1095</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71138</v>
      </c>
      <c r="G95" s="745"/>
    </row>
    <row r="96" spans="1:7" x14ac:dyDescent="0.2">
      <c r="A96" s="741" t="s">
        <v>139</v>
      </c>
      <c r="B96" s="741" t="s">
        <v>174</v>
      </c>
      <c r="C96" s="743">
        <v>1700</v>
      </c>
      <c r="D96" s="751" t="str">
        <f>'Revenues 9-14'!A82</f>
        <v>Total District/School Activity Income</v>
      </c>
      <c r="E96" s="739"/>
      <c r="F96" s="1793">
        <f>SUM('Revenues 9-14'!C82,'Revenues 9-14'!D82)</f>
        <v>14538</v>
      </c>
      <c r="G96" s="745"/>
    </row>
    <row r="97" spans="1:7" x14ac:dyDescent="0.2">
      <c r="A97" s="741" t="s">
        <v>455</v>
      </c>
      <c r="B97" s="741" t="s">
        <v>175</v>
      </c>
      <c r="C97" s="743">
        <f>'Revenues 9-14'!B84</f>
        <v>1811</v>
      </c>
      <c r="D97" s="744" t="str">
        <f>'Revenues 9-14'!A84</f>
        <v>Rentals - Regular Textbooks</v>
      </c>
      <c r="E97" s="739"/>
      <c r="F97" s="1793">
        <f>'Revenues 9-14'!C84</f>
        <v>23682</v>
      </c>
      <c r="G97" s="745"/>
    </row>
    <row r="98" spans="1:7" x14ac:dyDescent="0.2">
      <c r="A98" s="741" t="s">
        <v>455</v>
      </c>
      <c r="B98" s="741" t="s">
        <v>176</v>
      </c>
      <c r="C98" s="743">
        <f>'Revenues 9-14'!B87</f>
        <v>1819</v>
      </c>
      <c r="D98" s="744" t="str">
        <f>'Revenues 9-14'!A87</f>
        <v>Rentals - Other (Describe &amp; Itemize)</v>
      </c>
      <c r="E98" s="739"/>
      <c r="F98" s="1793">
        <f>'Revenues 9-14'!C87</f>
        <v>6425</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12058</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0</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24533</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1574</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4524</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118512</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0</v>
      </c>
      <c r="G121" s="763"/>
    </row>
    <row r="122" spans="1:7" x14ac:dyDescent="0.2">
      <c r="A122" s="760" t="s">
        <v>496</v>
      </c>
      <c r="B122" s="760" t="s">
        <v>1925</v>
      </c>
      <c r="C122" s="761">
        <f>'Revenues 9-14'!B168</f>
        <v>3999</v>
      </c>
      <c r="D122" s="762" t="s">
        <v>539</v>
      </c>
      <c r="E122" s="764"/>
      <c r="F122" s="1793">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264079</v>
      </c>
      <c r="G126" s="763"/>
    </row>
    <row r="127" spans="1:7" x14ac:dyDescent="0.2">
      <c r="A127" s="760" t="s">
        <v>662</v>
      </c>
      <c r="B127" s="760" t="s">
        <v>1930</v>
      </c>
      <c r="C127" s="765">
        <v>4300</v>
      </c>
      <c r="D127" s="766" t="str">
        <f>'Revenues 9-14'!A204</f>
        <v>Total Title I</v>
      </c>
      <c r="E127" s="739"/>
      <c r="F127" s="1793">
        <f>SUM('Revenues 9-14'!C204,'Revenues 9-14'!D204,'Revenues 9-14'!F204,'Revenues 9-14'!G204)</f>
        <v>226206</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57959</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124320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4396</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109395</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1064089</v>
      </c>
    </row>
    <row r="176" spans="1:7" ht="12" customHeight="1" x14ac:dyDescent="0.2">
      <c r="A176" s="1443"/>
      <c r="B176" s="1453"/>
      <c r="C176" s="1454"/>
      <c r="D176" s="1455" t="s">
        <v>2013</v>
      </c>
      <c r="E176" s="1456"/>
      <c r="F176" s="1793">
        <f>'PCTC-OEPP 27-28'!F78-F175</f>
        <v>4065943</v>
      </c>
    </row>
    <row r="177" spans="1:9" ht="12" customHeight="1" x14ac:dyDescent="0.2">
      <c r="A177" s="1443"/>
      <c r="B177" s="1453"/>
      <c r="C177" s="1454"/>
      <c r="D177" s="1455" t="s">
        <v>1793</v>
      </c>
      <c r="E177" s="1456"/>
      <c r="F177" s="1793">
        <f>'Cap Outlay Deprec 26'!I18</f>
        <v>275383</v>
      </c>
    </row>
    <row r="178" spans="1:9" ht="12" customHeight="1" x14ac:dyDescent="0.2">
      <c r="A178" s="1443"/>
      <c r="B178" s="1453"/>
      <c r="C178" s="1454"/>
      <c r="D178" s="1455" t="s">
        <v>2014</v>
      </c>
      <c r="E178" s="1456"/>
      <c r="F178" s="1793">
        <f>F176+F177</f>
        <v>4341326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496.8</v>
      </c>
      <c r="G179" s="763"/>
      <c r="I179" s="701"/>
    </row>
    <row r="180" spans="1:9" ht="12" customHeight="1" thickBot="1" x14ac:dyDescent="0.25">
      <c r="A180" s="1443"/>
      <c r="B180" s="1457"/>
      <c r="C180" s="1454"/>
      <c r="D180" s="1455" t="s">
        <v>2016</v>
      </c>
      <c r="E180" s="1456" t="s">
        <v>1527</v>
      </c>
      <c r="F180" s="1798">
        <f>F178/F179</f>
        <v>8738.5789049919476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402" t="s">
        <v>1794</v>
      </c>
      <c r="B4" s="2403"/>
      <c r="C4" s="2403"/>
      <c r="D4" s="2403"/>
      <c r="E4" s="2403"/>
      <c r="F4" s="2404"/>
    </row>
    <row r="5" spans="1:6" x14ac:dyDescent="0.25">
      <c r="A5" s="2405"/>
      <c r="B5" s="2406"/>
      <c r="C5" s="2406"/>
      <c r="D5" s="2406"/>
      <c r="E5" s="2406"/>
      <c r="F5" s="2407"/>
    </row>
    <row r="6" spans="1:6" ht="18.75" x14ac:dyDescent="0.25">
      <c r="A6" s="1867" t="s">
        <v>1795</v>
      </c>
      <c r="B6" s="1868"/>
      <c r="C6" s="1869"/>
      <c r="D6" s="1869"/>
      <c r="E6" s="1869"/>
      <c r="F6" s="1870"/>
    </row>
    <row r="7" spans="1:6" ht="47.25" customHeight="1" x14ac:dyDescent="0.25">
      <c r="A7" s="2408" t="s">
        <v>1984</v>
      </c>
      <c r="B7" s="2409"/>
      <c r="C7" s="2409"/>
      <c r="D7" s="2409"/>
      <c r="E7" s="2409"/>
      <c r="F7" s="2410"/>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11" t="s">
        <v>1980</v>
      </c>
      <c r="B10" s="2412"/>
      <c r="C10" s="2412"/>
      <c r="D10" s="2412"/>
      <c r="E10" s="2412"/>
      <c r="F10" s="2413"/>
    </row>
    <row r="11" spans="1:6" ht="33" customHeight="1" x14ac:dyDescent="0.25">
      <c r="A11" s="2408" t="s">
        <v>1985</v>
      </c>
      <c r="B11" s="2409"/>
      <c r="C11" s="2409"/>
      <c r="D11" s="2409"/>
      <c r="E11" s="2409"/>
      <c r="F11" s="2410"/>
    </row>
    <row r="12" spans="1:6" ht="15" customHeight="1" x14ac:dyDescent="0.25">
      <c r="A12" s="1873" t="s">
        <v>1981</v>
      </c>
      <c r="B12" s="1874"/>
      <c r="C12" s="1875"/>
      <c r="D12" s="1875"/>
      <c r="E12" s="1875"/>
      <c r="F12" s="1876"/>
    </row>
    <row r="13" spans="1:6" ht="17.25" customHeight="1" x14ac:dyDescent="0.25">
      <c r="A13" s="2408" t="s">
        <v>1982</v>
      </c>
      <c r="B13" s="2409"/>
      <c r="C13" s="2409"/>
      <c r="D13" s="2409"/>
      <c r="E13" s="2409"/>
      <c r="F13" s="2410"/>
    </row>
    <row r="14" spans="1:6" ht="15" customHeight="1" x14ac:dyDescent="0.25">
      <c r="A14" s="1873" t="s">
        <v>1799</v>
      </c>
      <c r="B14" s="1874"/>
      <c r="C14" s="1875"/>
      <c r="D14" s="1875"/>
      <c r="E14" s="1875"/>
      <c r="F14" s="1876"/>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60" t="s">
        <v>2116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4" t="s">
        <v>1659</v>
      </c>
      <c r="B5" s="2415"/>
      <c r="C5" s="2415"/>
      <c r="D5" s="2415"/>
      <c r="E5" s="2415"/>
      <c r="F5" s="2415"/>
      <c r="G5" s="241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57964</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801">
        <v>29028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3159958</v>
      </c>
      <c r="F19" s="1802"/>
      <c r="G19" s="1804">
        <f>'Expenditures 15-22'!K33-SUM('Expenditures 15-22'!G33,'Expenditures 15-22'!I33)+'Expenditures 15-22'!D229</f>
        <v>3159958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59936</v>
      </c>
      <c r="F21" s="1805"/>
      <c r="G21" s="1808">
        <f>'Expenditures 15-22'!K42-SUM('Expenditures 15-22'!G42,'Expenditures 15-22'!I42)+'Expenditures 15-22'!K120-SUM('Expenditures 15-22'!G120,'Expenditures 15-22'!I120)+'Expenditures 15-22'!K180-SUM('Expenditures 15-22'!G180,'Expenditures 15-22'!I180)+'Expenditures 15-22'!D238</f>
        <v>59936</v>
      </c>
      <c r="H21" s="817"/>
      <c r="I21" s="157"/>
    </row>
    <row r="22" spans="1:9" s="542" customFormat="1" ht="12" customHeight="1" x14ac:dyDescent="0.2">
      <c r="A22" s="824" t="s">
        <v>559</v>
      </c>
      <c r="B22" s="825"/>
      <c r="C22" s="823">
        <v>2200</v>
      </c>
      <c r="D22" s="1805"/>
      <c r="E22" s="1807">
        <f>'Expenditures 15-22'!K47-SUM('Expenditures 15-22'!G47,'Expenditures 15-22'!I47)+'Expenditures 15-22'!D243</f>
        <v>222726</v>
      </c>
      <c r="F22" s="1805"/>
      <c r="G22" s="1808">
        <f>'Expenditures 15-22'!K47-SUM('Expenditures 15-22'!G47,'Expenditures 15-22'!I47)+'Expenditures 15-22'!D243</f>
        <v>222726</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493899</v>
      </c>
      <c r="F23" s="1805"/>
      <c r="G23" s="1807">
        <f>'Expenditures 15-22'!K53-SUM('Expenditures 15-22'!G53,'Expenditures 15-22'!I53)+'Expenditures 15-22'!D257+'Expenditures 15-22'!K330-SUM('Expenditures 15-22'!G330,'Expenditures 15-22'!I330)</f>
        <v>493899</v>
      </c>
      <c r="H23" s="817"/>
      <c r="I23" s="157"/>
    </row>
    <row r="24" spans="1:9" s="542" customFormat="1" ht="12" customHeight="1" x14ac:dyDescent="0.2">
      <c r="A24" s="824" t="s">
        <v>561</v>
      </c>
      <c r="B24" s="825"/>
      <c r="C24" s="823">
        <v>2400</v>
      </c>
      <c r="D24" s="1805"/>
      <c r="E24" s="1807">
        <f>'Expenditures 15-22'!K57-SUM('Expenditures 15-22'!G57,'Expenditures 15-22'!I57)+'Expenditures 15-22'!D261</f>
        <v>251356</v>
      </c>
      <c r="F24" s="1805"/>
      <c r="G24" s="1808">
        <f>'Expenditures 15-22'!K57-SUM('Expenditures 15-22'!G57,'Expenditures 15-22'!I57)+'Expenditures 15-22'!D261</f>
        <v>251356</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76191</v>
      </c>
      <c r="E27" s="1807">
        <f>E8</f>
        <v>0</v>
      </c>
      <c r="F27" s="1807">
        <f>'Expenditures 15-22'!K60-SUM('Expenditures 15-22'!G60,'Expenditures 15-22'!I60)+'Expenditures 15-22'!D264-E8</f>
        <v>76191</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471700</v>
      </c>
      <c r="F28" s="1809">
        <f>'Expenditures 15-22'!K61-SUM('Expenditures 15-22'!G61,'Expenditures 15-22'!I61)+'Expenditures 15-22'!K124-SUM('Expenditures 15-22'!G124,'Expenditures 15-22'!I124)+'Expenditures 15-22'!D266-E9</f>
        <v>471700</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217370</v>
      </c>
      <c r="F29" s="1805"/>
      <c r="G29" s="1808">
        <f>'Expenditures 15-22'!K62-SUM('Expenditures 15-22'!G62,'Expenditures 15-22'!I62)+'Expenditures 15-22'!K125-SUM('Expenditures 15-22'!G125,'Expenditures 15-22'!I125)+'Expenditures 15-22'!K182-SUM('Expenditures 15-22'!G182,'Expenditures 15-22'!I182)+'Expenditures 15-22'!D267</f>
        <v>217370</v>
      </c>
      <c r="H29" s="815"/>
    </row>
    <row r="30" spans="1:9" ht="12" customHeight="1" x14ac:dyDescent="0.2">
      <c r="A30" s="824" t="s">
        <v>100</v>
      </c>
      <c r="B30" s="827"/>
      <c r="C30" s="823">
        <v>2560</v>
      </c>
      <c r="D30" s="1805"/>
      <c r="E30" s="1807">
        <f>'Expenditures 15-22'!K63-SUM('Expenditures 15-22'!G63,'Expenditures 15-22'!I63)+'Expenditures 15-22'!D268-E10</f>
        <v>207158</v>
      </c>
      <c r="F30" s="1805"/>
      <c r="G30" s="1807">
        <f>'Expenditures 15-22'!K63-SUM('Expenditures 15-22'!G63,'Expenditures 15-22'!I63)+'Expenditures 15-22'!D268-E10</f>
        <v>207158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76191</v>
      </c>
      <c r="E41" s="1809">
        <f>SUM(E19:E40)</f>
        <v>5084103</v>
      </c>
      <c r="F41" s="1809">
        <f>SUM(F19:F39)</f>
        <v>547891</v>
      </c>
      <c r="G41" s="1809">
        <f>SUM(G19:G40)</f>
        <v>4612403</v>
      </c>
    </row>
    <row r="42" spans="1:7" x14ac:dyDescent="0.2">
      <c r="A42" s="817"/>
      <c r="B42" s="157"/>
      <c r="C42" s="831"/>
      <c r="D42" s="2417" t="s">
        <v>518</v>
      </c>
      <c r="E42" s="2418"/>
      <c r="F42" s="832" t="s">
        <v>519</v>
      </c>
      <c r="G42" s="833"/>
    </row>
    <row r="43" spans="1:7" ht="12" customHeight="1" x14ac:dyDescent="0.2">
      <c r="A43" s="817"/>
      <c r="B43" s="157"/>
      <c r="C43" s="831"/>
      <c r="D43" s="1458" t="s">
        <v>469</v>
      </c>
      <c r="E43" s="1810">
        <f>D41</f>
        <v>76191</v>
      </c>
      <c r="F43" s="1458" t="s">
        <v>469</v>
      </c>
      <c r="G43" s="1810">
        <f>F41</f>
        <v>547891</v>
      </c>
    </row>
    <row r="44" spans="1:7" ht="12" customHeight="1" x14ac:dyDescent="0.2">
      <c r="A44" s="817"/>
      <c r="B44" s="157"/>
      <c r="C44" s="831"/>
      <c r="D44" s="1458" t="s">
        <v>470</v>
      </c>
      <c r="E44" s="1810">
        <f>E41</f>
        <v>5084103</v>
      </c>
      <c r="F44" s="1458" t="s">
        <v>470</v>
      </c>
      <c r="G44" s="1810">
        <f>G41</f>
        <v>4612403</v>
      </c>
    </row>
    <row r="45" spans="1:7" ht="12" customHeight="1" x14ac:dyDescent="0.2">
      <c r="A45" s="817"/>
      <c r="B45" s="157"/>
      <c r="C45" s="157"/>
      <c r="D45" s="1459" t="s">
        <v>998</v>
      </c>
      <c r="E45" s="1811">
        <f>(E43/E44)</f>
        <v>1.4986124395984896E-2</v>
      </c>
      <c r="F45" s="1459" t="s">
        <v>998</v>
      </c>
      <c r="G45" s="1811">
        <f>(G43/G44)</f>
        <v>0.11878645469617465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5" t="s">
        <v>1362</v>
      </c>
      <c r="B1" s="2425"/>
      <c r="C1" s="2425"/>
      <c r="D1" s="2425"/>
      <c r="E1" s="2425"/>
      <c r="F1" s="2425"/>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6" t="s">
        <v>1528</v>
      </c>
      <c r="B5" s="2427"/>
      <c r="C5" s="2428"/>
      <c r="D5" s="2428"/>
      <c r="E5" s="2428"/>
      <c r="F5" s="2428"/>
      <c r="G5" s="1507"/>
      <c r="L5" s="1507"/>
      <c r="M5" s="1855"/>
      <c r="N5" s="1855"/>
      <c r="O5" s="1855"/>
    </row>
    <row r="6" spans="1:15" ht="12" customHeight="1" x14ac:dyDescent="0.25">
      <c r="A6" s="1480"/>
      <c r="B6" s="1481"/>
      <c r="C6" s="2429" t="str">
        <f>COVER!A17</f>
        <v xml:space="preserve">  Wethersfield CUSD 230</v>
      </c>
      <c r="D6" s="2429"/>
      <c r="E6" s="2429"/>
      <c r="F6" s="1482"/>
      <c r="G6" s="1507"/>
      <c r="L6" s="1507"/>
      <c r="M6" s="1855"/>
      <c r="N6" s="1855"/>
      <c r="O6" s="1855"/>
    </row>
    <row r="7" spans="1:15" ht="11.25" customHeight="1" thickBot="1" x14ac:dyDescent="0.3">
      <c r="A7" s="1480"/>
      <c r="B7" s="1481"/>
      <c r="C7" s="2430">
        <f>COVER!A13</f>
        <v>28037230026</v>
      </c>
      <c r="D7" s="2430"/>
      <c r="E7" s="2430"/>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t="s">
        <v>2091</v>
      </c>
      <c r="D11" s="1495" t="s">
        <v>2091</v>
      </c>
      <c r="E11" s="1496"/>
      <c r="F11" s="1497" t="s">
        <v>2117</v>
      </c>
      <c r="G11" s="1507"/>
      <c r="H11" s="1507">
        <f>IF(C11="X",5,0)</f>
        <v>5</v>
      </c>
      <c r="I11" s="1507">
        <f>IF(D11="X",5,0)</f>
        <v>5</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t="s">
        <v>2091</v>
      </c>
      <c r="D13" s="1495" t="s">
        <v>2091</v>
      </c>
      <c r="E13" s="1498"/>
      <c r="F13" s="1497" t="s">
        <v>2118</v>
      </c>
      <c r="G13" s="1507"/>
      <c r="H13" s="1507">
        <f t="shared" si="0"/>
        <v>5</v>
      </c>
      <c r="I13" s="1507">
        <f t="shared" si="1"/>
        <v>5</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t="s">
        <v>2091</v>
      </c>
      <c r="D15" s="1495" t="s">
        <v>2091</v>
      </c>
      <c r="E15" s="1498"/>
      <c r="F15" s="1497" t="s">
        <v>2119</v>
      </c>
      <c r="G15" s="1507"/>
      <c r="H15" s="1507">
        <f t="shared" si="0"/>
        <v>5</v>
      </c>
      <c r="I15" s="1507">
        <f t="shared" si="1"/>
        <v>5</v>
      </c>
      <c r="J15" s="1507">
        <f t="shared" si="2"/>
        <v>0</v>
      </c>
      <c r="L15" s="1507"/>
      <c r="M15" s="1855"/>
      <c r="N15" s="1855"/>
      <c r="O15" s="1855"/>
    </row>
    <row r="16" spans="1:15" ht="12" customHeight="1" x14ac:dyDescent="0.2">
      <c r="A16" s="1493" t="s">
        <v>1371</v>
      </c>
      <c r="B16" s="1494"/>
      <c r="C16" s="1495" t="s">
        <v>2091</v>
      </c>
      <c r="D16" s="1495" t="s">
        <v>2091</v>
      </c>
      <c r="E16" s="1498"/>
      <c r="F16" s="1497" t="s">
        <v>2120</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t="s">
        <v>2091</v>
      </c>
      <c r="D19" s="1495" t="s">
        <v>2091</v>
      </c>
      <c r="E19" s="1498"/>
      <c r="F19" s="1497" t="s">
        <v>2121</v>
      </c>
      <c r="G19" s="1507"/>
      <c r="H19" s="1507">
        <f t="shared" si="0"/>
        <v>5</v>
      </c>
      <c r="I19" s="1507">
        <f t="shared" si="1"/>
        <v>5</v>
      </c>
      <c r="J19" s="1507">
        <f t="shared" si="2"/>
        <v>0</v>
      </c>
      <c r="L19" s="1507"/>
      <c r="M19" s="1855"/>
      <c r="N19" s="1855"/>
      <c r="O19" s="1855"/>
    </row>
    <row r="20" spans="1:15" ht="12" customHeight="1" x14ac:dyDescent="0.2">
      <c r="A20" s="1493" t="s">
        <v>1510</v>
      </c>
      <c r="B20" s="1494"/>
      <c r="C20" s="1495" t="s">
        <v>2091</v>
      </c>
      <c r="D20" s="1495" t="s">
        <v>2091</v>
      </c>
      <c r="E20" s="1498"/>
      <c r="F20" s="1497" t="s">
        <v>2122</v>
      </c>
      <c r="G20" s="1507"/>
      <c r="H20" s="1507">
        <f t="shared" si="0"/>
        <v>5</v>
      </c>
      <c r="I20" s="1507">
        <f t="shared" si="1"/>
        <v>5</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t="s">
        <v>2091</v>
      </c>
      <c r="D22" s="1495" t="s">
        <v>2091</v>
      </c>
      <c r="E22" s="1498"/>
      <c r="F22" s="1497" t="s">
        <v>2123</v>
      </c>
      <c r="G22" s="1507"/>
      <c r="H22" s="1507">
        <f t="shared" si="0"/>
        <v>5</v>
      </c>
      <c r="I22" s="1507">
        <f t="shared" si="1"/>
        <v>5</v>
      </c>
      <c r="J22" s="1507">
        <f t="shared" si="2"/>
        <v>0</v>
      </c>
      <c r="L22" s="1507"/>
      <c r="M22" s="1855"/>
      <c r="N22" s="1855"/>
      <c r="O22" s="1855"/>
    </row>
    <row r="23" spans="1:15" ht="12" customHeight="1" x14ac:dyDescent="0.2">
      <c r="A23" s="1493" t="s">
        <v>1513</v>
      </c>
      <c r="B23" s="1494"/>
      <c r="C23" s="1495" t="s">
        <v>2091</v>
      </c>
      <c r="D23" s="1495" t="s">
        <v>2091</v>
      </c>
      <c r="E23" s="1498"/>
      <c r="F23" s="1497" t="s">
        <v>2124</v>
      </c>
      <c r="G23" s="1507"/>
      <c r="H23" s="1507">
        <f t="shared" si="0"/>
        <v>5</v>
      </c>
      <c r="I23" s="1507">
        <f t="shared" si="1"/>
        <v>5</v>
      </c>
      <c r="J23" s="1507">
        <f t="shared" si="2"/>
        <v>0</v>
      </c>
      <c r="L23" s="1507"/>
      <c r="M23" s="1855"/>
      <c r="N23" s="1855"/>
      <c r="O23" s="1855"/>
    </row>
    <row r="24" spans="1:15" ht="12" customHeight="1" x14ac:dyDescent="0.2">
      <c r="A24" s="1493" t="s">
        <v>1514</v>
      </c>
      <c r="B24" s="1494"/>
      <c r="C24" s="1495" t="s">
        <v>2091</v>
      </c>
      <c r="D24" s="1495" t="s">
        <v>2091</v>
      </c>
      <c r="E24" s="1498"/>
      <c r="F24" s="1497" t="s">
        <v>2125</v>
      </c>
      <c r="G24" s="1507"/>
      <c r="H24" s="1507">
        <f t="shared" si="0"/>
        <v>5</v>
      </c>
      <c r="I24" s="1507">
        <f t="shared" si="1"/>
        <v>5</v>
      </c>
      <c r="J24" s="1507">
        <f t="shared" si="2"/>
        <v>0</v>
      </c>
      <c r="L24" s="1507"/>
      <c r="M24" s="1855"/>
      <c r="N24" s="1855"/>
      <c r="O24" s="1855"/>
    </row>
    <row r="25" spans="1:15" ht="12" customHeight="1" x14ac:dyDescent="0.2">
      <c r="A25" s="1493" t="s">
        <v>1515</v>
      </c>
      <c r="B25" s="1494"/>
      <c r="C25" s="1495" t="s">
        <v>2091</v>
      </c>
      <c r="D25" s="1495" t="s">
        <v>2091</v>
      </c>
      <c r="E25" s="1498"/>
      <c r="F25" s="1497" t="s">
        <v>2126</v>
      </c>
      <c r="G25" s="1507"/>
      <c r="H25" s="1507">
        <f t="shared" si="0"/>
        <v>5</v>
      </c>
      <c r="I25" s="1507">
        <f t="shared" si="1"/>
        <v>5</v>
      </c>
      <c r="J25" s="1507">
        <f t="shared" si="2"/>
        <v>0</v>
      </c>
      <c r="L25" s="1507"/>
      <c r="M25" s="1855"/>
      <c r="N25" s="1855"/>
      <c r="O25" s="1855"/>
    </row>
    <row r="26" spans="1:15" ht="12" customHeight="1" x14ac:dyDescent="0.2">
      <c r="A26" s="1493" t="s">
        <v>1516</v>
      </c>
      <c r="B26" s="1494"/>
      <c r="C26" s="1495" t="s">
        <v>2091</v>
      </c>
      <c r="D26" s="1495" t="s">
        <v>2091</v>
      </c>
      <c r="E26" s="1498"/>
      <c r="F26" s="1497" t="s">
        <v>2086</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t="s">
        <v>2091</v>
      </c>
      <c r="D28" s="1495" t="s">
        <v>2091</v>
      </c>
      <c r="E28" s="1498"/>
      <c r="F28" s="1497" t="s">
        <v>2123</v>
      </c>
      <c r="G28" s="1507"/>
      <c r="H28" s="1507">
        <f t="shared" si="0"/>
        <v>5</v>
      </c>
      <c r="I28" s="1507">
        <f t="shared" si="1"/>
        <v>5</v>
      </c>
      <c r="J28" s="1507">
        <f t="shared" si="2"/>
        <v>0</v>
      </c>
      <c r="L28" s="1507"/>
      <c r="M28" s="1855"/>
      <c r="N28" s="1855"/>
      <c r="O28" s="1855"/>
    </row>
    <row r="29" spans="1:15" ht="12" customHeight="1" x14ac:dyDescent="0.2">
      <c r="A29" s="1493" t="s">
        <v>1519</v>
      </c>
      <c r="B29" s="1494"/>
      <c r="C29" s="1495" t="s">
        <v>2091</v>
      </c>
      <c r="D29" s="1495" t="s">
        <v>2091</v>
      </c>
      <c r="E29" s="1498"/>
      <c r="F29" s="1497" t="s">
        <v>2127</v>
      </c>
      <c r="G29" s="1507"/>
      <c r="H29" s="1507">
        <f t="shared" si="0"/>
        <v>5</v>
      </c>
      <c r="I29" s="1507">
        <f t="shared" si="1"/>
        <v>5</v>
      </c>
      <c r="J29" s="1507">
        <f t="shared" si="2"/>
        <v>0</v>
      </c>
      <c r="L29" s="1507"/>
      <c r="M29" s="1855"/>
      <c r="N29" s="1855"/>
      <c r="O29" s="1855"/>
    </row>
    <row r="30" spans="1:15" ht="12" customHeight="1" x14ac:dyDescent="0.2">
      <c r="A30" s="1493" t="s">
        <v>1520</v>
      </c>
      <c r="B30" s="1494"/>
      <c r="C30" s="1495" t="s">
        <v>2091</v>
      </c>
      <c r="D30" s="1495" t="s">
        <v>2091</v>
      </c>
      <c r="E30" s="1498"/>
      <c r="F30" s="1497" t="s">
        <v>2128</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2091</v>
      </c>
      <c r="D31" s="1495" t="s">
        <v>2091</v>
      </c>
      <c r="E31" s="1498"/>
      <c r="F31" s="1497" t="s">
        <v>2129</v>
      </c>
      <c r="G31" s="1507"/>
      <c r="H31" s="1507">
        <f t="shared" si="0"/>
        <v>5</v>
      </c>
      <c r="I31" s="1507">
        <f t="shared" si="1"/>
        <v>5</v>
      </c>
      <c r="J31" s="1507">
        <f t="shared" si="2"/>
        <v>0</v>
      </c>
      <c r="L31" s="1856"/>
      <c r="M31" s="1855"/>
      <c r="N31" s="1855"/>
      <c r="O31" s="1855"/>
    </row>
    <row r="32" spans="1:15" ht="12" customHeight="1" x14ac:dyDescent="0.2">
      <c r="A32" s="1493" t="s">
        <v>1522</v>
      </c>
      <c r="B32" s="1494"/>
      <c r="C32" s="1495" t="s">
        <v>2091</v>
      </c>
      <c r="D32" s="1495" t="s">
        <v>2091</v>
      </c>
      <c r="E32" s="1498"/>
      <c r="F32" s="1497" t="s">
        <v>2130</v>
      </c>
      <c r="G32" s="1507"/>
      <c r="H32" s="1507">
        <f t="shared" si="0"/>
        <v>5</v>
      </c>
      <c r="I32" s="1507">
        <f t="shared" si="1"/>
        <v>5</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80</v>
      </c>
      <c r="I34" s="1507">
        <f>SUM(I11:I32)</f>
        <v>80</v>
      </c>
      <c r="J34" s="1507">
        <f>SUM(J11:J32)</f>
        <v>0</v>
      </c>
      <c r="K34" s="1507">
        <f>SUM(H34:J34)</f>
        <v>160</v>
      </c>
      <c r="L34" s="1507"/>
      <c r="M34" s="1855"/>
      <c r="N34" s="1855"/>
      <c r="O34" s="1855"/>
    </row>
    <row r="35" spans="1:15" ht="12" customHeight="1" x14ac:dyDescent="0.2">
      <c r="A35" s="1500" t="s">
        <v>1375</v>
      </c>
      <c r="B35" s="1501"/>
      <c r="C35" s="2431"/>
      <c r="D35" s="2431"/>
      <c r="E35" s="2431"/>
      <c r="F35" s="2432"/>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36"/>
      <c r="B38" s="2437"/>
      <c r="C38" s="2437"/>
      <c r="D38" s="2437"/>
      <c r="E38" s="2437"/>
      <c r="F38" s="2438"/>
    </row>
    <row r="39" spans="1:15" ht="4.5" hidden="1" customHeight="1" x14ac:dyDescent="0.2">
      <c r="A39" s="1502"/>
      <c r="B39" s="1502"/>
      <c r="C39" s="1502"/>
      <c r="D39" s="1502"/>
      <c r="E39" s="1502"/>
      <c r="F39" s="1502"/>
    </row>
    <row r="40" spans="1:15" s="1499" customFormat="1" ht="12" customHeight="1" x14ac:dyDescent="0.25">
      <c r="A40" s="1503" t="s">
        <v>1374</v>
      </c>
      <c r="B40" s="1504"/>
      <c r="C40" s="2439"/>
      <c r="D40" s="2439"/>
      <c r="E40" s="2439"/>
      <c r="F40" s="2440"/>
      <c r="H40" s="1508"/>
      <c r="I40" s="1508"/>
      <c r="J40" s="1508"/>
      <c r="K40" s="1508"/>
    </row>
    <row r="41" spans="1:15" s="1499" customFormat="1" ht="12" customHeight="1" x14ac:dyDescent="0.25">
      <c r="A41" s="2441"/>
      <c r="B41" s="2442"/>
      <c r="C41" s="2442"/>
      <c r="D41" s="2442"/>
      <c r="E41" s="2442"/>
      <c r="F41" s="2443"/>
      <c r="H41" s="1508"/>
      <c r="I41" s="1508"/>
      <c r="J41" s="1508"/>
      <c r="K41" s="1508"/>
    </row>
    <row r="42" spans="1:15" s="1499" customFormat="1" ht="12" customHeight="1" x14ac:dyDescent="0.25">
      <c r="A42" s="2441"/>
      <c r="B42" s="2442"/>
      <c r="C42" s="2442"/>
      <c r="D42" s="2442"/>
      <c r="E42" s="2442"/>
      <c r="F42" s="2443"/>
      <c r="H42" s="1508"/>
      <c r="I42" s="1508"/>
      <c r="J42" s="1508"/>
      <c r="K42" s="1508"/>
    </row>
    <row r="43" spans="1:15" s="1499" customFormat="1" ht="15" x14ac:dyDescent="0.25">
      <c r="A43" s="2433"/>
      <c r="B43" s="2434"/>
      <c r="C43" s="2434"/>
      <c r="D43" s="2434"/>
      <c r="E43" s="2434"/>
      <c r="F43" s="2435"/>
      <c r="H43" s="1508"/>
      <c r="I43" s="1508"/>
      <c r="J43" s="1508"/>
      <c r="K43" s="1508"/>
    </row>
    <row r="44" spans="1:15" s="1499" customFormat="1" ht="12" hidden="1" customHeight="1" x14ac:dyDescent="0.25">
      <c r="A44" s="2433"/>
      <c r="B44" s="2434"/>
      <c r="C44" s="2434"/>
      <c r="D44" s="2434"/>
      <c r="E44" s="2434"/>
      <c r="F44" s="243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401</v>
      </c>
      <c r="H1" s="1997"/>
      <c r="I1" s="1981"/>
      <c r="J1" s="1981"/>
      <c r="K1" s="1981"/>
      <c r="L1" s="1981"/>
      <c r="M1" s="1981"/>
      <c r="N1" s="1982"/>
    </row>
    <row r="2" spans="1:14" x14ac:dyDescent="0.2">
      <c r="A2" s="1998"/>
      <c r="B2" s="838"/>
      <c r="C2" s="838"/>
      <c r="D2" s="838"/>
      <c r="E2" s="838"/>
      <c r="F2" s="838"/>
      <c r="G2" s="1924" t="s">
        <v>2001</v>
      </c>
      <c r="H2" s="1921"/>
      <c r="I2" s="838"/>
      <c r="J2" s="838"/>
      <c r="K2" s="838"/>
      <c r="L2" s="838"/>
      <c r="M2" s="838"/>
      <c r="N2" s="1999"/>
    </row>
    <row r="3" spans="1:14" x14ac:dyDescent="0.2">
      <c r="A3" s="1998"/>
      <c r="B3" s="838"/>
      <c r="C3" s="838"/>
      <c r="D3" s="838"/>
      <c r="E3" s="838"/>
      <c r="F3" s="838"/>
      <c r="G3" s="1924" t="s">
        <v>402</v>
      </c>
      <c r="H3" s="838"/>
      <c r="I3" s="838"/>
      <c r="J3" s="838"/>
      <c r="K3" s="838"/>
      <c r="L3" s="838"/>
      <c r="M3" s="838"/>
      <c r="N3" s="1999"/>
    </row>
    <row r="4" spans="1:14" x14ac:dyDescent="0.2">
      <c r="A4" s="1998"/>
      <c r="B4" s="838"/>
      <c r="C4" s="838"/>
      <c r="D4" s="838"/>
      <c r="E4" s="838"/>
      <c r="F4" s="838"/>
      <c r="G4" s="1924" t="s">
        <v>862</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666</v>
      </c>
      <c r="B6" s="1377"/>
      <c r="C6" s="1377"/>
      <c r="D6" s="1377"/>
      <c r="E6" s="1378"/>
      <c r="F6" s="1923"/>
      <c r="G6" s="1924"/>
      <c r="H6" s="838"/>
      <c r="I6" s="1925" t="s">
        <v>1020</v>
      </c>
      <c r="J6" s="2445" t="str">
        <f>COVER!A17</f>
        <v xml:space="preserve">  Wethersfield CUSD 230</v>
      </c>
      <c r="K6" s="2445"/>
      <c r="L6" s="2446"/>
      <c r="M6" s="838"/>
      <c r="N6" s="1999"/>
    </row>
    <row r="7" spans="1:14" x14ac:dyDescent="0.2">
      <c r="A7" s="2447" t="s">
        <v>863</v>
      </c>
      <c r="B7" s="2448"/>
      <c r="C7" s="2448"/>
      <c r="D7" s="2448"/>
      <c r="E7" s="2449"/>
      <c r="F7" s="839"/>
      <c r="G7" s="838"/>
      <c r="H7" s="838"/>
      <c r="I7" s="1925" t="s">
        <v>368</v>
      </c>
      <c r="J7" s="2450">
        <f>COVER!A13</f>
        <v>28037230026</v>
      </c>
      <c r="K7" s="2450"/>
      <c r="L7" s="245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2017</v>
      </c>
      <c r="F9" s="1857"/>
      <c r="G9" s="1857"/>
      <c r="H9" s="1857"/>
      <c r="I9" s="1930" t="s">
        <v>2018</v>
      </c>
      <c r="J9" s="1857"/>
      <c r="K9" s="1857"/>
      <c r="L9" s="1858"/>
      <c r="M9" s="838"/>
      <c r="N9" s="1999"/>
    </row>
    <row r="10" spans="1:14" x14ac:dyDescent="0.2">
      <c r="A10" s="2003"/>
      <c r="B10" s="1931"/>
      <c r="C10" s="1932"/>
      <c r="D10" s="1933"/>
      <c r="E10" s="1934" t="s">
        <v>421</v>
      </c>
      <c r="F10" s="1935" t="s">
        <v>422</v>
      </c>
      <c r="G10" s="1936" t="s">
        <v>428</v>
      </c>
      <c r="H10" s="1937"/>
      <c r="I10" s="1935" t="s">
        <v>421</v>
      </c>
      <c r="J10" s="1935" t="s">
        <v>422</v>
      </c>
      <c r="K10" s="1936" t="s">
        <v>428</v>
      </c>
      <c r="L10" s="1935"/>
      <c r="M10" s="838"/>
      <c r="N10" s="1999"/>
    </row>
    <row r="11" spans="1:14" ht="51" x14ac:dyDescent="0.2">
      <c r="A11" s="2451" t="s">
        <v>477</v>
      </c>
      <c r="B11" s="2452"/>
      <c r="C11" s="2453"/>
      <c r="D11" s="1938" t="s">
        <v>865</v>
      </c>
      <c r="E11" s="1938" t="s">
        <v>64</v>
      </c>
      <c r="F11" s="1938" t="s">
        <v>6</v>
      </c>
      <c r="G11" s="1939" t="s">
        <v>2019</v>
      </c>
      <c r="H11" s="1940" t="s">
        <v>155</v>
      </c>
      <c r="I11" s="1938" t="s">
        <v>64</v>
      </c>
      <c r="J11" s="1938" t="s">
        <v>6</v>
      </c>
      <c r="K11" s="1939" t="s">
        <v>2000</v>
      </c>
      <c r="L11" s="1940" t="s">
        <v>155</v>
      </c>
      <c r="M11" s="838"/>
      <c r="N11" s="1999"/>
    </row>
    <row r="12" spans="1:14" x14ac:dyDescent="0.2">
      <c r="A12" s="2004">
        <v>1</v>
      </c>
      <c r="B12" s="1941" t="s">
        <v>812</v>
      </c>
      <c r="C12" s="842"/>
      <c r="D12" s="1942">
        <v>2320</v>
      </c>
      <c r="E12" s="1945">
        <f>'Expenditures 15-22'!K50</f>
        <v>200685</v>
      </c>
      <c r="F12" s="1943"/>
      <c r="G12" s="1969">
        <f>G68</f>
        <v>14310</v>
      </c>
      <c r="H12" s="1945">
        <f t="shared" ref="H12:H18" si="0">SUM(E12:G12)</f>
        <v>214995</v>
      </c>
      <c r="I12" s="1944">
        <v>208030</v>
      </c>
      <c r="J12" s="1943"/>
      <c r="K12" s="1944">
        <v>14740</v>
      </c>
      <c r="L12" s="1945">
        <f t="shared" ref="L12:L18" si="1">SUM(I12:K12)</f>
        <v>222770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1058</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1050</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4" t="s">
        <v>7</v>
      </c>
      <c r="C18" s="2455"/>
      <c r="D18" s="2456"/>
      <c r="E18" s="1947"/>
      <c r="F18" s="1947"/>
      <c r="G18" s="1944"/>
      <c r="H18" s="1948">
        <f t="shared" si="0"/>
        <v>0</v>
      </c>
      <c r="I18" s="1944"/>
      <c r="J18" s="1944"/>
      <c r="K18" s="1944"/>
      <c r="L18" s="1945">
        <f t="shared" si="1"/>
        <v>0</v>
      </c>
      <c r="M18" s="838"/>
      <c r="N18" s="1999"/>
    </row>
    <row r="19" spans="1:14" ht="13.5" thickBot="1" x14ac:dyDescent="0.25">
      <c r="A19" s="2004">
        <v>8</v>
      </c>
      <c r="B19" s="1949" t="s">
        <v>1150</v>
      </c>
      <c r="C19" s="838"/>
      <c r="D19" s="1950"/>
      <c r="E19" s="1951">
        <f t="shared" ref="E19:L19" si="2">SUM(E12:E17)-E18</f>
        <v>200685</v>
      </c>
      <c r="F19" s="1951">
        <f t="shared" si="2"/>
        <v>0</v>
      </c>
      <c r="G19" s="1951">
        <f t="shared" ref="G19" si="3">SUM(G12:G17)-G18</f>
        <v>14310</v>
      </c>
      <c r="H19" s="1951">
        <f t="shared" si="2"/>
        <v>214995</v>
      </c>
      <c r="I19" s="1951">
        <f t="shared" si="2"/>
        <v>208030</v>
      </c>
      <c r="J19" s="1951">
        <f t="shared" si="2"/>
        <v>0</v>
      </c>
      <c r="K19" s="1951">
        <f t="shared" si="2"/>
        <v>14740</v>
      </c>
      <c r="L19" s="1951">
        <f t="shared" si="2"/>
        <v>222770</v>
      </c>
      <c r="M19" s="838"/>
      <c r="N19" s="1999"/>
    </row>
    <row r="20" spans="1:14" ht="13.5" thickTop="1" x14ac:dyDescent="0.2">
      <c r="A20" s="2004">
        <v>9</v>
      </c>
      <c r="B20" s="2457" t="s">
        <v>2020</v>
      </c>
      <c r="C20" s="2457"/>
      <c r="D20" s="2458"/>
      <c r="E20" s="1952"/>
      <c r="F20" s="1952"/>
      <c r="G20" s="1952"/>
      <c r="H20" s="1952"/>
      <c r="I20" s="1952"/>
      <c r="J20" s="1952"/>
      <c r="K20" s="1952"/>
      <c r="L20" s="1953">
        <f>IF(AND(H19&gt;0,L19&gt;0),(((L19-H19)/H19)),"Enter Budget Data")</f>
        <v>3.6163631712365404E-2</v>
      </c>
      <c r="M20" s="838"/>
      <c r="N20" s="1999"/>
    </row>
    <row r="21" spans="1:14" x14ac:dyDescent="0.2">
      <c r="A21" s="2006" t="s">
        <v>194</v>
      </c>
      <c r="B21" s="2007" t="s">
        <v>2045</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2021</v>
      </c>
      <c r="B24" s="2011"/>
      <c r="C24" s="2012"/>
      <c r="D24" s="2012"/>
      <c r="E24" s="2012"/>
      <c r="F24" s="2012"/>
      <c r="G24" s="2012"/>
      <c r="H24" s="2012"/>
      <c r="I24" s="2012"/>
      <c r="J24" s="2012"/>
      <c r="K24" s="2012"/>
      <c r="L24" s="838"/>
      <c r="M24" s="838"/>
      <c r="N24" s="1999"/>
    </row>
    <row r="25" spans="1:14" x14ac:dyDescent="0.2">
      <c r="A25" s="2010" t="s">
        <v>2022</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59"/>
      <c r="D27" s="2459"/>
      <c r="E27" s="843"/>
      <c r="F27" s="2460"/>
      <c r="G27" s="2460"/>
      <c r="H27" s="2460"/>
      <c r="I27" s="838"/>
      <c r="J27" s="838"/>
      <c r="K27" s="838"/>
      <c r="L27" s="838"/>
      <c r="M27" s="838"/>
      <c r="N27" s="1999"/>
    </row>
    <row r="28" spans="1:14" x14ac:dyDescent="0.2">
      <c r="A28" s="1998"/>
      <c r="B28" s="2008"/>
      <c r="C28" s="1958" t="s">
        <v>1025</v>
      </c>
      <c r="D28" s="844"/>
      <c r="E28" s="1959"/>
      <c r="F28" s="2461" t="s">
        <v>1491</v>
      </c>
      <c r="G28" s="2461"/>
      <c r="H28" s="2461"/>
      <c r="I28" s="838"/>
      <c r="J28" s="838"/>
      <c r="K28" s="838"/>
      <c r="L28" s="838"/>
      <c r="M28" s="838"/>
      <c r="N28" s="1999"/>
    </row>
    <row r="29" spans="1:14" x14ac:dyDescent="0.2">
      <c r="A29" s="1998"/>
      <c r="B29" s="2008"/>
      <c r="C29" s="2462"/>
      <c r="D29" s="2462"/>
      <c r="E29" s="845"/>
      <c r="F29" s="2462"/>
      <c r="G29" s="2462"/>
      <c r="H29" s="2462"/>
      <c r="I29" s="838"/>
      <c r="J29" s="838"/>
      <c r="K29" s="838"/>
      <c r="L29" s="838"/>
      <c r="M29" s="838"/>
      <c r="N29" s="1999"/>
    </row>
    <row r="30" spans="1:14" x14ac:dyDescent="0.2">
      <c r="A30" s="1998"/>
      <c r="B30" s="2008"/>
      <c r="C30" s="1961" t="s">
        <v>1543</v>
      </c>
      <c r="D30" s="838"/>
      <c r="E30" s="1960"/>
      <c r="F30" s="2444" t="s">
        <v>1492</v>
      </c>
      <c r="G30" s="2444"/>
      <c r="H30" s="244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1026</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65" t="s">
        <v>2023</v>
      </c>
      <c r="D34" s="2466"/>
      <c r="E34" s="2466"/>
      <c r="F34" s="2466"/>
      <c r="G34" s="2466"/>
      <c r="H34" s="2466"/>
      <c r="I34" s="2466"/>
      <c r="J34" s="2466"/>
      <c r="K34" s="2017"/>
      <c r="L34" s="838"/>
      <c r="M34" s="838"/>
      <c r="N34" s="1999"/>
    </row>
    <row r="35" spans="1:14" x14ac:dyDescent="0.2">
      <c r="A35" s="1998"/>
      <c r="B35" s="838"/>
      <c r="C35" s="2466"/>
      <c r="D35" s="2466"/>
      <c r="E35" s="2466"/>
      <c r="F35" s="2466"/>
      <c r="G35" s="2466"/>
      <c r="H35" s="2466"/>
      <c r="I35" s="2466"/>
      <c r="J35" s="2466"/>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65" t="s">
        <v>2024</v>
      </c>
      <c r="D37" s="2466"/>
      <c r="E37" s="2466"/>
      <c r="F37" s="2466"/>
      <c r="G37" s="2466"/>
      <c r="H37" s="2466"/>
      <c r="I37" s="2466"/>
      <c r="J37" s="2466"/>
      <c r="K37" s="2017"/>
      <c r="L37" s="2019"/>
      <c r="M37" s="838"/>
      <c r="N37" s="1999"/>
    </row>
    <row r="38" spans="1:14" x14ac:dyDescent="0.2">
      <c r="A38" s="1998"/>
      <c r="B38" s="838"/>
      <c r="C38" s="2466"/>
      <c r="D38" s="2466"/>
      <c r="E38" s="2466"/>
      <c r="F38" s="2466"/>
      <c r="G38" s="2466"/>
      <c r="H38" s="2466"/>
      <c r="I38" s="2466"/>
      <c r="J38" s="2466"/>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67" t="s">
        <v>2025</v>
      </c>
      <c r="D40" s="2468"/>
      <c r="E40" s="2468"/>
      <c r="F40" s="2468"/>
      <c r="G40" s="2468"/>
      <c r="H40" s="2468"/>
      <c r="I40" s="2468"/>
      <c r="J40" s="2468"/>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69" t="s">
        <v>2026</v>
      </c>
      <c r="B43" s="2470"/>
      <c r="C43" s="2470"/>
      <c r="D43" s="2470"/>
      <c r="E43" s="2470"/>
      <c r="F43" s="2470"/>
      <c r="G43" s="2470"/>
      <c r="H43" s="2470"/>
      <c r="I43" s="2470"/>
      <c r="J43" s="2470"/>
      <c r="K43" s="2470"/>
      <c r="L43" s="2470"/>
      <c r="M43" s="2470"/>
      <c r="N43" s="2471"/>
    </row>
    <row r="44" spans="1:14" x14ac:dyDescent="0.2">
      <c r="A44" s="1983"/>
      <c r="B44" s="1984"/>
      <c r="C44" s="1984"/>
      <c r="D44" s="1984"/>
      <c r="E44" s="1984"/>
      <c r="F44" s="1984"/>
      <c r="G44" s="1984"/>
      <c r="H44" s="1984"/>
      <c r="I44" s="1984"/>
      <c r="J44" s="1984"/>
      <c r="K44" s="1984"/>
      <c r="L44" s="1984"/>
      <c r="M44" s="1984"/>
      <c r="N44" s="1985"/>
    </row>
    <row r="45" spans="1:14" x14ac:dyDescent="0.2">
      <c r="A45" s="1983" t="s">
        <v>2027</v>
      </c>
      <c r="B45" s="1984"/>
      <c r="C45" s="1984"/>
      <c r="D45" s="1984"/>
      <c r="E45" s="1984"/>
      <c r="F45" s="1984"/>
      <c r="G45" s="1984"/>
      <c r="H45" s="1984"/>
      <c r="I45" s="1984"/>
      <c r="J45" s="1984"/>
      <c r="K45" s="1984"/>
      <c r="L45" s="1984"/>
      <c r="M45" s="1984"/>
      <c r="N45" s="1985"/>
    </row>
    <row r="46" spans="1:14" x14ac:dyDescent="0.2">
      <c r="A46" s="2472" t="s">
        <v>2028</v>
      </c>
      <c r="B46" s="2473"/>
      <c r="C46" s="2473"/>
      <c r="D46" s="2473"/>
      <c r="E46" s="2473"/>
      <c r="F46" s="2473"/>
      <c r="G46" s="2473"/>
      <c r="H46" s="2473"/>
      <c r="I46" s="2473"/>
      <c r="J46" s="2473"/>
      <c r="K46" s="2473"/>
      <c r="L46" s="2473"/>
      <c r="M46" s="2473"/>
      <c r="N46" s="2474"/>
    </row>
    <row r="47" spans="1:14" x14ac:dyDescent="0.2">
      <c r="A47" s="2472"/>
      <c r="B47" s="2473"/>
      <c r="C47" s="2473"/>
      <c r="D47" s="2473"/>
      <c r="E47" s="2473"/>
      <c r="F47" s="2473"/>
      <c r="G47" s="2473"/>
      <c r="H47" s="2473"/>
      <c r="I47" s="2473"/>
      <c r="J47" s="2473"/>
      <c r="K47" s="2473"/>
      <c r="L47" s="2473"/>
      <c r="M47" s="2473"/>
      <c r="N47" s="2474"/>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2044</v>
      </c>
      <c r="B49" s="2025"/>
      <c r="C49" s="2025"/>
      <c r="D49" s="2026"/>
      <c r="E49" s="2026"/>
      <c r="F49" s="2026"/>
      <c r="G49" s="2026"/>
      <c r="H49" s="2026"/>
      <c r="I49" s="2026"/>
      <c r="J49" s="2026"/>
      <c r="K49" s="2026"/>
      <c r="L49" s="2026"/>
      <c r="M49" s="2026"/>
      <c r="N49" s="2027"/>
    </row>
    <row r="50" spans="1:14" ht="15" x14ac:dyDescent="0.25">
      <c r="A50" s="2029" t="s">
        <v>2043</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1020</v>
      </c>
      <c r="L52" s="2445" t="str">
        <f>J6</f>
        <v xml:space="preserve">  Wethersfield CUSD 230</v>
      </c>
      <c r="M52" s="2445"/>
      <c r="N52" s="2475"/>
    </row>
    <row r="53" spans="1:14" x14ac:dyDescent="0.2">
      <c r="A53" s="1983"/>
      <c r="B53" s="1984"/>
      <c r="C53" s="1984"/>
      <c r="D53" s="1984"/>
      <c r="E53" s="1984"/>
      <c r="F53" s="1984"/>
      <c r="G53" s="1984"/>
      <c r="H53" s="1984"/>
      <c r="I53" s="1984"/>
      <c r="J53" s="1984"/>
      <c r="K53" s="1925" t="s">
        <v>368</v>
      </c>
      <c r="L53" s="2450">
        <f>J7</f>
        <v>28037230026</v>
      </c>
      <c r="M53" s="2450"/>
      <c r="N53" s="2476"/>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77"/>
      <c r="B55" s="2478"/>
      <c r="C55" s="2478"/>
      <c r="D55" s="1971"/>
      <c r="E55" s="1971"/>
      <c r="F55" s="1971"/>
      <c r="G55" s="2479" t="s">
        <v>2029</v>
      </c>
      <c r="H55" s="2479"/>
      <c r="I55" s="2479"/>
      <c r="J55" s="2479"/>
      <c r="K55" s="2479"/>
      <c r="L55" s="2479"/>
      <c r="M55" s="2479"/>
      <c r="N55" s="2480"/>
    </row>
    <row r="56" spans="1:14" ht="63.75" x14ac:dyDescent="0.2">
      <c r="A56" s="2481" t="s">
        <v>2030</v>
      </c>
      <c r="B56" s="2482"/>
      <c r="C56" s="2483"/>
      <c r="D56" s="1965" t="s">
        <v>2031</v>
      </c>
      <c r="E56" s="1965" t="s">
        <v>2032</v>
      </c>
      <c r="F56" s="1972"/>
      <c r="G56" s="1965" t="s">
        <v>2033</v>
      </c>
      <c r="H56" s="1965" t="s">
        <v>2034</v>
      </c>
      <c r="I56" s="1965" t="s">
        <v>2035</v>
      </c>
      <c r="J56" s="1965" t="s">
        <v>2036</v>
      </c>
      <c r="K56" s="1965" t="s">
        <v>2037</v>
      </c>
      <c r="L56" s="1965" t="s">
        <v>2038</v>
      </c>
      <c r="M56" s="1965" t="s">
        <v>2039</v>
      </c>
      <c r="N56" s="1966" t="s">
        <v>2046</v>
      </c>
    </row>
    <row r="57" spans="1:14" ht="24.75" customHeight="1" x14ac:dyDescent="0.2">
      <c r="A57" s="2484" t="s">
        <v>295</v>
      </c>
      <c r="B57" s="2485"/>
      <c r="C57" s="2485"/>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63" t="s">
        <v>2040</v>
      </c>
      <c r="B58" s="2464"/>
      <c r="C58" s="2464"/>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86" t="s">
        <v>296</v>
      </c>
      <c r="B59" s="2487"/>
      <c r="C59" s="2487"/>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86" t="s">
        <v>236</v>
      </c>
      <c r="B60" s="2487"/>
      <c r="C60" s="2487"/>
      <c r="D60" s="1968">
        <v>2364</v>
      </c>
      <c r="E60" s="1978">
        <f>'Expenditures 15-22'!K322</f>
        <v>38568</v>
      </c>
      <c r="F60" s="1973"/>
      <c r="G60" s="2032"/>
      <c r="H60" s="2033"/>
      <c r="I60" s="2033"/>
      <c r="J60" s="2033"/>
      <c r="K60" s="2033"/>
      <c r="L60" s="2033"/>
      <c r="M60" s="2033">
        <v>38568</v>
      </c>
      <c r="N60" s="1976">
        <f t="shared" ref="N60:N67" si="4">IF((SUM(G60:M60))=E60,SUM(G60:M60),"Column N does not agree with Column E")</f>
        <v>38568</v>
      </c>
    </row>
    <row r="61" spans="1:14" ht="24.75" customHeight="1" x14ac:dyDescent="0.2">
      <c r="A61" s="2486" t="s">
        <v>696</v>
      </c>
      <c r="B61" s="2487"/>
      <c r="C61" s="2487"/>
      <c r="D61" s="1968">
        <v>2365</v>
      </c>
      <c r="E61" s="1978">
        <f>'Expenditures 15-22'!K323</f>
        <v>42580</v>
      </c>
      <c r="F61" s="1973"/>
      <c r="G61" s="2032"/>
      <c r="H61" s="2033"/>
      <c r="I61" s="2033"/>
      <c r="J61" s="2033"/>
      <c r="K61" s="2033"/>
      <c r="L61" s="2033"/>
      <c r="M61" s="2033">
        <v>42580</v>
      </c>
      <c r="N61" s="1976">
        <f t="shared" si="4"/>
        <v>42580</v>
      </c>
    </row>
    <row r="62" spans="1:14" ht="24" customHeight="1" x14ac:dyDescent="0.2">
      <c r="A62" s="2486" t="s">
        <v>237</v>
      </c>
      <c r="B62" s="2487"/>
      <c r="C62" s="2487"/>
      <c r="D62" s="1968">
        <v>2366</v>
      </c>
      <c r="E62" s="1978">
        <f>'Expenditures 15-22'!K324</f>
        <v>0</v>
      </c>
      <c r="F62" s="1973"/>
      <c r="G62" s="2032"/>
      <c r="H62" s="2033"/>
      <c r="I62" s="2033"/>
      <c r="J62" s="2033"/>
      <c r="K62" s="2033"/>
      <c r="L62" s="2033"/>
      <c r="M62" s="2033"/>
      <c r="N62" s="1976">
        <f t="shared" si="4"/>
        <v>0</v>
      </c>
    </row>
    <row r="63" spans="1:14" ht="24" customHeight="1" x14ac:dyDescent="0.2">
      <c r="A63" s="2463" t="s">
        <v>1021</v>
      </c>
      <c r="B63" s="2464"/>
      <c r="C63" s="2464"/>
      <c r="D63" s="1968">
        <v>2367</v>
      </c>
      <c r="E63" s="1978">
        <f>'Expenditures 15-22'!K325</f>
        <v>172764</v>
      </c>
      <c r="F63" s="1973"/>
      <c r="G63" s="2032">
        <v>14310</v>
      </c>
      <c r="H63" s="2033"/>
      <c r="I63" s="2033"/>
      <c r="J63" s="2033"/>
      <c r="K63" s="2033"/>
      <c r="L63" s="2033"/>
      <c r="M63" s="2033">
        <f>E63-14310</f>
        <v>158454</v>
      </c>
      <c r="N63" s="1976">
        <f t="shared" si="4"/>
        <v>172764</v>
      </c>
    </row>
    <row r="64" spans="1:14" ht="24" customHeight="1" x14ac:dyDescent="0.2">
      <c r="A64" s="2486" t="s">
        <v>1022</v>
      </c>
      <c r="B64" s="2487"/>
      <c r="C64" s="2487"/>
      <c r="D64" s="1968">
        <v>2368</v>
      </c>
      <c r="E64" s="1978">
        <f>'Expenditures 15-22'!K326</f>
        <v>0</v>
      </c>
      <c r="F64" s="1973"/>
      <c r="G64" s="2032"/>
      <c r="H64" s="2033"/>
      <c r="I64" s="2033"/>
      <c r="J64" s="2033"/>
      <c r="K64" s="2033"/>
      <c r="L64" s="2033"/>
      <c r="M64" s="2033"/>
      <c r="N64" s="1976">
        <f t="shared" si="4"/>
        <v>0</v>
      </c>
    </row>
    <row r="65" spans="1:14" ht="24" customHeight="1" x14ac:dyDescent="0.2">
      <c r="A65" s="2486" t="s">
        <v>964</v>
      </c>
      <c r="B65" s="2487"/>
      <c r="C65" s="2487"/>
      <c r="D65" s="1968">
        <v>2369</v>
      </c>
      <c r="E65" s="1978">
        <f>'Expenditures 15-22'!K327</f>
        <v>5391</v>
      </c>
      <c r="F65" s="1973"/>
      <c r="G65" s="2032"/>
      <c r="H65" s="2033"/>
      <c r="I65" s="2033"/>
      <c r="J65" s="2033"/>
      <c r="K65" s="2033"/>
      <c r="L65" s="2033"/>
      <c r="M65" s="2033">
        <v>5391</v>
      </c>
      <c r="N65" s="1976">
        <f t="shared" si="4"/>
        <v>5391</v>
      </c>
    </row>
    <row r="66" spans="1:14" ht="24" customHeight="1" x14ac:dyDescent="0.2">
      <c r="A66" s="2486" t="s">
        <v>468</v>
      </c>
      <c r="B66" s="2487"/>
      <c r="C66" s="2487"/>
      <c r="D66" s="1968">
        <v>2371</v>
      </c>
      <c r="E66" s="1978">
        <f>'Expenditures 15-22'!K328</f>
        <v>0</v>
      </c>
      <c r="F66" s="1973"/>
      <c r="G66" s="2032"/>
      <c r="H66" s="2033"/>
      <c r="I66" s="2033"/>
      <c r="J66" s="2033"/>
      <c r="K66" s="2033"/>
      <c r="L66" s="2033"/>
      <c r="M66" s="2033"/>
      <c r="N66" s="1976">
        <f t="shared" si="4"/>
        <v>0</v>
      </c>
    </row>
    <row r="67" spans="1:14" ht="24.75" customHeight="1" x14ac:dyDescent="0.2">
      <c r="A67" s="2488" t="s">
        <v>2041</v>
      </c>
      <c r="B67" s="2489"/>
      <c r="C67" s="2489"/>
      <c r="D67" s="1970">
        <v>2372</v>
      </c>
      <c r="E67" s="1979">
        <f>'Expenditures 15-22'!K329</f>
        <v>0</v>
      </c>
      <c r="F67" s="1973"/>
      <c r="G67" s="2034"/>
      <c r="H67" s="2035"/>
      <c r="I67" s="2035"/>
      <c r="J67" s="2035"/>
      <c r="K67" s="2035"/>
      <c r="L67" s="2035"/>
      <c r="M67" s="2035"/>
      <c r="N67" s="1976">
        <f t="shared" si="4"/>
        <v>0</v>
      </c>
    </row>
    <row r="68" spans="1:14" x14ac:dyDescent="0.2">
      <c r="A68" s="2490" t="s">
        <v>1150</v>
      </c>
      <c r="B68" s="2491"/>
      <c r="C68" s="2491"/>
      <c r="D68" s="1971"/>
      <c r="E68" s="1975">
        <f>SUM(E57:E67)</f>
        <v>259303</v>
      </c>
      <c r="F68" s="1974"/>
      <c r="G68" s="1975">
        <f t="shared" ref="G68:N68" si="5">SUM(G57:G67)</f>
        <v>14310</v>
      </c>
      <c r="H68" s="1975">
        <f t="shared" si="5"/>
        <v>0</v>
      </c>
      <c r="I68" s="1975">
        <f t="shared" si="5"/>
        <v>0</v>
      </c>
      <c r="J68" s="1975">
        <f t="shared" si="5"/>
        <v>0</v>
      </c>
      <c r="K68" s="1975">
        <f t="shared" si="5"/>
        <v>0</v>
      </c>
      <c r="L68" s="1975">
        <f t="shared" si="5"/>
        <v>0</v>
      </c>
      <c r="M68" s="1975">
        <f t="shared" si="5"/>
        <v>244993</v>
      </c>
      <c r="N68" s="1989">
        <f t="shared" si="5"/>
        <v>259303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2042</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2131</v>
      </c>
    </row>
    <row r="6" spans="1:2" x14ac:dyDescent="0.2">
      <c r="A6" s="847">
        <v>2</v>
      </c>
      <c r="B6" s="307" t="s">
        <v>2132</v>
      </c>
    </row>
    <row r="7" spans="1:2" x14ac:dyDescent="0.2">
      <c r="A7" s="847">
        <v>3</v>
      </c>
      <c r="B7" s="307" t="s">
        <v>2133</v>
      </c>
    </row>
    <row r="8" spans="1:2" x14ac:dyDescent="0.2">
      <c r="A8" s="847">
        <v>4</v>
      </c>
      <c r="B8" s="307" t="s">
        <v>2134</v>
      </c>
    </row>
    <row r="9" spans="1:2" x14ac:dyDescent="0.2">
      <c r="A9" s="2061">
        <v>5</v>
      </c>
      <c r="B9" s="307" t="s">
        <v>2135</v>
      </c>
    </row>
    <row r="10" spans="1:2" x14ac:dyDescent="0.2">
      <c r="A10" s="2061">
        <v>6</v>
      </c>
      <c r="B10" s="307" t="s">
        <v>2136</v>
      </c>
    </row>
    <row r="11" spans="1:2" x14ac:dyDescent="0.2">
      <c r="A11" s="2061">
        <v>7</v>
      </c>
      <c r="B11" s="307" t="s">
        <v>2139</v>
      </c>
    </row>
    <row r="12" spans="1:2" x14ac:dyDescent="0.2">
      <c r="A12" s="848">
        <v>8</v>
      </c>
      <c r="B12" s="307" t="s">
        <v>2140</v>
      </c>
    </row>
    <row r="13" spans="1:2" x14ac:dyDescent="0.2">
      <c r="A13" s="848">
        <v>9</v>
      </c>
      <c r="B13" s="307" t="s">
        <v>2141</v>
      </c>
    </row>
    <row r="14" spans="1:2" x14ac:dyDescent="0.2">
      <c r="A14" s="2061">
        <v>10</v>
      </c>
      <c r="B14" s="307" t="s">
        <v>2142</v>
      </c>
    </row>
    <row r="15" spans="1:2" x14ac:dyDescent="0.2">
      <c r="A15" s="2061">
        <v>11</v>
      </c>
      <c r="B15" s="307" t="s">
        <v>2137</v>
      </c>
    </row>
    <row r="16" spans="1:2" x14ac:dyDescent="0.2">
      <c r="A16" s="2061">
        <v>12</v>
      </c>
      <c r="B16" s="307" t="s">
        <v>2138</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Wethersfield CUSD 230</v>
      </c>
    </row>
    <row r="65" spans="2:2" x14ac:dyDescent="0.2">
      <c r="B65" s="849">
        <f>COVER!A13</f>
        <v>28037230026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78" t="s">
        <v>1055</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685</v>
      </c>
      <c r="B40" s="2175"/>
      <c r="C40" s="2175"/>
      <c r="D40" s="2175"/>
      <c r="E40" s="2175"/>
    </row>
    <row r="41" spans="1:5" x14ac:dyDescent="0.2">
      <c r="A41" s="2176" t="s">
        <v>1590</v>
      </c>
      <c r="B41" s="2176"/>
      <c r="C41" s="2176"/>
      <c r="D41" s="2176"/>
      <c r="E41" s="2176"/>
    </row>
    <row r="42" spans="1:5" ht="12.75" customHeight="1" x14ac:dyDescent="0.2">
      <c r="A42" s="2177" t="s">
        <v>1014</v>
      </c>
      <c r="B42" s="2177"/>
      <c r="C42" s="2177"/>
      <c r="D42" s="2177"/>
      <c r="E42" s="2177"/>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0" sqref="C2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92" t="s">
        <v>1664</v>
      </c>
      <c r="B18" s="249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1668</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53"/>
      <c r="H2" s="853"/>
    </row>
    <row r="3" spans="1:8" ht="57" customHeight="1" x14ac:dyDescent="0.2">
      <c r="A3" s="2506" t="s">
        <v>1971</v>
      </c>
      <c r="B3" s="2507"/>
      <c r="C3" s="2507"/>
      <c r="D3" s="2507"/>
      <c r="E3" s="2507"/>
      <c r="F3" s="2508"/>
      <c r="G3" s="853"/>
      <c r="H3" s="853"/>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53"/>
      <c r="H4" s="853"/>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53"/>
      <c r="H5" s="853"/>
    </row>
    <row r="6" spans="1:8" s="854" customFormat="1" ht="41.25" customHeight="1" x14ac:dyDescent="0.2">
      <c r="A6" s="2509" t="s">
        <v>1669</v>
      </c>
      <c r="B6" s="2510"/>
      <c r="C6" s="2510"/>
      <c r="D6" s="2510"/>
      <c r="E6" s="2510"/>
      <c r="F6" s="251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4917202</v>
      </c>
      <c r="C8" s="1813">
        <f>'Acct Summary 7-8'!D8</f>
        <v>445379</v>
      </c>
      <c r="D8" s="1813">
        <f>'Acct Summary 7-8'!F8</f>
        <v>248905</v>
      </c>
      <c r="E8" s="1813">
        <f>'Acct Summary 7-8'!I8</f>
        <v>30600</v>
      </c>
      <c r="F8" s="1813">
        <f>SUM(B8:E8)</f>
        <v>5642086</v>
      </c>
    </row>
    <row r="9" spans="1:8" s="858" customFormat="1" ht="14.25" customHeight="1" thickBot="1" x14ac:dyDescent="0.25">
      <c r="A9" s="857" t="s">
        <v>1352</v>
      </c>
      <c r="B9" s="1814">
        <f>'Acct Summary 7-8'!C17</f>
        <v>4791779</v>
      </c>
      <c r="C9" s="1814">
        <f>'Acct Summary 7-8'!D17</f>
        <v>435203</v>
      </c>
      <c r="D9" s="1814">
        <f>'Acct Summary 7-8'!F17</f>
        <v>270056</v>
      </c>
      <c r="E9" s="1813"/>
      <c r="F9" s="1813">
        <f>SUM(B9:E9)</f>
        <v>5497038</v>
      </c>
    </row>
    <row r="10" spans="1:8" s="858" customFormat="1" ht="14.25" thickTop="1" thickBot="1" x14ac:dyDescent="0.25">
      <c r="A10" s="859" t="s">
        <v>1353</v>
      </c>
      <c r="B10" s="1815">
        <f>(B8-B9)</f>
        <v>125423</v>
      </c>
      <c r="C10" s="1815">
        <f>(C8-C9)</f>
        <v>10176</v>
      </c>
      <c r="D10" s="1815">
        <f>(D8-D9)</f>
        <v>-21151</v>
      </c>
      <c r="E10" s="1814">
        <f>(E8-E9)</f>
        <v>30600</v>
      </c>
      <c r="F10" s="1816">
        <f>SUM(F8-F9)</f>
        <v>145048</v>
      </c>
    </row>
    <row r="11" spans="1:8" s="858" customFormat="1" ht="14.25" thickTop="1" thickBot="1" x14ac:dyDescent="0.25">
      <c r="A11" s="860" t="s">
        <v>1902</v>
      </c>
      <c r="B11" s="1817">
        <f>'Acct Summary 7-8'!C81</f>
        <v>1868941</v>
      </c>
      <c r="C11" s="1817">
        <f>'Acct Summary 7-8'!D81</f>
        <v>242371</v>
      </c>
      <c r="D11" s="1817">
        <f>'Acct Summary 7-8'!F81</f>
        <v>208017</v>
      </c>
      <c r="E11" s="1817">
        <f>'Acct Summary 7-8'!I81</f>
        <v>204164</v>
      </c>
      <c r="F11" s="1818">
        <f>SUM(B11:E11)</f>
        <v>2523493</v>
      </c>
    </row>
    <row r="12" spans="1:8" ht="16.5" customHeight="1" thickTop="1" x14ac:dyDescent="0.2">
      <c r="A12" s="861"/>
      <c r="B12" s="862"/>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63"/>
      <c r="B13" s="864"/>
      <c r="C13" s="2497"/>
      <c r="D13" s="2498"/>
      <c r="E13" s="2498"/>
      <c r="F13" s="2499"/>
      <c r="H13" s="853"/>
    </row>
    <row r="14" spans="1:8" ht="19.5" customHeight="1" x14ac:dyDescent="0.2">
      <c r="A14" s="863"/>
      <c r="B14" s="864"/>
      <c r="C14" s="2497"/>
      <c r="D14" s="2498"/>
      <c r="E14" s="2498"/>
      <c r="F14" s="2499"/>
      <c r="H14" s="853"/>
    </row>
    <row r="15" spans="1:8" ht="17.25" customHeight="1" x14ac:dyDescent="0.2">
      <c r="A15" s="863"/>
      <c r="B15" s="864"/>
      <c r="C15" s="2500"/>
      <c r="D15" s="2501"/>
      <c r="E15" s="2501"/>
      <c r="F15" s="2502"/>
      <c r="H15" s="853"/>
    </row>
    <row r="16" spans="1:8" s="288" customFormat="1" ht="51.75" hidden="1" customHeight="1" x14ac:dyDescent="0.2">
      <c r="A16" s="2496" t="s">
        <v>1665</v>
      </c>
      <c r="B16" s="2496"/>
      <c r="C16" s="2496"/>
      <c r="D16" s="2496"/>
      <c r="E16" s="249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8" t="s">
        <v>659</v>
      </c>
      <c r="B3" s="2519"/>
      <c r="C3" s="2519"/>
      <c r="D3" s="2520"/>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9" t="s">
        <v>1486</v>
      </c>
      <c r="D7" s="2530"/>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21" t="s">
        <v>1000</v>
      </c>
      <c r="B15" s="2522"/>
      <c r="C15" s="2522"/>
      <c r="D15" s="2523"/>
    </row>
    <row r="16" spans="1:4" s="542" customFormat="1" ht="24" customHeight="1" x14ac:dyDescent="0.2">
      <c r="A16" s="2524" t="s">
        <v>657</v>
      </c>
      <c r="B16" s="2525"/>
      <c r="C16" s="2525"/>
      <c r="D16" s="2526"/>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3" t="s">
        <v>310</v>
      </c>
      <c r="D21" s="2534"/>
    </row>
    <row r="22" spans="1:10" ht="12.75" x14ac:dyDescent="0.2">
      <c r="A22" s="918"/>
      <c r="B22" s="919">
        <v>2</v>
      </c>
      <c r="C22" s="2531" t="s">
        <v>1506</v>
      </c>
      <c r="D22" s="2532"/>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5" t="s">
        <v>532</v>
      </c>
      <c r="D43" s="253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7" t="s">
        <v>778</v>
      </c>
      <c r="D56" s="252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7" t="s">
        <v>1673</v>
      </c>
      <c r="D70" s="252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28037230026</v>
      </c>
      <c r="E2" s="1542">
        <v>2020</v>
      </c>
      <c r="F2" s="1542">
        <v>1</v>
      </c>
      <c r="G2" s="1899">
        <v>101000300</v>
      </c>
    </row>
    <row r="3" spans="1:7" ht="15" x14ac:dyDescent="0.25">
      <c r="A3" t="s">
        <v>949</v>
      </c>
      <c r="B3" s="135" t="str">
        <f>COVER!A15</f>
        <v>Henry</v>
      </c>
      <c r="E3" s="1830" t="s">
        <v>1970</v>
      </c>
      <c r="F3" s="1830" t="s">
        <v>1969</v>
      </c>
      <c r="G3" s="1899">
        <v>101000400</v>
      </c>
    </row>
    <row r="4" spans="1:7" ht="15" x14ac:dyDescent="0.25">
      <c r="A4" t="s">
        <v>999</v>
      </c>
      <c r="B4" s="135" t="str">
        <f>COVER!A17</f>
        <v xml:space="preserve">  Wethersfield CUSD 230</v>
      </c>
      <c r="E4" s="1828">
        <v>44119</v>
      </c>
      <c r="F4" s="1829">
        <v>44151</v>
      </c>
      <c r="G4" s="1899">
        <v>101000600</v>
      </c>
    </row>
    <row r="5" spans="1:7" ht="15" x14ac:dyDescent="0.25">
      <c r="A5" t="s">
        <v>698</v>
      </c>
      <c r="B5" s="135" t="str">
        <f>COVER!A38</f>
        <v>Shane Kazubowski</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Yes</v>
      </c>
      <c r="G14" s="1899">
        <v>402100300</v>
      </c>
    </row>
    <row r="15" spans="1:7" ht="15" x14ac:dyDescent="0.25">
      <c r="A15" t="s">
        <v>572</v>
      </c>
      <c r="B15" s="135" t="str">
        <f>COVER!T23</f>
        <v>066-005027</v>
      </c>
      <c r="G15" s="1899">
        <v>402100400</v>
      </c>
    </row>
    <row r="16" spans="1:7" ht="15" x14ac:dyDescent="0.25">
      <c r="A16" t="s">
        <v>418</v>
      </c>
      <c r="B16" s="135" t="str">
        <f>COVER!T13</f>
        <v>Gorenz and Associates, Ltd.</v>
      </c>
      <c r="G16" s="1899">
        <v>402100600</v>
      </c>
    </row>
    <row r="17" spans="1:7" ht="15" x14ac:dyDescent="0.25">
      <c r="A17" t="s">
        <v>877</v>
      </c>
      <c r="B17" s="135" t="str">
        <f>COVER!T15</f>
        <v>Tim C. Custis, CPA</v>
      </c>
      <c r="G17" s="1899">
        <v>402100800</v>
      </c>
    </row>
    <row r="18" spans="1:7" ht="15" x14ac:dyDescent="0.25">
      <c r="A18" t="s">
        <v>1139</v>
      </c>
      <c r="B18" s="135" t="str">
        <f>COVER!T17</f>
        <v>4200 N Knoxville Ave.</v>
      </c>
      <c r="G18" s="1899">
        <v>102200300</v>
      </c>
    </row>
    <row r="19" spans="1:7" ht="15" x14ac:dyDescent="0.25">
      <c r="A19" t="s">
        <v>879</v>
      </c>
      <c r="B19" s="135" t="str">
        <f>COVER!T25</f>
        <v>tcustis@gorenzcpa.com</v>
      </c>
      <c r="G19" s="1899">
        <v>102200400</v>
      </c>
    </row>
    <row r="20" spans="1:7" ht="15" x14ac:dyDescent="0.25">
      <c r="A20" t="s">
        <v>880</v>
      </c>
      <c r="B20" s="135" t="str">
        <f>COVER!T19</f>
        <v>Peoria</v>
      </c>
      <c r="G20" s="1899">
        <v>102200600</v>
      </c>
    </row>
    <row r="21" spans="1:7" ht="15" x14ac:dyDescent="0.25">
      <c r="A21" t="s">
        <v>475</v>
      </c>
      <c r="B21" s="135" t="str">
        <f>COVER!X19</f>
        <v>IL</v>
      </c>
      <c r="G21" s="1899">
        <v>102200800</v>
      </c>
    </row>
    <row r="22" spans="1:7" ht="15" x14ac:dyDescent="0.25">
      <c r="A22" t="s">
        <v>881</v>
      </c>
      <c r="B22" s="135">
        <f>COVER!Z19</f>
        <v>61614</v>
      </c>
      <c r="G22" s="1899">
        <v>102300300</v>
      </c>
    </row>
    <row r="23" spans="1:7" ht="15" x14ac:dyDescent="0.25">
      <c r="A23" t="s">
        <v>1141</v>
      </c>
      <c r="B23" s="135" t="str">
        <f>COVER!T21</f>
        <v>309-685-7621</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Yes</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709598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1868941</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1868941</v>
      </c>
      <c r="D92" s="2" t="str">
        <f t="shared" si="0"/>
        <v>Error?</v>
      </c>
      <c r="G92" s="1899">
        <v>102640600</v>
      </c>
    </row>
    <row r="93" spans="1:7" ht="15" x14ac:dyDescent="0.25">
      <c r="A93" s="5">
        <v>32</v>
      </c>
      <c r="B93" s="1832">
        <f>'Assets-Liab 5-6'!C41</f>
        <v>1868941</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16275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242371</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242371</v>
      </c>
      <c r="D123" s="2" t="str">
        <f t="shared" si="0"/>
        <v>Error?</v>
      </c>
      <c r="G123" s="1899">
        <v>203000400</v>
      </c>
    </row>
    <row r="124" spans="1:7" ht="15" x14ac:dyDescent="0.25">
      <c r="A124" s="5">
        <v>63</v>
      </c>
      <c r="B124" s="1832">
        <f>'Assets-Liab 5-6'!D41</f>
        <v>242371</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273178</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607588</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487909</v>
      </c>
      <c r="D140" s="2" t="str">
        <f t="shared" si="1"/>
        <v>Error?</v>
      </c>
    </row>
    <row r="141" spans="1:7" x14ac:dyDescent="0.2">
      <c r="A141" s="5">
        <v>80</v>
      </c>
      <c r="B141" s="1832">
        <f>'Assets-Liab 5-6'!E41</f>
        <v>607588</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5996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208017</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208017</v>
      </c>
      <c r="D170" s="2" t="str">
        <f t="shared" si="1"/>
        <v>Error?</v>
      </c>
    </row>
    <row r="171" spans="1:4" x14ac:dyDescent="0.2">
      <c r="A171" s="5">
        <v>110</v>
      </c>
      <c r="B171" s="1832">
        <f>'Assets-Liab 5-6'!F41</f>
        <v>208017</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208414</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117197</v>
      </c>
      <c r="D189" s="2" t="str">
        <f t="shared" si="1"/>
        <v>Error?</v>
      </c>
    </row>
    <row r="190" spans="1:4" x14ac:dyDescent="0.2">
      <c r="A190" s="5">
        <v>129</v>
      </c>
      <c r="B190" s="1832">
        <f>'Assets-Liab 5-6'!G41</f>
        <v>208414</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92766</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42766</v>
      </c>
      <c r="D212" s="2" t="str">
        <f t="shared" si="2"/>
        <v>Error?</v>
      </c>
    </row>
    <row r="213" spans="1:4" x14ac:dyDescent="0.2">
      <c r="A213" s="12">
        <v>152</v>
      </c>
      <c r="B213" s="1832">
        <f>'Assets-Liab 5-6'!H41</f>
        <v>92766</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39570</v>
      </c>
      <c r="D273" s="2" t="str">
        <f t="shared" si="3"/>
        <v>Error?</v>
      </c>
    </row>
    <row r="274" spans="1:4" x14ac:dyDescent="0.2">
      <c r="A274" s="5">
        <v>213</v>
      </c>
      <c r="B274" s="1832">
        <f>'Assets-Liab 5-6'!M17</f>
        <v>6304695</v>
      </c>
      <c r="D274" s="2" t="str">
        <f t="shared" si="3"/>
        <v>Error?</v>
      </c>
    </row>
    <row r="275" spans="1:4" x14ac:dyDescent="0.2">
      <c r="A275" s="5">
        <v>214</v>
      </c>
      <c r="B275" s="1832">
        <f>'Assets-Liab 5-6'!M18</f>
        <v>1092019</v>
      </c>
      <c r="D275" s="2" t="str">
        <f t="shared" si="3"/>
        <v>Error?</v>
      </c>
    </row>
    <row r="276" spans="1:4" x14ac:dyDescent="0.2">
      <c r="A276" s="5">
        <v>215</v>
      </c>
      <c r="B276" s="1832">
        <f>'Assets-Liab 5-6'!M19</f>
        <v>1600306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9036590</v>
      </c>
      <c r="C279" s="2" t="s">
        <v>568</v>
      </c>
      <c r="D279" s="2" t="str">
        <f t="shared" si="3"/>
        <v>Error?</v>
      </c>
    </row>
    <row r="280" spans="1:4" x14ac:dyDescent="0.2">
      <c r="A280" s="5">
        <v>219</v>
      </c>
      <c r="B280" s="1832">
        <f>'Assets-Liab 5-6'!M40</f>
        <v>9036590</v>
      </c>
      <c r="D280" s="2" t="str">
        <f t="shared" si="3"/>
        <v>Error?</v>
      </c>
    </row>
    <row r="281" spans="1:4" x14ac:dyDescent="0.2">
      <c r="A281" s="5">
        <v>220</v>
      </c>
      <c r="B281" s="1832">
        <f>'Assets-Liab 5-6'!M41</f>
        <v>9036590</v>
      </c>
      <c r="C281" s="2" t="s">
        <v>568</v>
      </c>
      <c r="D281" s="2" t="str">
        <f t="shared" si="3"/>
        <v>Error?</v>
      </c>
    </row>
    <row r="282" spans="1:4" x14ac:dyDescent="0.2">
      <c r="A282" s="5">
        <v>221</v>
      </c>
      <c r="B282" s="1832">
        <f>'Assets-Liab 5-6'!N21</f>
        <v>607588</v>
      </c>
      <c r="D282" s="2" t="str">
        <f t="shared" si="3"/>
        <v>Error?</v>
      </c>
    </row>
    <row r="283" spans="1:4" x14ac:dyDescent="0.2">
      <c r="A283" s="5">
        <v>222</v>
      </c>
      <c r="B283" s="1832">
        <f>'Assets-Liab 5-6'!N22</f>
        <v>920161</v>
      </c>
      <c r="D283" s="2" t="str">
        <f t="shared" si="3"/>
        <v>Error?</v>
      </c>
    </row>
    <row r="284" spans="1:4" x14ac:dyDescent="0.2">
      <c r="A284" s="5">
        <v>223</v>
      </c>
      <c r="B284" s="1832">
        <f>'Assets-Liab 5-6'!N23</f>
        <v>1527749</v>
      </c>
      <c r="C284" s="2" t="s">
        <v>568</v>
      </c>
      <c r="D284" s="2" t="str">
        <f t="shared" si="3"/>
        <v>Error?</v>
      </c>
    </row>
    <row r="285" spans="1:4" x14ac:dyDescent="0.2">
      <c r="A285" s="5">
        <v>224</v>
      </c>
      <c r="B285" s="1832">
        <f>'Assets-Liab 5-6'!N36</f>
        <v>1527749</v>
      </c>
      <c r="D285" s="2" t="str">
        <f t="shared" si="3"/>
        <v>Error?</v>
      </c>
    </row>
    <row r="286" spans="1:4" x14ac:dyDescent="0.2">
      <c r="A286" s="10">
        <v>225</v>
      </c>
      <c r="B286" s="1832"/>
      <c r="D286" s="2" t="str">
        <f t="shared" si="3"/>
        <v>OK</v>
      </c>
    </row>
    <row r="287" spans="1:4" x14ac:dyDescent="0.2">
      <c r="A287" s="5">
        <v>226</v>
      </c>
      <c r="B287" s="1832">
        <f>'Assets-Liab 5-6'!N37</f>
        <v>1527749</v>
      </c>
      <c r="C287" s="2" t="s">
        <v>568</v>
      </c>
      <c r="D287" s="2" t="str">
        <f t="shared" si="3"/>
        <v>Error?</v>
      </c>
    </row>
    <row r="288" spans="1:4" x14ac:dyDescent="0.2">
      <c r="A288" s="5">
        <v>227</v>
      </c>
      <c r="B288" s="1832">
        <f>'Assets-Liab 5-6'!N41</f>
        <v>1527749</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1770997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83373</v>
      </c>
      <c r="D717" s="2" t="str">
        <f t="shared" si="10"/>
        <v>Error?</v>
      </c>
    </row>
    <row r="718" spans="1:4" x14ac:dyDescent="0.2">
      <c r="A718" s="5">
        <v>657</v>
      </c>
      <c r="B718" s="1832">
        <f>'Expenditures 15-22'!C14</f>
        <v>106102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2280137</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45202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45202</v>
      </c>
      <c r="C727" s="2" t="s">
        <v>568</v>
      </c>
      <c r="D727" s="2" t="str">
        <f t="shared" si="10"/>
        <v>Error?</v>
      </c>
    </row>
    <row r="728" spans="1:4" x14ac:dyDescent="0.2">
      <c r="A728" s="5">
        <v>667</v>
      </c>
      <c r="B728" s="1832">
        <f>'Expenditures 15-22'!C44</f>
        <v>2451</v>
      </c>
      <c r="D728" s="2" t="str">
        <f t="shared" si="10"/>
        <v>Error?</v>
      </c>
    </row>
    <row r="729" spans="1:4" x14ac:dyDescent="0.2">
      <c r="A729" s="5">
        <v>668</v>
      </c>
      <c r="B729" s="1832">
        <f>'Expenditures 15-22'!C45</f>
        <v>125958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128409</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144776</v>
      </c>
      <c r="D733" s="2" t="str">
        <f t="shared" si="10"/>
        <v>Error?</v>
      </c>
    </row>
    <row r="734" spans="1:4" x14ac:dyDescent="0.2">
      <c r="A734" s="5">
        <v>673</v>
      </c>
      <c r="B734" s="1832">
        <f>'Expenditures 15-22'!C53</f>
        <v>144776</v>
      </c>
      <c r="C734" s="2" t="s">
        <v>568</v>
      </c>
      <c r="D734" s="2" t="str">
        <f t="shared" si="10"/>
        <v>Error?</v>
      </c>
    </row>
    <row r="735" spans="1:4" x14ac:dyDescent="0.2">
      <c r="A735" s="5">
        <v>674</v>
      </c>
      <c r="B735" s="1832">
        <f>'Expenditures 15-22'!C55</f>
        <v>192453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192453</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50966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108772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159738</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670578</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2950715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460506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25237</v>
      </c>
      <c r="D775" s="2" t="str">
        <f t="shared" si="11"/>
        <v>Error?</v>
      </c>
    </row>
    <row r="776" spans="1:4" x14ac:dyDescent="0.2">
      <c r="A776" s="5">
        <v>715</v>
      </c>
      <c r="B776" s="1832">
        <f>'Expenditures 15-22'!D14</f>
        <v>1532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578450</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12623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12623</v>
      </c>
      <c r="C785" s="2" t="s">
        <v>568</v>
      </c>
      <c r="D785" s="2" t="str">
        <f t="shared" si="11"/>
        <v>Error?</v>
      </c>
    </row>
    <row r="786" spans="1:4" x14ac:dyDescent="0.2">
      <c r="A786" s="5">
        <v>725</v>
      </c>
      <c r="B786" s="1832">
        <f>'Expenditures 15-22'!D44</f>
        <v>516</v>
      </c>
      <c r="D786" s="2" t="str">
        <f t="shared" si="11"/>
        <v>Error?</v>
      </c>
    </row>
    <row r="787" spans="1:4" x14ac:dyDescent="0.2">
      <c r="A787" s="5">
        <v>726</v>
      </c>
      <c r="B787" s="1832">
        <f>'Expenditures 15-22'!D45</f>
        <v>25174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25690</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52999</v>
      </c>
      <c r="D791" s="2" t="str">
        <f t="shared" si="11"/>
        <v>Error?</v>
      </c>
    </row>
    <row r="792" spans="1:4" x14ac:dyDescent="0.2">
      <c r="A792" s="5">
        <v>731</v>
      </c>
      <c r="B792" s="1832">
        <f>'Expenditures 15-22'!D53</f>
        <v>52999</v>
      </c>
      <c r="C792" s="2" t="s">
        <v>568</v>
      </c>
      <c r="D792" s="2" t="str">
        <f t="shared" si="11"/>
        <v>Error?</v>
      </c>
    </row>
    <row r="793" spans="1:4" x14ac:dyDescent="0.2">
      <c r="A793" s="5">
        <v>732</v>
      </c>
      <c r="B793" s="1832">
        <f>'Expenditures 15-22'!D55</f>
        <v>47589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47589</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8718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16820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25538</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164439</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742889</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34857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24491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102356</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130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130</v>
      </c>
      <c r="C843" s="2" t="s">
        <v>568</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36942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36942</v>
      </c>
      <c r="C847" s="2" t="s">
        <v>568</v>
      </c>
      <c r="D847" s="2" t="str">
        <f t="shared" si="12"/>
        <v>Error?</v>
      </c>
    </row>
    <row r="848" spans="1:4" x14ac:dyDescent="0.2">
      <c r="A848" s="5">
        <v>787</v>
      </c>
      <c r="B848" s="1832">
        <f>'Expenditures 15-22'!E49</f>
        <v>15630</v>
      </c>
      <c r="D848" s="2" t="str">
        <f t="shared" si="12"/>
        <v>Error?</v>
      </c>
    </row>
    <row r="849" spans="1:4" x14ac:dyDescent="0.2">
      <c r="A849" s="5">
        <v>788</v>
      </c>
      <c r="B849" s="1832">
        <f>'Expenditures 15-22'!E50</f>
        <v>2092</v>
      </c>
      <c r="D849" s="2" t="str">
        <f t="shared" si="12"/>
        <v>Error?</v>
      </c>
    </row>
    <row r="850" spans="1:4" x14ac:dyDescent="0.2">
      <c r="A850" s="5">
        <v>789</v>
      </c>
      <c r="B850" s="1832">
        <f>'Expenditures 15-22'!E53</f>
        <v>17722</v>
      </c>
      <c r="C850" s="2" t="s">
        <v>568</v>
      </c>
      <c r="D850" s="2" t="str">
        <f t="shared" si="12"/>
        <v>Error?</v>
      </c>
    </row>
    <row r="851" spans="1:4" x14ac:dyDescent="0.2">
      <c r="A851" s="5">
        <v>790</v>
      </c>
      <c r="B851" s="1832">
        <f>'Expenditures 15-22'!E55</f>
        <v>494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494</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6404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2994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9398</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64686</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167042</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58858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16290</v>
      </c>
      <c r="D891" s="2" t="str">
        <f t="shared" si="12"/>
        <v>Error?</v>
      </c>
    </row>
    <row r="892" spans="1:4" x14ac:dyDescent="0.2">
      <c r="A892" s="5">
        <v>831</v>
      </c>
      <c r="B892" s="1832">
        <f>'Expenditures 15-22'!F14</f>
        <v>20219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117771</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1337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1337</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22795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22795</v>
      </c>
      <c r="C905" s="2" t="s">
        <v>568</v>
      </c>
      <c r="D905" s="2" t="str">
        <f t="shared" si="13"/>
        <v>Error?</v>
      </c>
    </row>
    <row r="906" spans="1:4" x14ac:dyDescent="0.2">
      <c r="A906" s="5">
        <v>845</v>
      </c>
      <c r="B906" s="1832">
        <f>'Expenditures 15-22'!F49</f>
        <v>280</v>
      </c>
      <c r="D906" s="2" t="str">
        <f t="shared" si="13"/>
        <v>Error?</v>
      </c>
    </row>
    <row r="907" spans="1:4" x14ac:dyDescent="0.2">
      <c r="A907" s="5">
        <v>846</v>
      </c>
      <c r="B907" s="1832">
        <f>'Expenditures 15-22'!F50</f>
        <v>328</v>
      </c>
      <c r="D907" s="2" t="str">
        <f t="shared" si="13"/>
        <v>Error?</v>
      </c>
    </row>
    <row r="908" spans="1:4" x14ac:dyDescent="0.2">
      <c r="A908" s="5">
        <v>847</v>
      </c>
      <c r="B908" s="1832">
        <f>'Expenditures 15-22'!F53</f>
        <v>608</v>
      </c>
      <c r="C908" s="2" t="s">
        <v>568</v>
      </c>
      <c r="D908" s="2" t="str">
        <f t="shared" si="13"/>
        <v>Error?</v>
      </c>
    </row>
    <row r="909" spans="1:4" x14ac:dyDescent="0.2">
      <c r="A909" s="5">
        <v>848</v>
      </c>
      <c r="B909" s="1832">
        <f>'Expenditures 15-22'!F55</f>
        <v>4270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4270</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2463</v>
      </c>
      <c r="D913" s="2" t="str">
        <f t="shared" si="13"/>
        <v>Error?</v>
      </c>
    </row>
    <row r="914" spans="1:4" x14ac:dyDescent="0.2">
      <c r="A914" s="5">
        <v>853</v>
      </c>
      <c r="B914" s="1832">
        <f>'Expenditures 15-22'!F61</f>
        <v>219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81194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83876</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112886</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230657</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799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9101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15450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106749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106749</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106749</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122199</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8038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20</v>
      </c>
      <c r="D1007" s="2" t="str">
        <f t="shared" si="14"/>
        <v>Error?</v>
      </c>
    </row>
    <row r="1008" spans="1:4" x14ac:dyDescent="0.2">
      <c r="A1008" s="5">
        <v>947</v>
      </c>
      <c r="B1008" s="1832">
        <f>'Expenditures 15-22'!H14</f>
        <v>12073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20131</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154</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154</v>
      </c>
      <c r="C1021" s="2" t="s">
        <v>568</v>
      </c>
      <c r="D1021" s="2" t="str">
        <f t="shared" si="14"/>
        <v>Error?</v>
      </c>
    </row>
    <row r="1022" spans="1:4" x14ac:dyDescent="0.2">
      <c r="A1022" s="5">
        <v>961</v>
      </c>
      <c r="B1022" s="1832">
        <f>'Expenditures 15-22'!H49</f>
        <v>4957</v>
      </c>
      <c r="D1022" s="2" t="str">
        <f t="shared" si="14"/>
        <v>Error?</v>
      </c>
    </row>
    <row r="1023" spans="1:4" x14ac:dyDescent="0.2">
      <c r="A1023" s="5">
        <v>962</v>
      </c>
      <c r="B1023" s="1832">
        <f>'Expenditures 15-22'!H50</f>
        <v>490</v>
      </c>
      <c r="D1023" s="2" t="str">
        <f t="shared" ref="D1023:D1086" si="15">IF(ISBLANK(B1023),"OK",IF(A1023-B1023=0,"OK","Error?"))</f>
        <v>Error?</v>
      </c>
    </row>
    <row r="1024" spans="1:4" x14ac:dyDescent="0.2">
      <c r="A1024" s="5">
        <v>963</v>
      </c>
      <c r="B1024" s="1832">
        <f>'Expenditures 15-22'!H53</f>
        <v>5447</v>
      </c>
      <c r="C1024" s="2" t="s">
        <v>568</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295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39935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40230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45831</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512315</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578277</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2334055</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124920</v>
      </c>
      <c r="C1105" s="2" t="s">
        <v>568</v>
      </c>
      <c r="D1105" s="2" t="str">
        <f t="shared" si="16"/>
        <v>Error?</v>
      </c>
    </row>
    <row r="1106" spans="1:4" x14ac:dyDescent="0.2">
      <c r="A1106" s="5">
        <v>1045</v>
      </c>
      <c r="B1106" s="1832">
        <f>'Expenditures 15-22'!K14</f>
        <v>173518</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3114295</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57825</v>
      </c>
      <c r="C1110" s="2" t="s">
        <v>568</v>
      </c>
      <c r="D1110" s="2" t="str">
        <f t="shared" si="16"/>
        <v>Error?</v>
      </c>
    </row>
    <row r="1111" spans="1:4" x14ac:dyDescent="0.2">
      <c r="A1111" s="5">
        <v>1050</v>
      </c>
      <c r="B1111" s="1832">
        <f>'Expenditures 15-22'!K38</f>
        <v>1467</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59292</v>
      </c>
      <c r="C1115" s="2" t="s">
        <v>568</v>
      </c>
      <c r="D1115" s="2" t="str">
        <f t="shared" si="16"/>
        <v>Error?</v>
      </c>
    </row>
    <row r="1116" spans="1:4" x14ac:dyDescent="0.2">
      <c r="A1116" s="5">
        <v>1055</v>
      </c>
      <c r="B1116" s="1832">
        <f>'Expenditures 15-22'!K44</f>
        <v>2967</v>
      </c>
      <c r="C1116" s="2" t="s">
        <v>568</v>
      </c>
      <c r="D1116" s="2" t="str">
        <f t="shared" si="16"/>
        <v>Error?</v>
      </c>
    </row>
    <row r="1117" spans="1:4" x14ac:dyDescent="0.2">
      <c r="A1117" s="5">
        <v>1056</v>
      </c>
      <c r="B1117" s="1832">
        <f>'Expenditures 15-22'!K45</f>
        <v>317772</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320739</v>
      </c>
      <c r="C1119" s="2" t="s">
        <v>568</v>
      </c>
      <c r="D1119" s="2" t="str">
        <f t="shared" si="16"/>
        <v>Error?</v>
      </c>
    </row>
    <row r="1120" spans="1:4" x14ac:dyDescent="0.2">
      <c r="A1120" s="5">
        <v>1059</v>
      </c>
      <c r="B1120" s="1832">
        <f>'Expenditures 15-22'!K49</f>
        <v>20867</v>
      </c>
      <c r="C1120" s="2" t="s">
        <v>568</v>
      </c>
      <c r="D1120" s="2" t="str">
        <f t="shared" si="16"/>
        <v>Error?</v>
      </c>
    </row>
    <row r="1121" spans="1:4" x14ac:dyDescent="0.2">
      <c r="A1121" s="5">
        <v>1060</v>
      </c>
      <c r="B1121" s="1832">
        <f>'Expenditures 15-22'!K50</f>
        <v>200685</v>
      </c>
      <c r="C1121" s="2" t="s">
        <v>568</v>
      </c>
      <c r="D1121" s="2" t="str">
        <f t="shared" si="16"/>
        <v>Error?</v>
      </c>
    </row>
    <row r="1122" spans="1:4" x14ac:dyDescent="0.2">
      <c r="A1122" s="5">
        <v>1061</v>
      </c>
      <c r="B1122" s="1832">
        <f>'Expenditures 15-22'!K53</f>
        <v>221552</v>
      </c>
      <c r="C1122" s="2" t="s">
        <v>568</v>
      </c>
      <c r="D1122" s="2" t="str">
        <f t="shared" si="16"/>
        <v>Error?</v>
      </c>
    </row>
    <row r="1123" spans="1:4" x14ac:dyDescent="0.2">
      <c r="A1123" s="5">
        <v>1062</v>
      </c>
      <c r="B1123" s="1832">
        <f>'Expenditures 15-22'!K55</f>
        <v>244806</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244806</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68846</v>
      </c>
      <c r="C1127" s="2" t="s">
        <v>568</v>
      </c>
      <c r="D1127" s="2" t="str">
        <f t="shared" si="16"/>
        <v>Error?</v>
      </c>
    </row>
    <row r="1128" spans="1:4" x14ac:dyDescent="0.2">
      <c r="A1128" s="5">
        <v>1067</v>
      </c>
      <c r="B1128" s="1832">
        <f>'Expenditures 15-22'!K61</f>
        <v>219</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249715</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318780</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1165169</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512315</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4791779</v>
      </c>
      <c r="C1152" s="2" t="s">
        <v>568</v>
      </c>
      <c r="D1152" s="2" t="str">
        <f t="shared" si="17"/>
        <v>Error?</v>
      </c>
    </row>
    <row r="1153" spans="1:4" x14ac:dyDescent="0.2">
      <c r="A1153" s="5">
        <v>1092</v>
      </c>
      <c r="B1153" s="1832">
        <f>'Expenditures 15-22'!K115</f>
        <v>125423</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194538</v>
      </c>
      <c r="D1221" s="2" t="str">
        <f t="shared" si="18"/>
        <v>Error?</v>
      </c>
    </row>
    <row r="1222" spans="1:4" x14ac:dyDescent="0.2">
      <c r="A1222" s="10">
        <v>1161</v>
      </c>
      <c r="B1222" s="1832"/>
      <c r="D1222" s="2" t="str">
        <f t="shared" si="18"/>
        <v>OK</v>
      </c>
    </row>
    <row r="1223" spans="1:4" x14ac:dyDescent="0.2">
      <c r="A1223" s="5">
        <v>1162</v>
      </c>
      <c r="B1223" s="1832">
        <f>'Expenditures 15-22'!C127</f>
        <v>194538</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194538</v>
      </c>
      <c r="C1225" s="2" t="s">
        <v>568</v>
      </c>
      <c r="D1225" s="2" t="str">
        <f t="shared" si="18"/>
        <v>Error?</v>
      </c>
    </row>
    <row r="1226" spans="1:4" x14ac:dyDescent="0.2">
      <c r="A1226" s="5">
        <v>1165</v>
      </c>
      <c r="B1226" s="1832">
        <f>'Expenditures 15-22'!C151</f>
        <v>194538</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42378</v>
      </c>
      <c r="D1229" s="2" t="str">
        <f t="shared" si="18"/>
        <v>Error?</v>
      </c>
    </row>
    <row r="1230" spans="1:4" x14ac:dyDescent="0.2">
      <c r="A1230" s="10">
        <v>1169</v>
      </c>
      <c r="B1230" s="1832"/>
      <c r="D1230" s="2" t="str">
        <f t="shared" si="18"/>
        <v>OK</v>
      </c>
    </row>
    <row r="1231" spans="1:4" x14ac:dyDescent="0.2">
      <c r="A1231" s="5">
        <v>1170</v>
      </c>
      <c r="B1231" s="1832">
        <f>'Expenditures 15-22'!D127</f>
        <v>42378</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42378</v>
      </c>
      <c r="C1233" s="2" t="s">
        <v>568</v>
      </c>
      <c r="D1233" s="2" t="str">
        <f t="shared" si="18"/>
        <v>Error?</v>
      </c>
    </row>
    <row r="1234" spans="1:4" x14ac:dyDescent="0.2">
      <c r="A1234" s="5">
        <v>1173</v>
      </c>
      <c r="B1234" s="1832">
        <f>'Expenditures 15-22'!D151</f>
        <v>42378</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165993</v>
      </c>
      <c r="D1237" s="2" t="str">
        <f t="shared" si="18"/>
        <v>Error?</v>
      </c>
    </row>
    <row r="1238" spans="1:4" x14ac:dyDescent="0.2">
      <c r="A1238" s="10">
        <v>1177</v>
      </c>
      <c r="B1238" s="1832"/>
      <c r="D1238" s="2" t="str">
        <f t="shared" si="18"/>
        <v>OK</v>
      </c>
    </row>
    <row r="1239" spans="1:4" x14ac:dyDescent="0.2">
      <c r="A1239" s="5">
        <v>1178</v>
      </c>
      <c r="B1239" s="1832">
        <f>'Expenditures 15-22'!E127</f>
        <v>165993</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165993</v>
      </c>
      <c r="C1241" s="2" t="s">
        <v>568</v>
      </c>
      <c r="D1241" s="2" t="str">
        <f t="shared" si="18"/>
        <v>Error?</v>
      </c>
    </row>
    <row r="1242" spans="1:4" x14ac:dyDescent="0.2">
      <c r="A1242" s="5">
        <v>1181</v>
      </c>
      <c r="B1242" s="1832">
        <f>'Expenditures 15-22'!E151</f>
        <v>165993</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29319</v>
      </c>
      <c r="D1245" s="2" t="str">
        <f t="shared" si="18"/>
        <v>Error?</v>
      </c>
    </row>
    <row r="1246" spans="1:4" x14ac:dyDescent="0.2">
      <c r="A1246" s="10">
        <v>1185</v>
      </c>
      <c r="B1246" s="1832"/>
      <c r="D1246" s="2" t="str">
        <f t="shared" si="18"/>
        <v>OK</v>
      </c>
    </row>
    <row r="1247" spans="1:4" x14ac:dyDescent="0.2">
      <c r="A1247" s="5">
        <v>1186</v>
      </c>
      <c r="B1247" s="1832">
        <f>'Expenditures 15-22'!F127</f>
        <v>29319</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29319</v>
      </c>
      <c r="C1249" s="2" t="s">
        <v>568</v>
      </c>
      <c r="D1249" s="2" t="str">
        <f t="shared" si="18"/>
        <v>Error?</v>
      </c>
    </row>
    <row r="1250" spans="1:4" x14ac:dyDescent="0.2">
      <c r="A1250" s="5">
        <v>1189</v>
      </c>
      <c r="B1250" s="1832">
        <f>'Expenditures 15-22'!F151</f>
        <v>29319</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2975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2975</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2975</v>
      </c>
      <c r="C1258" s="2" t="s">
        <v>568</v>
      </c>
      <c r="D1258" s="2" t="str">
        <f t="shared" si="18"/>
        <v>Error?</v>
      </c>
    </row>
    <row r="1259" spans="1:4" x14ac:dyDescent="0.2">
      <c r="A1259" s="5">
        <v>1198</v>
      </c>
      <c r="B1259" s="1832">
        <f>'Expenditures 15-22'!G151</f>
        <v>2975</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435203</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435203</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435203</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435203</v>
      </c>
      <c r="C1288" s="2" t="s">
        <v>568</v>
      </c>
      <c r="D1288" s="2" t="str">
        <f t="shared" si="19"/>
        <v>Error?</v>
      </c>
    </row>
    <row r="1289" spans="1:4" x14ac:dyDescent="0.2">
      <c r="A1289" s="5">
        <v>1228</v>
      </c>
      <c r="B1289" s="1832">
        <f>'Expenditures 15-22'!K152</f>
        <v>10176</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500</v>
      </c>
      <c r="D1307" s="2" t="str">
        <f t="shared" si="19"/>
        <v>Error?</v>
      </c>
    </row>
    <row r="1308" spans="1:4" x14ac:dyDescent="0.2">
      <c r="A1308" s="5">
        <v>1247</v>
      </c>
      <c r="B1308" s="1832">
        <f>'Expenditures 15-22'!E172</f>
        <v>500</v>
      </c>
      <c r="C1308" s="2" t="s">
        <v>568</v>
      </c>
      <c r="D1308" s="2" t="str">
        <f t="shared" si="19"/>
        <v>Error?</v>
      </c>
    </row>
    <row r="1309" spans="1:4" x14ac:dyDescent="0.2">
      <c r="A1309" s="5">
        <v>1248</v>
      </c>
      <c r="B1309" s="1832">
        <f>'Expenditures 15-22'!E174</f>
        <v>500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28581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332182</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360763</v>
      </c>
      <c r="C1317" s="2" t="s">
        <v>568</v>
      </c>
      <c r="D1317" s="2" t="str">
        <f t="shared" si="19"/>
        <v>Error?</v>
      </c>
    </row>
    <row r="1318" spans="1:4" x14ac:dyDescent="0.2">
      <c r="A1318" s="5">
        <v>1257</v>
      </c>
      <c r="B1318" s="1832">
        <f>'Expenditures 15-22'!H174</f>
        <v>360763</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28581</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332182</v>
      </c>
      <c r="C1329" s="2" t="s">
        <v>568</v>
      </c>
      <c r="D1329" s="2" t="str">
        <f t="shared" si="19"/>
        <v>Error?</v>
      </c>
    </row>
    <row r="1330" spans="1:4" x14ac:dyDescent="0.2">
      <c r="A1330" s="5">
        <v>1269</v>
      </c>
      <c r="B1330" s="1832">
        <f>'Expenditures 15-22'!K171</f>
        <v>500</v>
      </c>
      <c r="C1330" s="2" t="s">
        <v>568</v>
      </c>
      <c r="D1330" s="2" t="str">
        <f t="shared" si="19"/>
        <v>Error?</v>
      </c>
    </row>
    <row r="1331" spans="1:4" x14ac:dyDescent="0.2">
      <c r="A1331" s="5">
        <v>1270</v>
      </c>
      <c r="B1331" s="1832">
        <f>'Expenditures 15-22'!K172</f>
        <v>361263</v>
      </c>
      <c r="C1331" s="2" t="s">
        <v>568</v>
      </c>
      <c r="D1331" s="2" t="str">
        <f t="shared" si="19"/>
        <v>Error?</v>
      </c>
    </row>
    <row r="1332" spans="1:4" x14ac:dyDescent="0.2">
      <c r="A1332" s="5">
        <v>1271</v>
      </c>
      <c r="B1332" s="1832">
        <f>'Expenditures 15-22'!K174</f>
        <v>361263</v>
      </c>
      <c r="C1332" s="2" t="s">
        <v>568</v>
      </c>
      <c r="D1332" s="2" t="str">
        <f t="shared" si="19"/>
        <v>Error?</v>
      </c>
    </row>
    <row r="1333" spans="1:4" x14ac:dyDescent="0.2">
      <c r="A1333" s="5">
        <v>1272</v>
      </c>
      <c r="B1333" s="1832">
        <f>'Expenditures 15-22'!K175</f>
        <v>-3009</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150274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150274</v>
      </c>
      <c r="C1339" s="2" t="s">
        <v>568</v>
      </c>
      <c r="D1339" s="2" t="str">
        <f t="shared" si="19"/>
        <v>Error?</v>
      </c>
    </row>
    <row r="1340" spans="1:4" x14ac:dyDescent="0.2">
      <c r="A1340" s="5">
        <v>1279</v>
      </c>
      <c r="B1340" s="1832">
        <f>'Expenditures 15-22'!C210</f>
        <v>150274</v>
      </c>
      <c r="C1340" s="2" t="s">
        <v>568</v>
      </c>
      <c r="D1340" s="2" t="str">
        <f t="shared" si="19"/>
        <v>Error?</v>
      </c>
    </row>
    <row r="1341" spans="1:4" x14ac:dyDescent="0.2">
      <c r="A1341" s="5">
        <v>1280</v>
      </c>
      <c r="B1341" s="1832">
        <f>'Expenditures 15-22'!D182</f>
        <v>1557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1557</v>
      </c>
      <c r="C1345" s="2" t="s">
        <v>568</v>
      </c>
      <c r="D1345" s="2" t="str">
        <f t="shared" si="20"/>
        <v>Error?</v>
      </c>
    </row>
    <row r="1346" spans="1:4" x14ac:dyDescent="0.2">
      <c r="A1346" s="5">
        <v>1285</v>
      </c>
      <c r="B1346" s="1832">
        <f>'Expenditures 15-22'!D210</f>
        <v>1557</v>
      </c>
      <c r="C1346" s="2" t="s">
        <v>568</v>
      </c>
      <c r="D1346" s="2" t="str">
        <f t="shared" si="20"/>
        <v>Error?</v>
      </c>
    </row>
    <row r="1347" spans="1:4" x14ac:dyDescent="0.2">
      <c r="A1347" s="5">
        <v>1286</v>
      </c>
      <c r="B1347" s="1832">
        <f>'Expenditures 15-22'!E182</f>
        <v>32185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32185</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32185</v>
      </c>
      <c r="C1353" s="2" t="s">
        <v>568</v>
      </c>
      <c r="D1353" s="2" t="str">
        <f t="shared" si="20"/>
        <v>Error?</v>
      </c>
    </row>
    <row r="1354" spans="1:4" x14ac:dyDescent="0.2">
      <c r="A1354" s="5">
        <v>1293</v>
      </c>
      <c r="B1354" s="1832">
        <f>'Expenditures 15-22'!F182</f>
        <v>24402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24402</v>
      </c>
      <c r="C1358" s="2" t="s">
        <v>568</v>
      </c>
      <c r="D1358" s="2" t="str">
        <f t="shared" si="20"/>
        <v>Error?</v>
      </c>
    </row>
    <row r="1359" spans="1:4" x14ac:dyDescent="0.2">
      <c r="A1359" s="5">
        <v>1298</v>
      </c>
      <c r="B1359" s="1832">
        <f>'Expenditures 15-22'!F210</f>
        <v>24402</v>
      </c>
      <c r="C1359" s="2" t="s">
        <v>568</v>
      </c>
      <c r="D1359" s="2" t="str">
        <f t="shared" si="20"/>
        <v>Error?</v>
      </c>
    </row>
    <row r="1360" spans="1:4" x14ac:dyDescent="0.2">
      <c r="A1360" s="5">
        <v>1299</v>
      </c>
      <c r="B1360" s="1832">
        <f>'Expenditures 15-22'!G182</f>
        <v>23723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23723</v>
      </c>
      <c r="C1364" s="2" t="s">
        <v>568</v>
      </c>
      <c r="D1364" s="2" t="str">
        <f t="shared" si="20"/>
        <v>Error?</v>
      </c>
    </row>
    <row r="1365" spans="1:4" x14ac:dyDescent="0.2">
      <c r="A1365" s="5">
        <v>1304</v>
      </c>
      <c r="B1365" s="1832">
        <f>'Expenditures 15-22'!G210</f>
        <v>23723</v>
      </c>
      <c r="C1365" s="2" t="s">
        <v>568</v>
      </c>
      <c r="D1365" s="2" t="str">
        <f t="shared" si="20"/>
        <v>Error?</v>
      </c>
    </row>
    <row r="1366" spans="1:4" x14ac:dyDescent="0.2">
      <c r="A1366" s="5">
        <v>1305</v>
      </c>
      <c r="B1366" s="1832">
        <f>'Expenditures 15-22'!H182</f>
        <v>435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435</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37480</v>
      </c>
      <c r="C1375" s="2" t="s">
        <v>568</v>
      </c>
      <c r="D1375" s="2" t="str">
        <f t="shared" si="20"/>
        <v>Error?</v>
      </c>
    </row>
    <row r="1376" spans="1:4" x14ac:dyDescent="0.2">
      <c r="A1376" s="5">
        <v>1315</v>
      </c>
      <c r="B1376" s="1832">
        <f>'Expenditures 15-22'!H210</f>
        <v>37915</v>
      </c>
      <c r="C1376" s="2" t="s">
        <v>568</v>
      </c>
      <c r="D1376" s="2" t="str">
        <f t="shared" si="20"/>
        <v>Error?</v>
      </c>
    </row>
    <row r="1377" spans="1:4" x14ac:dyDescent="0.2">
      <c r="A1377" s="5">
        <v>1316</v>
      </c>
      <c r="B1377" s="1832">
        <f>'Expenditures 15-22'!K182</f>
        <v>232576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232576</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37480</v>
      </c>
      <c r="C1387" s="2" t="s">
        <v>568</v>
      </c>
      <c r="D1387" s="2" t="str">
        <f t="shared" si="20"/>
        <v>Error?</v>
      </c>
    </row>
    <row r="1388" spans="1:4" x14ac:dyDescent="0.2">
      <c r="A1388" s="5">
        <v>1327</v>
      </c>
      <c r="B1388" s="1832">
        <f>'Expenditures 15-22'!K210</f>
        <v>270056</v>
      </c>
      <c r="C1388" s="2" t="s">
        <v>568</v>
      </c>
      <c r="D1388" s="2" t="str">
        <f t="shared" si="20"/>
        <v>Error?</v>
      </c>
    </row>
    <row r="1389" spans="1:4" x14ac:dyDescent="0.2">
      <c r="A1389" s="5">
        <v>1328</v>
      </c>
      <c r="B1389" s="1832">
        <f>'Expenditures 15-22'!K211</f>
        <v>-21151</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1072</v>
      </c>
      <c r="D1407" s="2" t="str">
        <f t="shared" ref="D1407:D1470" si="21">IF(ISBLANK(B1407),"OK",IF(A1407-B1407=0,"OK","Error?"))</f>
        <v>Error?</v>
      </c>
    </row>
    <row r="1408" spans="1:4" x14ac:dyDescent="0.2">
      <c r="A1408" s="5">
        <v>1347</v>
      </c>
      <c r="B1408" s="1832">
        <f>'Expenditures 15-22'!D223</f>
        <v>1980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61113</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644</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644</v>
      </c>
      <c r="C1417" s="2" t="s">
        <v>568</v>
      </c>
      <c r="D1417" s="2" t="str">
        <f t="shared" si="21"/>
        <v>Error?</v>
      </c>
    </row>
    <row r="1418" spans="1:4" x14ac:dyDescent="0.2">
      <c r="A1418" s="5">
        <v>1357</v>
      </c>
      <c r="B1418" s="1832">
        <f>'Expenditures 15-22'!D240</f>
        <v>34</v>
      </c>
      <c r="D1418" s="2" t="str">
        <f t="shared" si="21"/>
        <v>Error?</v>
      </c>
    </row>
    <row r="1419" spans="1:4" x14ac:dyDescent="0.2">
      <c r="A1419" s="5">
        <v>1358</v>
      </c>
      <c r="B1419" s="1832">
        <f>'Expenditures 15-22'!D241</f>
        <v>8702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8736</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6935</v>
      </c>
      <c r="D1423" s="2" t="str">
        <f t="shared" si="21"/>
        <v>Error?</v>
      </c>
    </row>
    <row r="1424" spans="1:4" x14ac:dyDescent="0.2">
      <c r="A1424" s="5">
        <v>1363</v>
      </c>
      <c r="B1424" s="1832">
        <f>'Expenditures 15-22'!D257</f>
        <v>13044</v>
      </c>
      <c r="C1424" s="2" t="s">
        <v>568</v>
      </c>
      <c r="D1424" s="2" t="str">
        <f t="shared" si="21"/>
        <v>Error?</v>
      </c>
    </row>
    <row r="1425" spans="1:4" x14ac:dyDescent="0.2">
      <c r="A1425" s="5">
        <v>1364</v>
      </c>
      <c r="B1425" s="1832">
        <f>'Expenditures 15-22'!D259</f>
        <v>6550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6550</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7345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39253</v>
      </c>
      <c r="D1431" s="2" t="str">
        <f t="shared" si="21"/>
        <v>Error?</v>
      </c>
    </row>
    <row r="1432" spans="1:4" x14ac:dyDescent="0.2">
      <c r="A1432" s="5">
        <v>1371</v>
      </c>
      <c r="B1432" s="1832">
        <f>'Expenditures 15-22'!D267</f>
        <v>8517</v>
      </c>
      <c r="D1432" s="2" t="str">
        <f t="shared" si="21"/>
        <v>Error?</v>
      </c>
    </row>
    <row r="1433" spans="1:4" x14ac:dyDescent="0.2">
      <c r="A1433" s="5">
        <v>1372</v>
      </c>
      <c r="B1433" s="1832">
        <f>'Expenditures 15-22'!D268</f>
        <v>15407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70522</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99496</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172971</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1072</v>
      </c>
      <c r="C1471" s="2" t="s">
        <v>568</v>
      </c>
      <c r="D1471" s="2" t="str">
        <f t="shared" ref="D1471:D1534" si="22">IF(ISBLANK(B1471),"OK",IF(A1471-B1471=0,"OK","Error?"))</f>
        <v>Error?</v>
      </c>
    </row>
    <row r="1472" spans="1:4" x14ac:dyDescent="0.2">
      <c r="A1472" s="5">
        <v>1411</v>
      </c>
      <c r="B1472" s="1832">
        <f>'Expenditures 15-22'!K223</f>
        <v>1980</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61113</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644</v>
      </c>
      <c r="C1476" s="2" t="s">
        <v>568</v>
      </c>
      <c r="D1476" s="2" t="str">
        <f t="shared" si="22"/>
        <v>Error?</v>
      </c>
    </row>
    <row r="1477" spans="1:4" x14ac:dyDescent="0.2">
      <c r="A1477" s="5">
        <v>1416</v>
      </c>
      <c r="B1477" s="1832">
        <f>'Expenditures 15-22'!K234</f>
        <v>0</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644</v>
      </c>
      <c r="C1481" s="2" t="s">
        <v>568</v>
      </c>
      <c r="D1481" s="2" t="str">
        <f t="shared" si="22"/>
        <v>Error?</v>
      </c>
    </row>
    <row r="1482" spans="1:4" x14ac:dyDescent="0.2">
      <c r="A1482" s="5">
        <v>1421</v>
      </c>
      <c r="B1482" s="1832">
        <f>'Expenditures 15-22'!K240</f>
        <v>34</v>
      </c>
      <c r="C1482" s="2" t="s">
        <v>568</v>
      </c>
      <c r="D1482" s="2" t="str">
        <f t="shared" si="22"/>
        <v>Error?</v>
      </c>
    </row>
    <row r="1483" spans="1:4" x14ac:dyDescent="0.2">
      <c r="A1483" s="5">
        <v>1422</v>
      </c>
      <c r="B1483" s="1832">
        <f>'Expenditures 15-22'!K241</f>
        <v>8702</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8736</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6935</v>
      </c>
      <c r="C1487" s="2" t="s">
        <v>568</v>
      </c>
      <c r="D1487" s="2" t="str">
        <f t="shared" si="22"/>
        <v>Error?</v>
      </c>
    </row>
    <row r="1488" spans="1:4" x14ac:dyDescent="0.2">
      <c r="A1488" s="5">
        <v>1427</v>
      </c>
      <c r="B1488" s="1832">
        <f>'Expenditures 15-22'!K257</f>
        <v>13044</v>
      </c>
      <c r="C1488" s="2" t="s">
        <v>568</v>
      </c>
      <c r="D1488" s="2" t="str">
        <f t="shared" si="22"/>
        <v>Error?</v>
      </c>
    </row>
    <row r="1489" spans="1:4" x14ac:dyDescent="0.2">
      <c r="A1489" s="5">
        <v>1428</v>
      </c>
      <c r="B1489" s="1832">
        <f>'Expenditures 15-22'!K259</f>
        <v>6550</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6550</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7345</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39253</v>
      </c>
      <c r="C1495" s="2" t="s">
        <v>568</v>
      </c>
      <c r="D1495" s="2" t="str">
        <f t="shared" si="22"/>
        <v>Error?</v>
      </c>
    </row>
    <row r="1496" spans="1:4" x14ac:dyDescent="0.2">
      <c r="A1496" s="5">
        <v>1435</v>
      </c>
      <c r="B1496" s="1832">
        <f>'Expenditures 15-22'!K267</f>
        <v>8517</v>
      </c>
      <c r="C1496" s="2" t="s">
        <v>568</v>
      </c>
      <c r="D1496" s="2" t="str">
        <f t="shared" si="22"/>
        <v>Error?</v>
      </c>
    </row>
    <row r="1497" spans="1:4" x14ac:dyDescent="0.2">
      <c r="A1497" s="5">
        <v>1436</v>
      </c>
      <c r="B1497" s="1832">
        <f>'Expenditures 15-22'!K268</f>
        <v>15407</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70522</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99496</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172971</v>
      </c>
      <c r="C1517" s="2" t="s">
        <v>568</v>
      </c>
      <c r="D1517" s="2" t="str">
        <f t="shared" si="22"/>
        <v>Error?</v>
      </c>
    </row>
    <row r="1518" spans="1:4" x14ac:dyDescent="0.2">
      <c r="A1518" s="5">
        <v>1457</v>
      </c>
      <c r="B1518" s="1832">
        <f>'Expenditures 15-22'!K296</f>
        <v>17392</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33358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33358</v>
      </c>
      <c r="C1535" s="2" t="s">
        <v>568</v>
      </c>
      <c r="D1535" s="2" t="str">
        <f t="shared" ref="D1535:D1598" si="23">IF(ISBLANK(B1535),"OK",IF(A1535-B1535=0,"OK","Error?"))</f>
        <v>Error?</v>
      </c>
    </row>
    <row r="1536" spans="1:4" x14ac:dyDescent="0.2">
      <c r="A1536" s="5">
        <v>1475</v>
      </c>
      <c r="B1536" s="1832">
        <f>'Expenditures 15-22'!E312</f>
        <v>33358</v>
      </c>
      <c r="C1536" s="2" t="s">
        <v>568</v>
      </c>
      <c r="D1536" s="2" t="str">
        <f t="shared" si="23"/>
        <v>Error?</v>
      </c>
    </row>
    <row r="1537" spans="1:4" x14ac:dyDescent="0.2">
      <c r="A1537" s="5">
        <v>1476</v>
      </c>
      <c r="B1537" s="1832">
        <f>'Expenditures 15-22'!F301</f>
        <v>1157</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1157</v>
      </c>
      <c r="C1541" s="2" t="s">
        <v>568</v>
      </c>
      <c r="D1541" s="2" t="str">
        <f t="shared" si="23"/>
        <v>Error?</v>
      </c>
    </row>
    <row r="1542" spans="1:4" x14ac:dyDescent="0.2">
      <c r="A1542" s="5">
        <v>1481</v>
      </c>
      <c r="B1542" s="1832">
        <f>'Expenditures 15-22'!F312</f>
        <v>1157</v>
      </c>
      <c r="C1542" s="2" t="s">
        <v>568</v>
      </c>
      <c r="D1542" s="2" t="str">
        <f t="shared" si="23"/>
        <v>Error?</v>
      </c>
    </row>
    <row r="1543" spans="1:4" x14ac:dyDescent="0.2">
      <c r="A1543" s="5">
        <v>1482</v>
      </c>
      <c r="B1543" s="1832">
        <f>'Expenditures 15-22'!G301</f>
        <v>57805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57805</v>
      </c>
      <c r="C1547" s="2" t="s">
        <v>568</v>
      </c>
      <c r="D1547" s="2" t="str">
        <f t="shared" si="23"/>
        <v>Error?</v>
      </c>
    </row>
    <row r="1548" spans="1:4" x14ac:dyDescent="0.2">
      <c r="A1548" s="5">
        <v>1487</v>
      </c>
      <c r="B1548" s="1832">
        <f>'Expenditures 15-22'!G312</f>
        <v>57805</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92320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92320</v>
      </c>
      <c r="C1559" s="2" t="s">
        <v>568</v>
      </c>
      <c r="D1559" s="2" t="str">
        <f t="shared" si="23"/>
        <v>Error?</v>
      </c>
    </row>
    <row r="1560" spans="1:4" x14ac:dyDescent="0.2">
      <c r="A1560" s="5">
        <v>1499</v>
      </c>
      <c r="B1560" s="1832">
        <f>'Expenditures 15-22'!K312</f>
        <v>92320</v>
      </c>
      <c r="C1560" s="2" t="s">
        <v>568</v>
      </c>
      <c r="D1560" s="2" t="str">
        <f t="shared" si="23"/>
        <v>Error?</v>
      </c>
    </row>
    <row r="1561" spans="1:4" x14ac:dyDescent="0.2">
      <c r="A1561" s="5">
        <v>1500</v>
      </c>
      <c r="B1561" s="1832">
        <f>'Expenditures 15-22'!K313</f>
        <v>24191</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1711147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1868941</v>
      </c>
      <c r="C1630" s="2" t="s">
        <v>568</v>
      </c>
      <c r="D1630" s="2" t="str">
        <f t="shared" si="24"/>
        <v>Error?</v>
      </c>
    </row>
    <row r="1631" spans="1:4" x14ac:dyDescent="0.2">
      <c r="A1631" s="5">
        <v>1570</v>
      </c>
      <c r="B1631" s="1832">
        <f>'Acct Summary 7-8'!D79</f>
        <v>232195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242371</v>
      </c>
      <c r="C1644" s="2" t="s">
        <v>568</v>
      </c>
      <c r="D1644" s="2" t="str">
        <f t="shared" si="24"/>
        <v>Error?</v>
      </c>
    </row>
    <row r="1645" spans="1:4" x14ac:dyDescent="0.2">
      <c r="A1645" s="5">
        <v>1584</v>
      </c>
      <c r="B1645" s="1832">
        <f>'Acct Summary 7-8'!E79</f>
        <v>561515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607588</v>
      </c>
      <c r="C1658" s="2" t="s">
        <v>568</v>
      </c>
      <c r="D1658" s="2" t="str">
        <f t="shared" si="24"/>
        <v>Error?</v>
      </c>
    </row>
    <row r="1659" spans="1:4" x14ac:dyDescent="0.2">
      <c r="A1659" s="5">
        <v>1598</v>
      </c>
      <c r="B1659" s="1832">
        <f>'Acct Summary 7-8'!F79</f>
        <v>199168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208017</v>
      </c>
      <c r="C1672" s="2" t="s">
        <v>568</v>
      </c>
      <c r="D1672" s="2" t="str">
        <f t="shared" si="25"/>
        <v>Error?</v>
      </c>
    </row>
    <row r="1673" spans="1:4" x14ac:dyDescent="0.2">
      <c r="A1673" s="5">
        <v>1612</v>
      </c>
      <c r="B1673" s="1832">
        <f>'Acct Summary 7-8'!G79</f>
        <v>191022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208414</v>
      </c>
      <c r="C1686" s="2" t="s">
        <v>568</v>
      </c>
      <c r="D1686" s="2" t="str">
        <f t="shared" si="25"/>
        <v>Error?</v>
      </c>
    </row>
    <row r="1687" spans="1:4" x14ac:dyDescent="0.2">
      <c r="A1687" s="5">
        <v>1626</v>
      </c>
      <c r="B1687" s="1832">
        <f>'Acct Summary 7-8'!H79</f>
        <v>68575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92766</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1576287</v>
      </c>
      <c r="C1744" s="2" t="s">
        <v>568</v>
      </c>
      <c r="D1744" s="2" t="str">
        <f t="shared" si="26"/>
        <v>Error?</v>
      </c>
    </row>
    <row r="1745" spans="1:5" x14ac:dyDescent="0.2">
      <c r="A1745" s="5">
        <v>1684</v>
      </c>
      <c r="B1745" s="1832">
        <f>'Tax Sched 23'!B5</f>
        <v>304046</v>
      </c>
      <c r="C1745" s="2" t="s">
        <v>568</v>
      </c>
      <c r="D1745" s="2" t="str">
        <f t="shared" si="26"/>
        <v>Error?</v>
      </c>
    </row>
    <row r="1746" spans="1:5" x14ac:dyDescent="0.2">
      <c r="A1746" s="5">
        <v>1685</v>
      </c>
      <c r="B1746" s="1832">
        <f>'Tax Sched 23'!B6</f>
        <v>201604</v>
      </c>
      <c r="C1746" s="2" t="s">
        <v>568</v>
      </c>
      <c r="D1746" s="2" t="str">
        <f t="shared" si="26"/>
        <v>Error?</v>
      </c>
    </row>
    <row r="1747" spans="1:5" x14ac:dyDescent="0.2">
      <c r="A1747" s="5">
        <v>1686</v>
      </c>
      <c r="B1747" s="1832">
        <f>'Tax Sched 23'!B7</f>
        <v>121618</v>
      </c>
      <c r="C1747" s="2" t="s">
        <v>568</v>
      </c>
      <c r="D1747" s="2" t="str">
        <f t="shared" si="26"/>
        <v>Error?</v>
      </c>
    </row>
    <row r="1748" spans="1:5" x14ac:dyDescent="0.2">
      <c r="A1748" s="5">
        <v>1687</v>
      </c>
      <c r="B1748" s="1832">
        <f>'Tax Sched 23'!B8</f>
        <v>63364</v>
      </c>
      <c r="C1748" s="2" t="s">
        <v>568</v>
      </c>
      <c r="D1748" s="2" t="str">
        <f t="shared" si="26"/>
        <v>Error?</v>
      </c>
    </row>
    <row r="1749" spans="1:5" x14ac:dyDescent="0.2">
      <c r="A1749" s="5">
        <v>1688</v>
      </c>
      <c r="B1749" s="1832">
        <f>'Tax Sched 23'!B10</f>
        <v>30339</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263146</v>
      </c>
      <c r="C1752" s="2" t="s">
        <v>568</v>
      </c>
      <c r="D1752" s="2" t="str">
        <f t="shared" si="26"/>
        <v>Error?</v>
      </c>
    </row>
    <row r="1753" spans="1:5" x14ac:dyDescent="0.2">
      <c r="A1753" s="5">
        <v>1692</v>
      </c>
      <c r="B1753" s="1832">
        <f>'Tax Sched 23'!B12</f>
        <v>0</v>
      </c>
      <c r="C1753" s="2" t="s">
        <v>568</v>
      </c>
      <c r="D1753" s="2" t="str">
        <f t="shared" si="26"/>
        <v>Error?</v>
      </c>
    </row>
    <row r="1754" spans="1:5" x14ac:dyDescent="0.2">
      <c r="A1754" s="5">
        <v>1693</v>
      </c>
      <c r="B1754" s="1832">
        <f>'Tax Sched 23'!B14</f>
        <v>24259</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2730633</v>
      </c>
      <c r="C1759" s="2" t="s">
        <v>568</v>
      </c>
      <c r="D1759" s="2" t="str">
        <f t="shared" si="26"/>
        <v>Error?</v>
      </c>
    </row>
    <row r="1760" spans="1:5" x14ac:dyDescent="0.2">
      <c r="A1760" s="5">
        <v>1699</v>
      </c>
      <c r="B1760" s="1832">
        <f>'Tax Sched 23'!D4</f>
        <v>740870</v>
      </c>
      <c r="C1760" s="2" t="s">
        <v>568</v>
      </c>
      <c r="D1760" s="2" t="str">
        <f t="shared" si="26"/>
        <v>Error?</v>
      </c>
    </row>
    <row r="1761" spans="1:7" x14ac:dyDescent="0.2">
      <c r="A1761" s="5">
        <v>1700</v>
      </c>
      <c r="B1761" s="1832">
        <f>'Tax Sched 23'!D5</f>
        <v>142475</v>
      </c>
      <c r="C1761" s="2" t="s">
        <v>568</v>
      </c>
      <c r="D1761" s="2" t="str">
        <f t="shared" si="26"/>
        <v>Error?</v>
      </c>
    </row>
    <row r="1762" spans="1:7" s="8" customFormat="1" x14ac:dyDescent="0.2">
      <c r="A1762" s="5">
        <v>1701</v>
      </c>
      <c r="B1762" s="1832">
        <f>'Tax Sched 23'!D6</f>
        <v>96712</v>
      </c>
      <c r="C1762" s="2" t="s">
        <v>568</v>
      </c>
      <c r="D1762" s="2" t="str">
        <f t="shared" si="26"/>
        <v>Error?</v>
      </c>
      <c r="E1762" s="9"/>
      <c r="G1762"/>
    </row>
    <row r="1763" spans="1:7" x14ac:dyDescent="0.2">
      <c r="A1763" s="5">
        <v>1702</v>
      </c>
      <c r="B1763" s="1832">
        <f>'Tax Sched 23'!D7</f>
        <v>56990</v>
      </c>
      <c r="C1763" s="2" t="s">
        <v>568</v>
      </c>
      <c r="D1763" s="2" t="str">
        <f t="shared" si="26"/>
        <v>Error?</v>
      </c>
    </row>
    <row r="1764" spans="1:7" x14ac:dyDescent="0.2">
      <c r="A1764" s="5">
        <v>1703</v>
      </c>
      <c r="B1764" s="1832">
        <f>'Tax Sched 23'!D8</f>
        <v>35509</v>
      </c>
      <c r="C1764" s="2" t="s">
        <v>568</v>
      </c>
      <c r="D1764" s="2" t="str">
        <f t="shared" si="26"/>
        <v>Error?</v>
      </c>
    </row>
    <row r="1765" spans="1:7" x14ac:dyDescent="0.2">
      <c r="A1765" s="5">
        <v>1704</v>
      </c>
      <c r="B1765" s="1832">
        <f>'Tax Sched 23'!D10</f>
        <v>14247</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115858</v>
      </c>
      <c r="C1768" s="2" t="s">
        <v>568</v>
      </c>
      <c r="D1768" s="2" t="str">
        <f t="shared" si="26"/>
        <v>Error?</v>
      </c>
    </row>
    <row r="1769" spans="1:7" x14ac:dyDescent="0.2">
      <c r="A1769" s="5">
        <v>1708</v>
      </c>
      <c r="B1769" s="1832">
        <f>'Tax Sched 23'!D12</f>
        <v>0</v>
      </c>
      <c r="C1769" s="2" t="s">
        <v>568</v>
      </c>
      <c r="D1769" s="2" t="str">
        <f t="shared" si="26"/>
        <v>Error?</v>
      </c>
    </row>
    <row r="1770" spans="1:7" x14ac:dyDescent="0.2">
      <c r="A1770" s="5">
        <v>1709</v>
      </c>
      <c r="B1770" s="1832">
        <f>'Tax Sched 23'!D14</f>
        <v>11398</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1278598</v>
      </c>
      <c r="C1775" s="2" t="s">
        <v>568</v>
      </c>
      <c r="D1775" s="2" t="str">
        <f t="shared" si="26"/>
        <v>Error?</v>
      </c>
    </row>
    <row r="1776" spans="1:7" x14ac:dyDescent="0.2">
      <c r="A1776" s="5">
        <v>1715</v>
      </c>
      <c r="B1776" s="1832">
        <f>'Tax Sched 23'!C4</f>
        <v>835417</v>
      </c>
      <c r="D1776" s="2" t="str">
        <f t="shared" si="26"/>
        <v>Error?</v>
      </c>
    </row>
    <row r="1777" spans="1:4" x14ac:dyDescent="0.2">
      <c r="A1777" s="5">
        <v>1716</v>
      </c>
      <c r="B1777" s="1832">
        <f>'Tax Sched 23'!C5</f>
        <v>161571</v>
      </c>
      <c r="D1777" s="2" t="str">
        <f t="shared" si="26"/>
        <v>Error?</v>
      </c>
    </row>
    <row r="1778" spans="1:4" x14ac:dyDescent="0.2">
      <c r="A1778" s="5">
        <v>1717</v>
      </c>
      <c r="B1778" s="1832">
        <f>'Tax Sched 23'!C6</f>
        <v>104892</v>
      </c>
      <c r="D1778" s="2" t="str">
        <f t="shared" si="26"/>
        <v>Error?</v>
      </c>
    </row>
    <row r="1779" spans="1:4" x14ac:dyDescent="0.2">
      <c r="A1779" s="5">
        <v>1718</v>
      </c>
      <c r="B1779" s="1832">
        <f>'Tax Sched 23'!C7</f>
        <v>64628</v>
      </c>
      <c r="D1779" s="2" t="str">
        <f t="shared" si="26"/>
        <v>Error?</v>
      </c>
    </row>
    <row r="1780" spans="1:4" x14ac:dyDescent="0.2">
      <c r="A1780" s="5">
        <v>1719</v>
      </c>
      <c r="B1780" s="1832">
        <f>'Tax Sched 23'!C8</f>
        <v>27855</v>
      </c>
      <c r="D1780" s="2" t="str">
        <f t="shared" si="26"/>
        <v>Error?</v>
      </c>
    </row>
    <row r="1781" spans="1:4" x14ac:dyDescent="0.2">
      <c r="A1781" s="5">
        <v>1720</v>
      </c>
      <c r="B1781" s="1832">
        <f>'Tax Sched 23'!C10</f>
        <v>16092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147288</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12861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1452035</v>
      </c>
      <c r="C1791" s="2" t="s">
        <v>568</v>
      </c>
      <c r="D1791" s="2" t="str">
        <f t="shared" ref="D1791:D1854" si="27">IF(ISBLANK(B1791),"OK",IF(A1791-B1791=0,"OK","Error?"))</f>
        <v>Error?</v>
      </c>
    </row>
    <row r="1792" spans="1:4" x14ac:dyDescent="0.2">
      <c r="A1792" s="5">
        <v>1731</v>
      </c>
      <c r="B1792" s="1832">
        <f>'Tax Sched 23'!F4</f>
        <v>724588</v>
      </c>
      <c r="C1792" s="2" t="s">
        <v>568</v>
      </c>
      <c r="D1792" s="2" t="str">
        <f t="shared" si="27"/>
        <v>Error?</v>
      </c>
    </row>
    <row r="1793" spans="1:4" x14ac:dyDescent="0.2">
      <c r="A1793" s="5">
        <v>1732</v>
      </c>
      <c r="B1793" s="1832">
        <f>'Tax Sched 23'!F5</f>
        <v>140136</v>
      </c>
      <c r="C1793" s="2" t="s">
        <v>568</v>
      </c>
      <c r="D1793" s="2" t="str">
        <f t="shared" si="27"/>
        <v>Error?</v>
      </c>
    </row>
    <row r="1794" spans="1:4" x14ac:dyDescent="0.2">
      <c r="A1794" s="5">
        <v>1733</v>
      </c>
      <c r="B1794" s="1832">
        <f>'Tax Sched 23'!F6</f>
        <v>90976</v>
      </c>
      <c r="C1794" s="2" t="s">
        <v>568</v>
      </c>
      <c r="D1794" s="2" t="str">
        <f t="shared" si="27"/>
        <v>Error?</v>
      </c>
    </row>
    <row r="1795" spans="1:4" x14ac:dyDescent="0.2">
      <c r="A1795" s="5">
        <v>1734</v>
      </c>
      <c r="B1795" s="1832">
        <f>'Tax Sched 23'!F7</f>
        <v>56055</v>
      </c>
      <c r="C1795" s="2" t="s">
        <v>568</v>
      </c>
      <c r="D1795" s="2" t="str">
        <f t="shared" si="27"/>
        <v>Error?</v>
      </c>
    </row>
    <row r="1796" spans="1:4" x14ac:dyDescent="0.2">
      <c r="A1796" s="5">
        <v>1735</v>
      </c>
      <c r="B1796" s="1832">
        <f>'Tax Sched 23'!F8</f>
        <v>24159</v>
      </c>
      <c r="C1796" s="2" t="s">
        <v>568</v>
      </c>
      <c r="D1796" s="2" t="str">
        <f t="shared" si="27"/>
        <v>Error?</v>
      </c>
    </row>
    <row r="1797" spans="1:4" x14ac:dyDescent="0.2">
      <c r="A1797" s="5">
        <v>1736</v>
      </c>
      <c r="B1797" s="1832">
        <f>'Tax Sched 23'!F10</f>
        <v>13958</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127748</v>
      </c>
      <c r="C1800" s="2" t="s">
        <v>568</v>
      </c>
      <c r="D1800" s="2" t="str">
        <f t="shared" si="27"/>
        <v>Error?</v>
      </c>
    </row>
    <row r="1801" spans="1:4" x14ac:dyDescent="0.2">
      <c r="A1801" s="5">
        <v>1740</v>
      </c>
      <c r="B1801" s="1832">
        <f>'Tax Sched 23'!F12</f>
        <v>0</v>
      </c>
      <c r="C1801" s="2" t="s">
        <v>568</v>
      </c>
      <c r="D1801" s="2" t="str">
        <f t="shared" si="27"/>
        <v>Error?</v>
      </c>
    </row>
    <row r="1802" spans="1:4" x14ac:dyDescent="0.2">
      <c r="A1802" s="5">
        <v>1741</v>
      </c>
      <c r="B1802" s="1832">
        <f>'Tax Sched 23'!F14</f>
        <v>11155</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1259404</v>
      </c>
      <c r="C1807" s="2" t="s">
        <v>568</v>
      </c>
      <c r="D1807" s="2" t="str">
        <f t="shared" si="27"/>
        <v>Error?</v>
      </c>
    </row>
    <row r="1808" spans="1:4" x14ac:dyDescent="0.2">
      <c r="A1808" s="5">
        <v>1747</v>
      </c>
      <c r="B1808" s="1832">
        <f>'Tax Sched 23'!E4</f>
        <v>1560005</v>
      </c>
      <c r="D1808" s="2" t="str">
        <f t="shared" si="27"/>
        <v>Error?</v>
      </c>
    </row>
    <row r="1809" spans="1:4" x14ac:dyDescent="0.2">
      <c r="A1809" s="5">
        <v>1748</v>
      </c>
      <c r="B1809" s="1832">
        <f>'Tax Sched 23'!E5</f>
        <v>301707</v>
      </c>
      <c r="D1809" s="2" t="str">
        <f t="shared" si="27"/>
        <v>Error?</v>
      </c>
    </row>
    <row r="1810" spans="1:4" x14ac:dyDescent="0.2">
      <c r="A1810" s="5">
        <v>1749</v>
      </c>
      <c r="B1810" s="1832">
        <f>'Tax Sched 23'!E6</f>
        <v>195868</v>
      </c>
      <c r="D1810" s="2" t="str">
        <f t="shared" si="27"/>
        <v>Error?</v>
      </c>
    </row>
    <row r="1811" spans="1:4" x14ac:dyDescent="0.2">
      <c r="A1811" s="5">
        <v>1750</v>
      </c>
      <c r="B1811" s="1832">
        <f>'Tax Sched 23'!E7</f>
        <v>120683</v>
      </c>
      <c r="D1811" s="2" t="str">
        <f t="shared" si="27"/>
        <v>Error?</v>
      </c>
    </row>
    <row r="1812" spans="1:4" x14ac:dyDescent="0.2">
      <c r="A1812" s="5">
        <v>1751</v>
      </c>
      <c r="B1812" s="1832">
        <f>'Tax Sched 23'!E8</f>
        <v>52014</v>
      </c>
      <c r="D1812" s="2" t="str">
        <f t="shared" si="27"/>
        <v>Error?</v>
      </c>
    </row>
    <row r="1813" spans="1:4" x14ac:dyDescent="0.2">
      <c r="A1813" s="5">
        <v>1752</v>
      </c>
      <c r="B1813" s="1832">
        <f>'Tax Sched 23'!E10</f>
        <v>30050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275036</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24016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2711439</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1795956</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24259</v>
      </c>
      <c r="D1972" s="2" t="str">
        <f t="shared" si="29"/>
        <v>Error?</v>
      </c>
    </row>
    <row r="1973" spans="1:5" x14ac:dyDescent="0.2">
      <c r="A1973" s="5">
        <v>1912</v>
      </c>
      <c r="B1973" s="1832">
        <f>'Rest Tax Levies-Tort Im 25'!H6</f>
        <v>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24264</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24264</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39570</v>
      </c>
      <c r="D2008" s="2" t="str">
        <f t="shared" si="30"/>
        <v>Error?</v>
      </c>
    </row>
    <row r="2009" spans="1:4" x14ac:dyDescent="0.2">
      <c r="A2009" s="5">
        <v>1948</v>
      </c>
      <c r="B2009" s="1832">
        <f>'Cap Outlay Deprec 26'!C8</f>
        <v>6301720</v>
      </c>
      <c r="D2009" s="2" t="str">
        <f t="shared" si="30"/>
        <v>Error?</v>
      </c>
    </row>
    <row r="2010" spans="1:4" x14ac:dyDescent="0.2">
      <c r="A2010" s="5">
        <v>1949</v>
      </c>
      <c r="B2010" s="1832">
        <f>'Cap Outlay Deprec 26'!C10</f>
        <v>1089969</v>
      </c>
      <c r="D2010" s="2" t="str">
        <f t="shared" si="30"/>
        <v>Error?</v>
      </c>
    </row>
    <row r="2011" spans="1:4" x14ac:dyDescent="0.2">
      <c r="A2011" s="5">
        <v>1950</v>
      </c>
      <c r="B2011" s="1832">
        <f>'Cap Outlay Deprec 26'!C12</f>
        <v>796734</v>
      </c>
      <c r="D2011" s="2" t="str">
        <f t="shared" si="30"/>
        <v>Error?</v>
      </c>
    </row>
    <row r="2012" spans="1:4" x14ac:dyDescent="0.2">
      <c r="A2012" s="5">
        <v>1951</v>
      </c>
      <c r="B2012" s="1832">
        <f>'Cap Outlay Deprec 26'!C13</f>
        <v>672065</v>
      </c>
      <c r="D2012" s="2" t="str">
        <f t="shared" si="30"/>
        <v>Error?</v>
      </c>
    </row>
    <row r="2013" spans="1:4" x14ac:dyDescent="0.2">
      <c r="A2013" s="5">
        <v>1952</v>
      </c>
      <c r="B2013" s="1832">
        <f>'Cap Outlay Deprec 26'!C16</f>
        <v>8900058</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2975</v>
      </c>
      <c r="D2015" s="2" t="str">
        <f t="shared" si="30"/>
        <v>Error?</v>
      </c>
    </row>
    <row r="2016" spans="1:4" x14ac:dyDescent="0.2">
      <c r="A2016" s="5">
        <v>1955</v>
      </c>
      <c r="B2016" s="1832">
        <f>'Cap Outlay Deprec 26'!D10</f>
        <v>2050</v>
      </c>
      <c r="D2016" s="2" t="str">
        <f t="shared" si="30"/>
        <v>Error?</v>
      </c>
    </row>
    <row r="2017" spans="1:4" x14ac:dyDescent="0.2">
      <c r="A2017" s="5">
        <v>1956</v>
      </c>
      <c r="B2017" s="1832">
        <f>'Cap Outlay Deprec 26'!D12</f>
        <v>193521</v>
      </c>
      <c r="D2017" s="2" t="str">
        <f t="shared" si="30"/>
        <v>Error?</v>
      </c>
    </row>
    <row r="2018" spans="1:4" x14ac:dyDescent="0.2">
      <c r="A2018" s="5">
        <v>1957</v>
      </c>
      <c r="B2018" s="1832">
        <f>'Cap Outlay Deprec 26'!D13</f>
        <v>8156</v>
      </c>
      <c r="D2018" s="2" t="str">
        <f t="shared" si="30"/>
        <v>Error?</v>
      </c>
    </row>
    <row r="2019" spans="1:4" x14ac:dyDescent="0.2">
      <c r="A2019" s="5">
        <v>1958</v>
      </c>
      <c r="B2019" s="1832">
        <f>'Cap Outlay Deprec 26'!D16</f>
        <v>206702</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70170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70170</v>
      </c>
      <c r="C2025" s="2" t="s">
        <v>568</v>
      </c>
      <c r="D2025" s="2" t="str">
        <f t="shared" si="30"/>
        <v>Error?</v>
      </c>
    </row>
    <row r="2026" spans="1:4" x14ac:dyDescent="0.2">
      <c r="A2026" s="5">
        <v>1965</v>
      </c>
      <c r="B2026" s="1832">
        <f>'Cap Outlay Deprec 26'!F5</f>
        <v>39570</v>
      </c>
      <c r="C2026" s="2" t="s">
        <v>568</v>
      </c>
      <c r="D2026" s="2" t="str">
        <f t="shared" si="30"/>
        <v>Error?</v>
      </c>
    </row>
    <row r="2027" spans="1:4" x14ac:dyDescent="0.2">
      <c r="A2027" s="5">
        <v>1966</v>
      </c>
      <c r="B2027" s="1832">
        <f>'Cap Outlay Deprec 26'!F8</f>
        <v>6304695</v>
      </c>
      <c r="C2027" s="2" t="s">
        <v>568</v>
      </c>
      <c r="D2027" s="2" t="str">
        <f t="shared" si="30"/>
        <v>Error?</v>
      </c>
    </row>
    <row r="2028" spans="1:4" x14ac:dyDescent="0.2">
      <c r="A2028" s="5">
        <v>1967</v>
      </c>
      <c r="B2028" s="1832">
        <f>'Cap Outlay Deprec 26'!F10</f>
        <v>1092019</v>
      </c>
      <c r="C2028" s="2" t="s">
        <v>568</v>
      </c>
      <c r="D2028" s="2" t="str">
        <f t="shared" si="30"/>
        <v>Error?</v>
      </c>
    </row>
    <row r="2029" spans="1:4" x14ac:dyDescent="0.2">
      <c r="A2029" s="5">
        <v>1968</v>
      </c>
      <c r="B2029" s="1832">
        <f>'Cap Outlay Deprec 26'!F12</f>
        <v>920085</v>
      </c>
      <c r="C2029" s="2" t="s">
        <v>568</v>
      </c>
      <c r="D2029" s="2" t="str">
        <f t="shared" si="30"/>
        <v>Error?</v>
      </c>
    </row>
    <row r="2030" spans="1:4" x14ac:dyDescent="0.2">
      <c r="A2030" s="5">
        <v>1969</v>
      </c>
      <c r="B2030" s="1832">
        <f>'Cap Outlay Deprec 26'!F13</f>
        <v>680221</v>
      </c>
      <c r="C2030" s="2" t="s">
        <v>568</v>
      </c>
      <c r="D2030" s="2" t="str">
        <f t="shared" si="30"/>
        <v>Error?</v>
      </c>
    </row>
    <row r="2031" spans="1:4" x14ac:dyDescent="0.2">
      <c r="A2031" s="5">
        <v>1970</v>
      </c>
      <c r="B2031" s="1832">
        <f>'Cap Outlay Deprec 26'!F16</f>
        <v>9036590</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2874769</v>
      </c>
      <c r="D2033" s="2" t="str">
        <f t="shared" si="30"/>
        <v>Error?</v>
      </c>
    </row>
    <row r="2034" spans="1:4" x14ac:dyDescent="0.2">
      <c r="A2034" s="5">
        <v>1973</v>
      </c>
      <c r="B2034" s="1832">
        <f>'Cap Outlay Deprec 26'!H10</f>
        <v>587213</v>
      </c>
      <c r="D2034" s="2" t="str">
        <f t="shared" si="30"/>
        <v>Error?</v>
      </c>
    </row>
    <row r="2035" spans="1:4" x14ac:dyDescent="0.2">
      <c r="A2035" s="5">
        <v>1974</v>
      </c>
      <c r="B2035" s="1832">
        <f>'Cap Outlay Deprec 26'!H12</f>
        <v>430526</v>
      </c>
      <c r="D2035" s="2" t="str">
        <f t="shared" si="30"/>
        <v>Error?</v>
      </c>
    </row>
    <row r="2036" spans="1:4" x14ac:dyDescent="0.2">
      <c r="A2036" s="5">
        <v>1975</v>
      </c>
      <c r="B2036" s="1832">
        <f>'Cap Outlay Deprec 26'!H13</f>
        <v>599111</v>
      </c>
      <c r="D2036" s="2" t="str">
        <f t="shared" si="30"/>
        <v>Error?</v>
      </c>
    </row>
    <row r="2037" spans="1:4" x14ac:dyDescent="0.2">
      <c r="A2037" s="5">
        <v>1976</v>
      </c>
      <c r="B2037" s="1832">
        <f>'Cap Outlay Deprec 26'!H16</f>
        <v>4491619</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102446</v>
      </c>
      <c r="D2039" s="2" t="str">
        <f t="shared" si="30"/>
        <v>Error?</v>
      </c>
    </row>
    <row r="2040" spans="1:4" x14ac:dyDescent="0.2">
      <c r="A2040" s="5">
        <v>1979</v>
      </c>
      <c r="B2040" s="1832">
        <f>'Cap Outlay Deprec 26'!I10</f>
        <v>42823</v>
      </c>
      <c r="D2040" s="2" t="str">
        <f t="shared" si="30"/>
        <v>Error?</v>
      </c>
    </row>
    <row r="2041" spans="1:4" x14ac:dyDescent="0.2">
      <c r="A2041" s="5">
        <v>1980</v>
      </c>
      <c r="B2041" s="1832">
        <f>'Cap Outlay Deprec 26'!I12</f>
        <v>92005</v>
      </c>
      <c r="D2041" s="2" t="str">
        <f t="shared" si="30"/>
        <v>Error?</v>
      </c>
    </row>
    <row r="2042" spans="1:4" x14ac:dyDescent="0.2">
      <c r="A2042" s="5">
        <v>1981</v>
      </c>
      <c r="B2042" s="1832">
        <f>'Cap Outlay Deprec 26'!I13</f>
        <v>38109</v>
      </c>
      <c r="D2042" s="2" t="str">
        <f t="shared" si="30"/>
        <v>Error?</v>
      </c>
    </row>
    <row r="2043" spans="1:4" x14ac:dyDescent="0.2">
      <c r="A2043" s="5">
        <v>1982</v>
      </c>
      <c r="B2043" s="1832">
        <f>'Cap Outlay Deprec 26'!I16</f>
        <v>275383</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70170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70170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2977215</v>
      </c>
      <c r="C2051" s="2" t="s">
        <v>568</v>
      </c>
      <c r="D2051" s="2" t="str">
        <f t="shared" si="31"/>
        <v>Error?</v>
      </c>
    </row>
    <row r="2052" spans="1:4" x14ac:dyDescent="0.2">
      <c r="A2052" s="5">
        <v>1991</v>
      </c>
      <c r="B2052" s="1832">
        <f>'Cap Outlay Deprec 26'!K10</f>
        <v>630036</v>
      </c>
      <c r="C2052" s="2" t="s">
        <v>568</v>
      </c>
      <c r="D2052" s="2" t="str">
        <f t="shared" si="31"/>
        <v>Error?</v>
      </c>
    </row>
    <row r="2053" spans="1:4" x14ac:dyDescent="0.2">
      <c r="A2053" s="5">
        <v>1992</v>
      </c>
      <c r="B2053" s="1832">
        <f>'Cap Outlay Deprec 26'!K12</f>
        <v>452361</v>
      </c>
      <c r="C2053" s="2" t="s">
        <v>568</v>
      </c>
      <c r="D2053" s="2" t="str">
        <f t="shared" si="31"/>
        <v>Error?</v>
      </c>
    </row>
    <row r="2054" spans="1:4" x14ac:dyDescent="0.2">
      <c r="A2054" s="5">
        <v>1993</v>
      </c>
      <c r="B2054" s="1832">
        <f>'Cap Outlay Deprec 26'!K13</f>
        <v>637220</v>
      </c>
      <c r="C2054" s="2" t="s">
        <v>568</v>
      </c>
      <c r="D2054" s="2" t="str">
        <f t="shared" si="31"/>
        <v>Error?</v>
      </c>
    </row>
    <row r="2055" spans="1:4" x14ac:dyDescent="0.2">
      <c r="A2055" s="5">
        <v>1994</v>
      </c>
      <c r="B2055" s="1832">
        <f>'Cap Outlay Deprec 26'!K16</f>
        <v>4696832</v>
      </c>
      <c r="C2055" s="2" t="s">
        <v>568</v>
      </c>
      <c r="D2055" s="2" t="str">
        <f t="shared" si="31"/>
        <v>Error?</v>
      </c>
    </row>
    <row r="2056" spans="1:4" x14ac:dyDescent="0.2">
      <c r="A2056" s="5">
        <v>1995</v>
      </c>
      <c r="B2056" s="1832">
        <f>'Cap Outlay Deprec 26'!L5</f>
        <v>39570</v>
      </c>
      <c r="C2056" s="2" t="s">
        <v>568</v>
      </c>
      <c r="D2056" s="2" t="str">
        <f t="shared" si="31"/>
        <v>Error?</v>
      </c>
    </row>
    <row r="2057" spans="1:4" x14ac:dyDescent="0.2">
      <c r="A2057" s="5">
        <v>1996</v>
      </c>
      <c r="B2057" s="1832">
        <f>'Cap Outlay Deprec 26'!L8</f>
        <v>3327480</v>
      </c>
      <c r="C2057" s="2" t="s">
        <v>568</v>
      </c>
      <c r="D2057" s="2" t="str">
        <f t="shared" si="31"/>
        <v>Error?</v>
      </c>
    </row>
    <row r="2058" spans="1:4" x14ac:dyDescent="0.2">
      <c r="A2058" s="5">
        <v>1997</v>
      </c>
      <c r="B2058" s="1832">
        <f>'Cap Outlay Deprec 26'!L10</f>
        <v>461983</v>
      </c>
      <c r="C2058" s="2" t="s">
        <v>568</v>
      </c>
      <c r="D2058" s="2" t="str">
        <f t="shared" si="31"/>
        <v>Error?</v>
      </c>
    </row>
    <row r="2059" spans="1:4" x14ac:dyDescent="0.2">
      <c r="A2059" s="5">
        <v>1998</v>
      </c>
      <c r="B2059" s="1832">
        <f>'Cap Outlay Deprec 26'!L12</f>
        <v>467724</v>
      </c>
      <c r="C2059" s="2" t="s">
        <v>568</v>
      </c>
      <c r="D2059" s="2" t="str">
        <f t="shared" si="31"/>
        <v>Error?</v>
      </c>
    </row>
    <row r="2060" spans="1:4" x14ac:dyDescent="0.2">
      <c r="A2060" s="5">
        <v>1999</v>
      </c>
      <c r="B2060" s="1832">
        <f>'Cap Outlay Deprec 26'!L13</f>
        <v>43001</v>
      </c>
      <c r="C2060" s="2" t="s">
        <v>568</v>
      </c>
      <c r="D2060" s="2" t="str">
        <f t="shared" si="31"/>
        <v>Error?</v>
      </c>
    </row>
    <row r="2061" spans="1:4" x14ac:dyDescent="0.2">
      <c r="A2061" s="5">
        <v>2000</v>
      </c>
      <c r="B2061" s="1832">
        <f>'Cap Outlay Deprec 26'!L16</f>
        <v>4339758</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568</v>
      </c>
      <c r="D2088" s="2" t="str">
        <f t="shared" si="31"/>
        <v>Error?</v>
      </c>
    </row>
    <row r="2089" spans="1:4" x14ac:dyDescent="0.2">
      <c r="A2089" s="5">
        <v>2028</v>
      </c>
      <c r="B2089" s="1832">
        <f>'Expenditures 15-22'!K92</f>
        <v>512315</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91217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119679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1965418</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2267251</v>
      </c>
      <c r="C2553" s="2" t="s">
        <v>568</v>
      </c>
      <c r="D2553" s="2" t="str">
        <f t="shared" si="38"/>
        <v>Error?</v>
      </c>
    </row>
    <row r="2554" spans="1:4" x14ac:dyDescent="0.2">
      <c r="A2554" s="5">
        <v>2493</v>
      </c>
      <c r="B2554" s="1832">
        <f>'Acct Summary 7-8'!C7</f>
        <v>684533</v>
      </c>
      <c r="C2554" s="2" t="s">
        <v>568</v>
      </c>
      <c r="D2554" s="2" t="str">
        <f t="shared" si="38"/>
        <v>Error?</v>
      </c>
    </row>
    <row r="2555" spans="1:4" x14ac:dyDescent="0.2">
      <c r="A2555" s="5">
        <v>2494</v>
      </c>
      <c r="B2555" s="1832">
        <f>'Acct Summary 7-8'!C8</f>
        <v>4917202</v>
      </c>
      <c r="C2555" s="2" t="s">
        <v>568</v>
      </c>
      <c r="D2555" s="2" t="str">
        <f t="shared" si="38"/>
        <v>Error?</v>
      </c>
    </row>
    <row r="2556" spans="1:4" x14ac:dyDescent="0.2">
      <c r="A2556" s="5">
        <v>2495</v>
      </c>
      <c r="B2556" s="1832">
        <f>'Acct Summary 7-8'!C12</f>
        <v>3114295</v>
      </c>
      <c r="C2556" s="2" t="s">
        <v>568</v>
      </c>
      <c r="D2556" s="2" t="str">
        <f t="shared" si="38"/>
        <v>Error?</v>
      </c>
    </row>
    <row r="2557" spans="1:4" x14ac:dyDescent="0.2">
      <c r="A2557" s="5">
        <v>2496</v>
      </c>
      <c r="B2557" s="1832">
        <f>'Acct Summary 7-8'!C13</f>
        <v>1165169</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512315</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4791779</v>
      </c>
      <c r="C2561" s="2" t="s">
        <v>568</v>
      </c>
      <c r="D2561" s="2" t="str">
        <f t="shared" si="39"/>
        <v>Error?</v>
      </c>
    </row>
    <row r="2562" spans="1:4" x14ac:dyDescent="0.2">
      <c r="A2562" s="5">
        <v>2501</v>
      </c>
      <c r="B2562" s="1832">
        <f>'Acct Summary 7-8'!C20</f>
        <v>125423</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308307</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137072</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445379</v>
      </c>
      <c r="C2568" s="2" t="s">
        <v>568</v>
      </c>
      <c r="D2568" s="2" t="str">
        <f t="shared" si="39"/>
        <v>Error?</v>
      </c>
    </row>
    <row r="2569" spans="1:4" x14ac:dyDescent="0.2">
      <c r="A2569" s="5">
        <v>2508</v>
      </c>
      <c r="B2569" s="1832">
        <f>'Acct Summary 7-8'!D13</f>
        <v>435203</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435203</v>
      </c>
      <c r="C2573" s="2" t="s">
        <v>568</v>
      </c>
      <c r="D2573" s="2" t="str">
        <f t="shared" si="39"/>
        <v>Error?</v>
      </c>
    </row>
    <row r="2574" spans="1:4" x14ac:dyDescent="0.2">
      <c r="A2574" s="5">
        <v>2513</v>
      </c>
      <c r="B2574" s="1832">
        <f>'Acct Summary 7-8'!D20</f>
        <v>10176</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130393</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118512</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248905</v>
      </c>
      <c r="C2595" s="2" t="s">
        <v>568</v>
      </c>
      <c r="D2595" s="2" t="str">
        <f t="shared" si="39"/>
        <v>Error?</v>
      </c>
    </row>
    <row r="2596" spans="1:4" x14ac:dyDescent="0.2">
      <c r="A2596" s="5">
        <v>2535</v>
      </c>
      <c r="B2596" s="1832">
        <f>'Acct Summary 7-8'!F13</f>
        <v>232576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37480</v>
      </c>
      <c r="C2599" s="2" t="s">
        <v>568</v>
      </c>
      <c r="D2599" s="2" t="str">
        <f t="shared" si="39"/>
        <v>Error?</v>
      </c>
    </row>
    <row r="2600" spans="1:4" x14ac:dyDescent="0.2">
      <c r="A2600" s="5">
        <v>2539</v>
      </c>
      <c r="B2600" s="1832">
        <f>'Acct Summary 7-8'!F17</f>
        <v>270056</v>
      </c>
      <c r="C2600" s="2" t="s">
        <v>568</v>
      </c>
      <c r="D2600" s="2" t="str">
        <f t="shared" si="39"/>
        <v>Error?</v>
      </c>
    </row>
    <row r="2601" spans="1:4" x14ac:dyDescent="0.2">
      <c r="A2601" s="5">
        <v>2540</v>
      </c>
      <c r="B2601" s="1832">
        <f>'Acct Summary 7-8'!F20</f>
        <v>-21151</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190363</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190363</v>
      </c>
      <c r="C2606" s="2" t="s">
        <v>568</v>
      </c>
      <c r="D2606" s="2" t="str">
        <f t="shared" si="39"/>
        <v>Error?</v>
      </c>
    </row>
    <row r="2607" spans="1:4" x14ac:dyDescent="0.2">
      <c r="A2607" s="5">
        <v>2546</v>
      </c>
      <c r="B2607" s="1832">
        <f>'Acct Summary 7-8'!G12</f>
        <v>61113</v>
      </c>
      <c r="C2607" s="2" t="s">
        <v>568</v>
      </c>
      <c r="D2607" s="2" t="str">
        <f t="shared" si="39"/>
        <v>Error?</v>
      </c>
    </row>
    <row r="2608" spans="1:4" x14ac:dyDescent="0.2">
      <c r="A2608" s="5">
        <v>2547</v>
      </c>
      <c r="B2608" s="1832">
        <f>'Acct Summary 7-8'!G13</f>
        <v>99496</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172971</v>
      </c>
      <c r="C2612" s="2" t="s">
        <v>568</v>
      </c>
      <c r="D2612" s="2" t="str">
        <f t="shared" si="39"/>
        <v>Error?</v>
      </c>
    </row>
    <row r="2613" spans="1:4" x14ac:dyDescent="0.2">
      <c r="A2613" s="5">
        <v>2552</v>
      </c>
      <c r="B2613" s="1832">
        <f>'Acct Summary 7-8'!G20</f>
        <v>17392</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358254</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358254</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361263</v>
      </c>
      <c r="C2634" s="2" t="s">
        <v>568</v>
      </c>
      <c r="D2634" s="2" t="str">
        <f t="shared" si="40"/>
        <v>Error?</v>
      </c>
    </row>
    <row r="2635" spans="1:4" x14ac:dyDescent="0.2">
      <c r="A2635" s="5">
        <v>2574</v>
      </c>
      <c r="B2635" s="1832">
        <f>'Acct Summary 7-8'!E17</f>
        <v>361263</v>
      </c>
      <c r="C2635" s="2" t="s">
        <v>568</v>
      </c>
      <c r="D2635" s="2" t="str">
        <f t="shared" si="40"/>
        <v>Error?</v>
      </c>
    </row>
    <row r="2636" spans="1:4" x14ac:dyDescent="0.2">
      <c r="A2636" s="5">
        <v>2575</v>
      </c>
      <c r="B2636" s="1832">
        <f>'Acct Summary 7-8'!E20</f>
        <v>-3009</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66511</v>
      </c>
      <c r="C2655" s="2" t="s">
        <v>568</v>
      </c>
      <c r="D2655" s="2" t="str">
        <f t="shared" si="40"/>
        <v>Error?</v>
      </c>
    </row>
    <row r="2656" spans="1:4" x14ac:dyDescent="0.2">
      <c r="A2656" s="5">
        <v>2595</v>
      </c>
      <c r="B2656" s="1832">
        <f>'Acct Summary 7-8'!H6</f>
        <v>50000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116511</v>
      </c>
      <c r="C2658" s="2" t="s">
        <v>568</v>
      </c>
      <c r="D2658" s="2" t="str">
        <f t="shared" si="40"/>
        <v>Error?</v>
      </c>
    </row>
    <row r="2659" spans="1:4" x14ac:dyDescent="0.2">
      <c r="A2659" s="5">
        <v>2598</v>
      </c>
      <c r="B2659" s="1832">
        <f>'Acct Summary 7-8'!H13</f>
        <v>92320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92320</v>
      </c>
      <c r="C2661" s="2" t="s">
        <v>568</v>
      </c>
      <c r="D2661" s="2" t="str">
        <f t="shared" si="40"/>
        <v>Error?</v>
      </c>
    </row>
    <row r="2662" spans="1:4" x14ac:dyDescent="0.2">
      <c r="A2662" s="5">
        <v>2601</v>
      </c>
      <c r="B2662" s="1832">
        <f>'Acct Summary 7-8'!H20</f>
        <v>24191</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204164</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420312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946117</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204164</v>
      </c>
      <c r="D2912" s="2" t="str">
        <f t="shared" si="44"/>
        <v>Error?</v>
      </c>
    </row>
    <row r="2913" spans="1:4" x14ac:dyDescent="0.2">
      <c r="A2913" s="5">
        <v>2852</v>
      </c>
      <c r="B2913" s="1832">
        <f>'Assets-Liab 5-6'!I41</f>
        <v>204164</v>
      </c>
      <c r="C2913" s="2" t="s">
        <v>568</v>
      </c>
      <c r="D2913" s="2" t="str">
        <f t="shared" si="44"/>
        <v>Error?</v>
      </c>
    </row>
    <row r="2914" spans="1:4" x14ac:dyDescent="0.2">
      <c r="A2914" s="5">
        <v>2853</v>
      </c>
      <c r="B2914" s="1832">
        <f>'Assets-Liab 5-6'!L33</f>
        <v>188517</v>
      </c>
      <c r="D2914" s="2" t="str">
        <f t="shared" si="44"/>
        <v>Error?</v>
      </c>
    </row>
    <row r="2915" spans="1:4" x14ac:dyDescent="0.2">
      <c r="A2915" s="10">
        <v>2854</v>
      </c>
      <c r="B2915" s="1832"/>
      <c r="D2915" s="2" t="str">
        <f t="shared" si="44"/>
        <v>OK</v>
      </c>
    </row>
    <row r="2916" spans="1:4" x14ac:dyDescent="0.2">
      <c r="A2916" s="5">
        <v>2855</v>
      </c>
      <c r="B2916" s="1832">
        <f>'Assets-Liab 5-6'!L34</f>
        <v>188517</v>
      </c>
      <c r="C2916" s="2" t="s">
        <v>568</v>
      </c>
      <c r="D2916" s="2" t="str">
        <f t="shared" si="44"/>
        <v>Error?</v>
      </c>
    </row>
    <row r="2917" spans="1:4" x14ac:dyDescent="0.2">
      <c r="A2917" s="5">
        <v>2856</v>
      </c>
      <c r="B2917" s="1832">
        <f>'Assets-Liab 5-6'!L41</f>
        <v>946117</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0</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91555</v>
      </c>
      <c r="D3055" s="2" t="str">
        <f t="shared" si="46"/>
        <v>Error?</v>
      </c>
    </row>
    <row r="3056" spans="1:4" x14ac:dyDescent="0.2">
      <c r="A3056" s="5">
        <v>2995</v>
      </c>
      <c r="B3056" s="1832">
        <f>'Expenditures 15-22'!D10</f>
        <v>28736</v>
      </c>
      <c r="D3056" s="2" t="str">
        <f t="shared" si="46"/>
        <v>Error?</v>
      </c>
    </row>
    <row r="3057" spans="1:4" x14ac:dyDescent="0.2">
      <c r="A3057" s="5">
        <v>2996</v>
      </c>
      <c r="B3057" s="1832">
        <f>'Expenditures 15-22'!E10</f>
        <v>37193</v>
      </c>
      <c r="D3057" s="2" t="str">
        <f t="shared" si="46"/>
        <v>Error?</v>
      </c>
    </row>
    <row r="3058" spans="1:4" x14ac:dyDescent="0.2">
      <c r="A3058" s="5">
        <v>2997</v>
      </c>
      <c r="B3058" s="1832">
        <f>'Expenditures 15-22'!F10</f>
        <v>11110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168594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14821</v>
      </c>
      <c r="D3064" s="2" t="str">
        <f t="shared" si="46"/>
        <v>Error?</v>
      </c>
    </row>
    <row r="3065" spans="1:4" x14ac:dyDescent="0.2">
      <c r="A3065" s="5">
        <v>3004</v>
      </c>
      <c r="B3065" s="1832">
        <f>'Expenditures 15-22'!K219</f>
        <v>14821</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757600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30600</v>
      </c>
      <c r="C3225" s="2" t="s">
        <v>568</v>
      </c>
      <c r="D3225" s="2" t="str">
        <f t="shared" si="49"/>
        <v>Error?</v>
      </c>
    </row>
    <row r="3226" spans="1:4" x14ac:dyDescent="0.2">
      <c r="A3226" s="5">
        <v>3165</v>
      </c>
      <c r="B3226" s="1832">
        <f>'Acct Summary 7-8'!I8</f>
        <v>30600</v>
      </c>
      <c r="C3226" s="2" t="s">
        <v>568</v>
      </c>
      <c r="D3226" s="2" t="str">
        <f t="shared" si="49"/>
        <v>Error?</v>
      </c>
    </row>
    <row r="3227" spans="1:4" x14ac:dyDescent="0.2">
      <c r="A3227" s="5">
        <v>3166</v>
      </c>
      <c r="B3227" s="1832">
        <f>'Acct Summary 7-8'!I20</f>
        <v>30600</v>
      </c>
      <c r="C3227" s="2" t="s">
        <v>568</v>
      </c>
      <c r="D3227" s="2" t="str">
        <f t="shared" si="49"/>
        <v>Error?</v>
      </c>
    </row>
    <row r="3228" spans="1:4" x14ac:dyDescent="0.2">
      <c r="A3228" s="5">
        <v>3167</v>
      </c>
      <c r="B3228" s="1832">
        <f>'Acct Summary 7-8'!C43</f>
        <v>81453</v>
      </c>
      <c r="D3228" s="2" t="str">
        <f t="shared" si="49"/>
        <v>Error?</v>
      </c>
    </row>
    <row r="3229" spans="1:4" x14ac:dyDescent="0.2">
      <c r="A3229" s="5">
        <v>3168</v>
      </c>
      <c r="B3229" s="1832">
        <f>'Acct Summary 7-8'!C44</f>
        <v>81453</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49082</v>
      </c>
      <c r="C3231" s="2" t="s">
        <v>568</v>
      </c>
      <c r="D3231" s="2" t="str">
        <f t="shared" si="49"/>
        <v>Error?</v>
      </c>
    </row>
    <row r="3232" spans="1:4" x14ac:dyDescent="0.2">
      <c r="A3232" s="5">
        <v>3171</v>
      </c>
      <c r="B3232" s="1832">
        <f>'Acct Summary 7-8'!C77</f>
        <v>32371</v>
      </c>
      <c r="C3232" s="2" t="s">
        <v>568</v>
      </c>
      <c r="D3232" s="2" t="str">
        <f t="shared" si="49"/>
        <v>Error?</v>
      </c>
    </row>
    <row r="3233" spans="1:4" x14ac:dyDescent="0.2">
      <c r="A3233" s="5">
        <v>3172</v>
      </c>
      <c r="B3233" s="1832">
        <f>'Acct Summary 7-8'!C78</f>
        <v>157794</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10176</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30000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30000</v>
      </c>
      <c r="C3255" s="2" t="s">
        <v>568</v>
      </c>
      <c r="D3255" s="2" t="str">
        <f t="shared" si="49"/>
        <v>Error?</v>
      </c>
    </row>
    <row r="3256" spans="1:4" x14ac:dyDescent="0.2">
      <c r="A3256" s="5">
        <v>3195</v>
      </c>
      <c r="B3256" s="1832">
        <f>'Acct Summary 7-8'!F78</f>
        <v>8849</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17392</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49082</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49082</v>
      </c>
      <c r="C3277" s="2" t="s">
        <v>568</v>
      </c>
      <c r="D3277" s="2" t="str">
        <f t="shared" si="50"/>
        <v>Error?</v>
      </c>
    </row>
    <row r="3278" spans="1:4" x14ac:dyDescent="0.2">
      <c r="A3278" s="5">
        <v>3217</v>
      </c>
      <c r="B3278" s="1832">
        <f>'Acct Summary 7-8'!E78</f>
        <v>46073</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24191</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30000</v>
      </c>
      <c r="C3318" s="2" t="s">
        <v>568</v>
      </c>
      <c r="D3318" s="2" t="str">
        <f t="shared" si="50"/>
        <v>Error?</v>
      </c>
    </row>
    <row r="3319" spans="1:4" x14ac:dyDescent="0.2">
      <c r="A3319" s="5">
        <v>3258</v>
      </c>
      <c r="B3319" s="1832">
        <f>'Acct Summary 7-8'!I77</f>
        <v>-30000</v>
      </c>
      <c r="C3319" s="2" t="s">
        <v>568</v>
      </c>
      <c r="D3319" s="2" t="str">
        <f t="shared" si="50"/>
        <v>Error?</v>
      </c>
    </row>
    <row r="3320" spans="1:4" x14ac:dyDescent="0.2">
      <c r="A3320" s="5">
        <v>3259</v>
      </c>
      <c r="B3320" s="1832">
        <f>'Acct Summary 7-8'!I78</f>
        <v>600</v>
      </c>
      <c r="C3320" s="2" t="s">
        <v>568</v>
      </c>
      <c r="D3320" s="2" t="str">
        <f t="shared" si="50"/>
        <v>Error?</v>
      </c>
    </row>
    <row r="3321" spans="1:4" x14ac:dyDescent="0.2">
      <c r="A3321" s="5">
        <v>3260</v>
      </c>
      <c r="B3321" s="1832">
        <f>'Acct Summary 7-8'!I79</f>
        <v>203564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204164</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129935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42083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172018</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30250</v>
      </c>
      <c r="D3387" s="2" t="str">
        <f t="shared" si="51"/>
        <v>Error?</v>
      </c>
    </row>
    <row r="3388" spans="1:4" x14ac:dyDescent="0.2">
      <c r="A3388" s="5">
        <v>3327</v>
      </c>
      <c r="B3388" s="1832">
        <f>'Expenditures 15-22'!D217</f>
        <v>6356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30250</v>
      </c>
      <c r="C3390" s="2" t="s">
        <v>568</v>
      </c>
      <c r="D3390" s="2" t="str">
        <f t="shared" si="51"/>
        <v>Error?</v>
      </c>
    </row>
    <row r="3391" spans="1:4" x14ac:dyDescent="0.2">
      <c r="A3391" s="5">
        <v>3330</v>
      </c>
      <c r="B3391" s="1832">
        <f>'Expenditures 15-22'!K217</f>
        <v>6356</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1111478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226096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334410</v>
      </c>
      <c r="D3417" s="2" t="str">
        <f t="shared" si="52"/>
        <v>Error?</v>
      </c>
    </row>
    <row r="3418" spans="1:4" x14ac:dyDescent="0.2">
      <c r="A3418" s="10">
        <v>3357</v>
      </c>
      <c r="B3418" s="1832"/>
      <c r="D3418" s="2" t="str">
        <f t="shared" si="52"/>
        <v>OK</v>
      </c>
    </row>
    <row r="3419" spans="1:4" x14ac:dyDescent="0.2">
      <c r="A3419" s="5">
        <v>3358</v>
      </c>
      <c r="B3419" s="1832">
        <f>'Assets-Liab 5-6'!F4</f>
        <v>202021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208414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92766</v>
      </c>
      <c r="D3425" s="2" t="str">
        <f t="shared" si="52"/>
        <v>Error?</v>
      </c>
    </row>
    <row r="3426" spans="1:4" x14ac:dyDescent="0.2">
      <c r="A3426" s="10">
        <v>3365</v>
      </c>
      <c r="B3426" s="1832"/>
      <c r="D3426" s="2" t="str">
        <f t="shared" si="52"/>
        <v>OK</v>
      </c>
    </row>
    <row r="3427" spans="1:4" x14ac:dyDescent="0.2">
      <c r="A3427" s="5">
        <v>3366</v>
      </c>
      <c r="B3427" s="1832">
        <f>'Assets-Liab 5-6'!I4</f>
        <v>204164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525805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115631</v>
      </c>
      <c r="C3446" s="2" t="s">
        <v>568</v>
      </c>
      <c r="D3446" s="2" t="str">
        <f t="shared" si="52"/>
        <v>Error?</v>
      </c>
    </row>
    <row r="3447" spans="1:4" x14ac:dyDescent="0.2">
      <c r="A3447" s="5">
        <v>3386</v>
      </c>
      <c r="B3447" s="1832">
        <f>'Tax Sched 23'!D16</f>
        <v>50292</v>
      </c>
      <c r="C3447" s="2" t="s">
        <v>568</v>
      </c>
      <c r="D3447" s="2" t="str">
        <f t="shared" si="52"/>
        <v>Error?</v>
      </c>
    </row>
    <row r="3448" spans="1:4" x14ac:dyDescent="0.2">
      <c r="A3448" s="5">
        <v>3387</v>
      </c>
      <c r="B3448" s="1832">
        <f>'Tax Sched 23'!C16</f>
        <v>65339</v>
      </c>
      <c r="D3448" s="2" t="str">
        <f t="shared" si="52"/>
        <v>Error?</v>
      </c>
    </row>
    <row r="3449" spans="1:4" x14ac:dyDescent="0.2">
      <c r="A3449" s="5">
        <v>3388</v>
      </c>
      <c r="B3449" s="1832">
        <f>'Tax Sched 23'!F16</f>
        <v>56671</v>
      </c>
      <c r="C3449" s="2" t="s">
        <v>568</v>
      </c>
      <c r="D3449" s="2" t="str">
        <f t="shared" si="52"/>
        <v>Error?</v>
      </c>
    </row>
    <row r="3450" spans="1:4" x14ac:dyDescent="0.2">
      <c r="A3450" s="5">
        <v>3389</v>
      </c>
      <c r="B3450" s="1832">
        <f>'Tax Sched 23'!E16</f>
        <v>122010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38007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38007</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38007</v>
      </c>
      <c r="D3567" s="2" t="str">
        <f t="shared" si="54"/>
        <v>Error?</v>
      </c>
    </row>
    <row r="3568" spans="1:4" x14ac:dyDescent="0.2">
      <c r="A3568" s="5">
        <v>3507</v>
      </c>
      <c r="B3568" s="1832">
        <f>'Assets-Liab 5-6'!K41</f>
        <v>38007</v>
      </c>
      <c r="C3568" s="2" t="s">
        <v>568</v>
      </c>
      <c r="D3568" s="2" t="str">
        <f t="shared" si="54"/>
        <v>Error?</v>
      </c>
    </row>
    <row r="3569" spans="1:4" x14ac:dyDescent="0.2">
      <c r="A3569" s="5">
        <v>3508</v>
      </c>
      <c r="B3569" s="1832">
        <f>'Acct Summary 7-8'!K4</f>
        <v>43</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43</v>
      </c>
      <c r="C3571" s="2" t="s">
        <v>568</v>
      </c>
      <c r="D3571" s="2" t="str">
        <f t="shared" si="54"/>
        <v>Error?</v>
      </c>
    </row>
    <row r="3572" spans="1:4" x14ac:dyDescent="0.2">
      <c r="A3572" s="5">
        <v>3511</v>
      </c>
      <c r="B3572" s="1832">
        <f>'Acct Summary 7-8'!K13</f>
        <v>175</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175</v>
      </c>
      <c r="C3575" s="2" t="s">
        <v>568</v>
      </c>
      <c r="D3575" s="2" t="str">
        <f t="shared" si="54"/>
        <v>Error?</v>
      </c>
    </row>
    <row r="3576" spans="1:4" x14ac:dyDescent="0.2">
      <c r="A3576" s="5">
        <v>3515</v>
      </c>
      <c r="B3576" s="1832">
        <f>'Acct Summary 7-8'!K20</f>
        <v>-132</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-132</v>
      </c>
      <c r="C3588" s="2" t="s">
        <v>568</v>
      </c>
      <c r="D3588" s="2" t="str">
        <f t="shared" si="55"/>
        <v>Error?</v>
      </c>
    </row>
    <row r="3589" spans="1:4" x14ac:dyDescent="0.2">
      <c r="A3589" s="5">
        <v>3528</v>
      </c>
      <c r="B3589" s="1832">
        <f>'Acct Summary 7-8'!K79</f>
        <v>38139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38007</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175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175</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175</v>
      </c>
      <c r="C3635" s="2" t="s">
        <v>568</v>
      </c>
      <c r="D3635" s="2" t="str">
        <f t="shared" si="55"/>
        <v>Error?</v>
      </c>
    </row>
    <row r="3636" spans="1:4" x14ac:dyDescent="0.2">
      <c r="A3636" s="5">
        <v>3575</v>
      </c>
      <c r="B3636" s="1832">
        <f>'Expenditures 15-22'!E367</f>
        <v>175</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175</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175</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175</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175</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-132</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12362</v>
      </c>
      <c r="D3721" s="2" t="str">
        <f t="shared" si="57"/>
        <v>Error?</v>
      </c>
    </row>
    <row r="3722" spans="1:4" x14ac:dyDescent="0.2">
      <c r="A3722" s="5">
        <v>3661</v>
      </c>
      <c r="B3722" s="1832">
        <f>'Expenditures 15-22'!D285</f>
        <v>12362</v>
      </c>
      <c r="C3722" s="2" t="s">
        <v>568</v>
      </c>
      <c r="D3722" s="2" t="str">
        <f t="shared" si="57"/>
        <v>Error?</v>
      </c>
    </row>
    <row r="3723" spans="1:4" x14ac:dyDescent="0.2">
      <c r="A3723" s="5">
        <v>3662</v>
      </c>
      <c r="B3723" s="1832">
        <f>'Expenditures 15-22'!K283</f>
        <v>12362</v>
      </c>
      <c r="C3723" s="2" t="s">
        <v>568</v>
      </c>
      <c r="D3723" s="2" t="str">
        <f t="shared" si="57"/>
        <v>Error?</v>
      </c>
    </row>
    <row r="3724" spans="1:4" x14ac:dyDescent="0.2">
      <c r="A3724" s="5">
        <v>3663</v>
      </c>
      <c r="B3724" s="1832">
        <f>'Expenditures 15-22'!K285</f>
        <v>12362</v>
      </c>
      <c r="C3724" s="2" t="s">
        <v>568</v>
      </c>
      <c r="D3724" s="2" t="str">
        <f t="shared" si="57"/>
        <v>Error?</v>
      </c>
    </row>
    <row r="3725" spans="1:4" x14ac:dyDescent="0.2">
      <c r="A3725" s="5">
        <v>3664</v>
      </c>
      <c r="B3725" s="1832">
        <f>'Tax Sched 23'!B13</f>
        <v>30339</v>
      </c>
      <c r="C3725" s="2" t="s">
        <v>568</v>
      </c>
      <c r="D3725" s="2" t="str">
        <f t="shared" si="57"/>
        <v>Error?</v>
      </c>
    </row>
    <row r="3726" spans="1:4" x14ac:dyDescent="0.2">
      <c r="A3726" s="5">
        <v>3665</v>
      </c>
      <c r="B3726" s="1832">
        <f>'Tax Sched 23'!D13</f>
        <v>14247</v>
      </c>
      <c r="C3726" s="2" t="s">
        <v>568</v>
      </c>
      <c r="D3726" s="2" t="str">
        <f t="shared" si="57"/>
        <v>Error?</v>
      </c>
    </row>
    <row r="3727" spans="1:4" x14ac:dyDescent="0.2">
      <c r="A3727" s="5">
        <v>3666</v>
      </c>
      <c r="B3727" s="1832">
        <f>'Tax Sched 23'!C13</f>
        <v>16092</v>
      </c>
      <c r="D3727" s="2" t="str">
        <f t="shared" si="57"/>
        <v>Error?</v>
      </c>
    </row>
    <row r="3728" spans="1:4" x14ac:dyDescent="0.2">
      <c r="A3728" s="5">
        <v>3667</v>
      </c>
      <c r="B3728" s="1832">
        <f>'Tax Sched 23'!F13</f>
        <v>13958</v>
      </c>
      <c r="C3728" s="2" t="s">
        <v>568</v>
      </c>
      <c r="D3728" s="2" t="str">
        <f t="shared" si="57"/>
        <v>Error?</v>
      </c>
    </row>
    <row r="3729" spans="1:4" x14ac:dyDescent="0.2">
      <c r="A3729" s="5">
        <v>3668</v>
      </c>
      <c r="B3729" s="1832">
        <f>'Tax Sched 23'!E13</f>
        <v>30050</v>
      </c>
      <c r="D3729" s="2" t="str">
        <f t="shared" si="57"/>
        <v>Error?</v>
      </c>
    </row>
    <row r="3730" spans="1:4" x14ac:dyDescent="0.2">
      <c r="A3730" s="5">
        <v>3669</v>
      </c>
      <c r="B3730" s="1832">
        <f>'ICR Computation 30'!E10</f>
        <v>57964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2255277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7172479</v>
      </c>
      <c r="C4122" s="2" t="s">
        <v>568</v>
      </c>
      <c r="D4122" s="2" t="str">
        <f t="shared" si="63"/>
        <v>Error?</v>
      </c>
    </row>
    <row r="4123" spans="1:4" x14ac:dyDescent="0.2">
      <c r="A4123" s="5">
        <v>4062</v>
      </c>
      <c r="B4123" s="1832">
        <f>'Acct Summary 7-8'!D10</f>
        <v>445379</v>
      </c>
      <c r="C4123" s="2" t="s">
        <v>568</v>
      </c>
      <c r="D4123" s="2" t="str">
        <f t="shared" si="63"/>
        <v>Error?</v>
      </c>
    </row>
    <row r="4124" spans="1:4" x14ac:dyDescent="0.2">
      <c r="A4124" s="5">
        <v>4063</v>
      </c>
      <c r="B4124" s="1832">
        <f>'Acct Summary 7-8'!E10</f>
        <v>358254</v>
      </c>
      <c r="C4124" s="2" t="s">
        <v>568</v>
      </c>
      <c r="D4124" s="2" t="str">
        <f t="shared" si="63"/>
        <v>Error?</v>
      </c>
    </row>
    <row r="4125" spans="1:4" x14ac:dyDescent="0.2">
      <c r="A4125" s="5">
        <v>4064</v>
      </c>
      <c r="B4125" s="1832">
        <f>'Acct Summary 7-8'!F10</f>
        <v>248905</v>
      </c>
      <c r="C4125" s="2" t="s">
        <v>568</v>
      </c>
      <c r="D4125" s="2" t="str">
        <f t="shared" si="63"/>
        <v>Error?</v>
      </c>
    </row>
    <row r="4126" spans="1:4" x14ac:dyDescent="0.2">
      <c r="A4126" s="5">
        <v>4065</v>
      </c>
      <c r="B4126" s="1832">
        <f>'Acct Summary 7-8'!G10</f>
        <v>190363</v>
      </c>
      <c r="C4126" s="2" t="s">
        <v>568</v>
      </c>
      <c r="D4126" s="2" t="str">
        <f t="shared" si="63"/>
        <v>Error?</v>
      </c>
    </row>
    <row r="4127" spans="1:4" x14ac:dyDescent="0.2">
      <c r="A4127" s="5">
        <v>4066</v>
      </c>
      <c r="B4127" s="1832">
        <f>'Acct Summary 7-8'!H10</f>
        <v>116511</v>
      </c>
      <c r="C4127" s="2" t="s">
        <v>568</v>
      </c>
      <c r="D4127" s="2" t="str">
        <f t="shared" si="63"/>
        <v>Error?</v>
      </c>
    </row>
    <row r="4128" spans="1:4" x14ac:dyDescent="0.2">
      <c r="A4128" s="5">
        <v>4067</v>
      </c>
      <c r="B4128" s="1832">
        <f>'Acct Summary 7-8'!I10</f>
        <v>30600</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43</v>
      </c>
      <c r="C4130" s="2" t="s">
        <v>568</v>
      </c>
      <c r="D4130" s="2" t="str">
        <f t="shared" si="63"/>
        <v>Error?</v>
      </c>
    </row>
    <row r="4131" spans="1:4" x14ac:dyDescent="0.2">
      <c r="A4131" s="5">
        <v>4070</v>
      </c>
      <c r="B4131" s="1832">
        <f>'Acct Summary 7-8'!C18</f>
        <v>2255277</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7047056</v>
      </c>
      <c r="C4136" s="2" t="s">
        <v>568</v>
      </c>
      <c r="D4136" s="2" t="str">
        <f t="shared" si="63"/>
        <v>Error?</v>
      </c>
    </row>
    <row r="4137" spans="1:4" x14ac:dyDescent="0.2">
      <c r="A4137" s="5">
        <v>4076</v>
      </c>
      <c r="B4137" s="1832">
        <f>'Acct Summary 7-8'!D19</f>
        <v>435203</v>
      </c>
      <c r="C4137" s="2" t="s">
        <v>568</v>
      </c>
      <c r="D4137" s="2" t="str">
        <f t="shared" si="63"/>
        <v>Error?</v>
      </c>
    </row>
    <row r="4138" spans="1:4" x14ac:dyDescent="0.2">
      <c r="A4138" s="5">
        <v>4077</v>
      </c>
      <c r="B4138" s="1832">
        <f>'Acct Summary 7-8'!E19</f>
        <v>361263</v>
      </c>
      <c r="C4138" s="2" t="s">
        <v>568</v>
      </c>
      <c r="D4138" s="2" t="str">
        <f t="shared" si="63"/>
        <v>Error?</v>
      </c>
    </row>
    <row r="4139" spans="1:4" x14ac:dyDescent="0.2">
      <c r="A4139" s="5">
        <v>4078</v>
      </c>
      <c r="B4139" s="1832">
        <f>'Acct Summary 7-8'!F19</f>
        <v>270056</v>
      </c>
      <c r="C4139" s="2" t="s">
        <v>568</v>
      </c>
      <c r="D4139" s="2" t="str">
        <f t="shared" si="63"/>
        <v>Error?</v>
      </c>
    </row>
    <row r="4140" spans="1:4" x14ac:dyDescent="0.2">
      <c r="A4140" s="5">
        <v>4079</v>
      </c>
      <c r="B4140" s="1832">
        <f>'Acct Summary 7-8'!G19</f>
        <v>172971</v>
      </c>
      <c r="C4140" s="2" t="s">
        <v>568</v>
      </c>
      <c r="D4140" s="2" t="str">
        <f t="shared" si="63"/>
        <v>Error?</v>
      </c>
    </row>
    <row r="4141" spans="1:4" x14ac:dyDescent="0.2">
      <c r="A4141" s="5">
        <v>4080</v>
      </c>
      <c r="B4141" s="1832">
        <f>'Acct Summary 7-8'!H19</f>
        <v>92320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175</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1527749</v>
      </c>
      <c r="C4171" s="2" t="s">
        <v>568</v>
      </c>
      <c r="D4171" s="2" t="str">
        <f t="shared" si="64"/>
        <v>Error?</v>
      </c>
    </row>
    <row r="4172" spans="1:4" x14ac:dyDescent="0.2">
      <c r="A4172" s="5">
        <v>4111</v>
      </c>
      <c r="B4172" s="1832">
        <f>'Short-Term Long-Term Debt 24'!J49</f>
        <v>920161</v>
      </c>
      <c r="C4172" s="2" t="s">
        <v>568</v>
      </c>
      <c r="D4172" s="2" t="str">
        <f t="shared" si="64"/>
        <v>Error?</v>
      </c>
    </row>
    <row r="4173" spans="1:4" x14ac:dyDescent="0.2">
      <c r="A4173" s="5">
        <v>4112</v>
      </c>
      <c r="B4173" s="1832">
        <f>'Short-Term Long-Term Debt 24'!H49</f>
        <v>332182</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63975</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35692</v>
      </c>
      <c r="D4210" s="2" t="str">
        <f t="shared" si="64"/>
        <v>Error?</v>
      </c>
    </row>
    <row r="4211" spans="1:4" x14ac:dyDescent="0.2">
      <c r="A4211" s="5">
        <v>4150</v>
      </c>
      <c r="B4211" s="1832">
        <f>'Expenditures 15-22'!K206</f>
        <v>35692</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2585.3000000000002</v>
      </c>
      <c r="C4265" s="2" t="s">
        <v>568</v>
      </c>
      <c r="D4265" s="2" t="str">
        <f t="shared" si="65"/>
        <v>Error?</v>
      </c>
      <c r="E4265" s="125"/>
    </row>
    <row r="4266" spans="1:5" x14ac:dyDescent="0.2">
      <c r="A4266" s="12">
        <v>4205</v>
      </c>
      <c r="B4266" s="1832">
        <f>('FP Info 3'!F10)*100000</f>
        <v>500</v>
      </c>
      <c r="C4266" s="2" t="s">
        <v>568</v>
      </c>
      <c r="D4266" s="2" t="str">
        <f t="shared" si="65"/>
        <v>Error?</v>
      </c>
      <c r="E4266" s="125"/>
    </row>
    <row r="4267" spans="1:5" x14ac:dyDescent="0.2">
      <c r="A4267" s="12">
        <v>4206</v>
      </c>
      <c r="B4267" s="1832">
        <f>('FP Info 3'!H10)*100000</f>
        <v>200</v>
      </c>
      <c r="C4267" s="2" t="s">
        <v>568</v>
      </c>
      <c r="D4267" s="2" t="str">
        <f t="shared" si="65"/>
        <v>Error?</v>
      </c>
      <c r="E4267" s="125"/>
    </row>
    <row r="4268" spans="1:5" x14ac:dyDescent="0.2">
      <c r="A4268" s="12">
        <v>4207</v>
      </c>
      <c r="B4268" s="1832">
        <f>('FP Info 3'!J10)*100000</f>
        <v>3284.9999999999995</v>
      </c>
      <c r="C4268" s="2" t="s">
        <v>568</v>
      </c>
      <c r="D4268" s="2" t="str">
        <f t="shared" si="65"/>
        <v>Error?</v>
      </c>
    </row>
    <row r="4269" spans="1:5" x14ac:dyDescent="0.2">
      <c r="A4269" s="12">
        <v>4208</v>
      </c>
      <c r="B4269" s="1832">
        <f>'FP Info 3'!J16</f>
        <v>2523493</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4396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57959</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57959</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60341632</v>
      </c>
      <c r="D4995" s="2" t="str">
        <f t="shared" si="77"/>
        <v>Error?</v>
      </c>
    </row>
    <row r="4996" spans="1:4" x14ac:dyDescent="0.2">
      <c r="A4996" s="12">
        <v>4935</v>
      </c>
      <c r="B4996" s="1832">
        <f>'FP Info 3'!H31</f>
        <v>8327145.2160000009</v>
      </c>
      <c r="D4996" s="2" t="str">
        <f t="shared" si="77"/>
        <v>Error?</v>
      </c>
    </row>
    <row r="4997" spans="1:4" x14ac:dyDescent="0.2">
      <c r="A4997" s="12">
        <v>4936</v>
      </c>
      <c r="B4997" s="1832">
        <f>'FP Info 3'!H37</f>
        <v>1527749</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30339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1576287</v>
      </c>
      <c r="D5061" s="2" t="str">
        <f t="shared" si="78"/>
        <v>Error?</v>
      </c>
    </row>
    <row r="5062" spans="1:4" x14ac:dyDescent="0.2">
      <c r="A5062" s="10">
        <v>5001</v>
      </c>
      <c r="B5062" s="1832"/>
      <c r="D5062" s="2" t="str">
        <f t="shared" si="78"/>
        <v>OK</v>
      </c>
    </row>
    <row r="5063" spans="1:4" x14ac:dyDescent="0.2">
      <c r="A5063" s="5">
        <v>5002</v>
      </c>
      <c r="B5063" s="1832">
        <f>'Revenues 9-14'!C7</f>
        <v>24259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1630885</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1058</v>
      </c>
      <c r="D5068" s="2" t="str">
        <f t="shared" si="78"/>
        <v>Error?</v>
      </c>
    </row>
    <row r="5069" spans="1:4" x14ac:dyDescent="0.2">
      <c r="A5069" s="5">
        <v>5008</v>
      </c>
      <c r="B5069" s="1832">
        <f>'Revenues 9-14'!C16</f>
        <v>166852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167910</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9362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9362</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5383</v>
      </c>
      <c r="D5094" s="2" t="str">
        <f t="shared" si="78"/>
        <v>Error?</v>
      </c>
    </row>
    <row r="5095" spans="1:4" x14ac:dyDescent="0.2">
      <c r="A5095" s="5">
        <v>5034</v>
      </c>
      <c r="B5095" s="1832">
        <f>'Revenues 9-14'!C74</f>
        <v>1248</v>
      </c>
      <c r="D5095" s="2" t="str">
        <f t="shared" si="78"/>
        <v>Error?</v>
      </c>
    </row>
    <row r="5096" spans="1:4" x14ac:dyDescent="0.2">
      <c r="A5096" s="5">
        <v>5035</v>
      </c>
      <c r="B5096" s="1832">
        <f>'Revenues 9-14'!C75</f>
        <v>71138</v>
      </c>
      <c r="C5096" s="2" t="s">
        <v>568</v>
      </c>
      <c r="D5096" s="2" t="str">
        <f t="shared" si="78"/>
        <v>Error?</v>
      </c>
    </row>
    <row r="5097" spans="1:4" x14ac:dyDescent="0.2">
      <c r="A5097" s="5">
        <v>5036</v>
      </c>
      <c r="B5097" s="1832">
        <f>'Revenues 9-14'!C77</f>
        <v>13838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14538</v>
      </c>
      <c r="C5102" s="2" t="s">
        <v>568</v>
      </c>
      <c r="D5102" s="2" t="str">
        <f t="shared" si="78"/>
        <v>Error?</v>
      </c>
    </row>
    <row r="5103" spans="1:4" x14ac:dyDescent="0.2">
      <c r="A5103" s="5">
        <v>5042</v>
      </c>
      <c r="B5103" s="1832">
        <f>'Revenues 9-14'!C84</f>
        <v>23682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6425</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30107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11658</v>
      </c>
      <c r="D5115" s="2" t="str">
        <f t="shared" si="78"/>
        <v>Error?</v>
      </c>
    </row>
    <row r="5116" spans="1:4" x14ac:dyDescent="0.2">
      <c r="A5116" s="5">
        <v>5055</v>
      </c>
      <c r="B5116" s="1832">
        <f>'Revenues 9-14'!C99</f>
        <v>15425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942</v>
      </c>
      <c r="D5119" s="2" t="str">
        <f t="shared" ref="D5119:D5182" si="79">IF(ISBLANK(B5119),"OK",IF(A5119-B5119=0,"OK","Error?"))</f>
        <v>Error?</v>
      </c>
    </row>
    <row r="5120" spans="1:4" x14ac:dyDescent="0.2">
      <c r="A5120" s="5">
        <v>5059</v>
      </c>
      <c r="B5120" s="1832">
        <f>'Revenues 9-14'!C108</f>
        <v>41478</v>
      </c>
      <c r="C5120" s="2" t="s">
        <v>568</v>
      </c>
      <c r="D5120" s="2" t="str">
        <f t="shared" si="79"/>
        <v>Error?</v>
      </c>
    </row>
    <row r="5121" spans="1:4" x14ac:dyDescent="0.2">
      <c r="A5121" s="5">
        <v>5060</v>
      </c>
      <c r="B5121" s="1832">
        <f>'Revenues 9-14'!C109</f>
        <v>1965418</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2094247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2094247</v>
      </c>
      <c r="C5132" s="2" t="s">
        <v>568</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10468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24533</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1574</v>
      </c>
      <c r="D5167" s="2" t="str">
        <f t="shared" si="79"/>
        <v>Error?</v>
      </c>
    </row>
    <row r="5168" spans="1:4" x14ac:dyDescent="0.2">
      <c r="A5168" s="5">
        <v>5107</v>
      </c>
      <c r="B5168" s="1832">
        <f>'Revenues 9-14'!C148</f>
        <v>4524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141623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173004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2267251</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88331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19903</v>
      </c>
      <c r="D5241" s="2" t="str">
        <f t="shared" si="80"/>
        <v>Error?</v>
      </c>
    </row>
    <row r="5242" spans="1:4" x14ac:dyDescent="0.2">
      <c r="A5242" s="5">
        <v>5181</v>
      </c>
      <c r="B5242" s="1832">
        <f>'Revenues 9-14'!C194</f>
        <v>155845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264079</v>
      </c>
      <c r="C5246" s="2" t="s">
        <v>568</v>
      </c>
      <c r="D5246" s="2" t="str">
        <f t="shared" si="80"/>
        <v>Error?</v>
      </c>
    </row>
    <row r="5247" spans="1:4" x14ac:dyDescent="0.2">
      <c r="A5247" s="5">
        <v>5186</v>
      </c>
      <c r="B5247" s="1832">
        <f>'Revenues 9-14'!C200</f>
        <v>226206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226206</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7573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124320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131893</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684533</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684533</v>
      </c>
      <c r="C5326" s="2" t="s">
        <v>568</v>
      </c>
      <c r="D5326" s="2" t="str">
        <f t="shared" si="82"/>
        <v>Error?</v>
      </c>
    </row>
    <row r="5327" spans="1:5" x14ac:dyDescent="0.2">
      <c r="A5327" s="5">
        <v>5266</v>
      </c>
      <c r="B5327" s="1832">
        <f>'Revenues 9-14'!C268</f>
        <v>4917202</v>
      </c>
      <c r="C5327" s="2" t="s">
        <v>568</v>
      </c>
      <c r="D5327" s="2" t="str">
        <f t="shared" si="82"/>
        <v>Error?</v>
      </c>
    </row>
    <row r="5328" spans="1:5" x14ac:dyDescent="0.2">
      <c r="A5328" s="5">
        <v>5267</v>
      </c>
      <c r="B5328" s="1832">
        <f>'Revenues 9-14'!D5</f>
        <v>304046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304046</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197</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197</v>
      </c>
      <c r="C5339" s="2" t="s">
        <v>568</v>
      </c>
      <c r="D5339" s="2" t="str">
        <f t="shared" si="82"/>
        <v>Error?</v>
      </c>
    </row>
    <row r="5340" spans="1:4" x14ac:dyDescent="0.2">
      <c r="A5340" s="5">
        <v>5279</v>
      </c>
      <c r="B5340" s="1832">
        <f>'Revenues 9-14'!D65</f>
        <v>3814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3814</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250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250</v>
      </c>
      <c r="C5355" s="2" t="s">
        <v>568</v>
      </c>
      <c r="D5355" s="2" t="str">
        <f t="shared" si="82"/>
        <v>Error?</v>
      </c>
    </row>
    <row r="5356" spans="1:4" x14ac:dyDescent="0.2">
      <c r="A5356" s="5">
        <v>5295</v>
      </c>
      <c r="B5356" s="1832">
        <f>'Revenues 9-14'!D109</f>
        <v>308307</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137072</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137072</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137072</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445379</v>
      </c>
      <c r="C5508" s="2" t="s">
        <v>568</v>
      </c>
      <c r="D5508" s="2" t="str">
        <f t="shared" si="85"/>
        <v>Error?</v>
      </c>
    </row>
    <row r="5509" spans="1:4" x14ac:dyDescent="0.2">
      <c r="A5509" s="5">
        <v>5448</v>
      </c>
      <c r="B5509" s="1832">
        <f>'Revenues 9-14'!E5</f>
        <v>201604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201604</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134</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134</v>
      </c>
      <c r="C5518" s="2" t="s">
        <v>568</v>
      </c>
      <c r="D5518" s="2" t="str">
        <f t="shared" si="85"/>
        <v>Error?</v>
      </c>
    </row>
    <row r="5519" spans="1:4" x14ac:dyDescent="0.2">
      <c r="A5519" s="5">
        <v>5458</v>
      </c>
      <c r="B5519" s="1832">
        <f>'Revenues 9-14'!E65</f>
        <v>10965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10965</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145551</v>
      </c>
      <c r="C5526" s="2" t="s">
        <v>568</v>
      </c>
      <c r="D5526" s="2" t="str">
        <f t="shared" si="85"/>
        <v>Error?</v>
      </c>
    </row>
    <row r="5527" spans="1:4" x14ac:dyDescent="0.2">
      <c r="A5527" s="5">
        <v>5466</v>
      </c>
      <c r="B5527" s="1832">
        <f>'Revenues 9-14'!E109</f>
        <v>358254</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358254</v>
      </c>
      <c r="C5552" s="2" t="s">
        <v>568</v>
      </c>
      <c r="D5552" s="2" t="str">
        <f t="shared" si="85"/>
        <v>Error?</v>
      </c>
    </row>
    <row r="5553" spans="1:4" x14ac:dyDescent="0.2">
      <c r="A5553" s="5">
        <v>5492</v>
      </c>
      <c r="B5553" s="1832">
        <f>'Revenues 9-14'!F5</f>
        <v>121618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121618</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79</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79</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296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296</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400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8400</v>
      </c>
      <c r="C5587" s="2" t="s">
        <v>568</v>
      </c>
      <c r="D5587" s="2" t="str">
        <f t="shared" si="86"/>
        <v>Error?</v>
      </c>
    </row>
    <row r="5588" spans="1:4" x14ac:dyDescent="0.2">
      <c r="A5588" s="5">
        <v>5527</v>
      </c>
      <c r="B5588" s="1832">
        <f>'Revenues 9-14'!F109</f>
        <v>130393</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54909</v>
      </c>
      <c r="D5615" s="2" t="str">
        <f t="shared" si="86"/>
        <v>Error?</v>
      </c>
    </row>
    <row r="5616" spans="1:4" x14ac:dyDescent="0.2">
      <c r="A5616" s="10">
        <v>5555</v>
      </c>
      <c r="B5616" s="1832"/>
      <c r="D5616" s="2" t="str">
        <f t="shared" si="86"/>
        <v>OK</v>
      </c>
    </row>
    <row r="5617" spans="1:5" x14ac:dyDescent="0.2">
      <c r="A5617" s="5">
        <v>5556</v>
      </c>
      <c r="B5617" s="1832">
        <f>'Revenues 9-14'!F153</f>
        <v>63603</v>
      </c>
      <c r="D5617" s="2" t="str">
        <f t="shared" si="86"/>
        <v>Error?</v>
      </c>
    </row>
    <row r="5618" spans="1:5" x14ac:dyDescent="0.2">
      <c r="A5618" s="5">
        <v>5557</v>
      </c>
      <c r="B5618" s="1832">
        <f>'Revenues 9-14'!F155</f>
        <v>118512</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118512</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118512</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248905</v>
      </c>
      <c r="C5720" s="2" t="s">
        <v>568</v>
      </c>
      <c r="D5720" s="2" t="str">
        <f t="shared" si="88"/>
        <v>Error?</v>
      </c>
    </row>
    <row r="5721" spans="1:4" x14ac:dyDescent="0.2">
      <c r="A5721" s="5">
        <v>5660</v>
      </c>
      <c r="B5721" s="1832">
        <f>'Revenues 9-14'!G5</f>
        <v>63364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115631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178995</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118</v>
      </c>
      <c r="D5727" s="2" t="str">
        <f t="shared" si="88"/>
        <v>Error?</v>
      </c>
    </row>
    <row r="5728" spans="1:4" x14ac:dyDescent="0.2">
      <c r="A5728" s="5">
        <v>5667</v>
      </c>
      <c r="B5728" s="1832">
        <f>'Revenues 9-14'!G16</f>
        <v>11000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11118</v>
      </c>
      <c r="C5730" s="2" t="s">
        <v>568</v>
      </c>
      <c r="D5730" s="2" t="str">
        <f t="shared" si="88"/>
        <v>Error?</v>
      </c>
    </row>
    <row r="5731" spans="1:4" x14ac:dyDescent="0.2">
      <c r="A5731" s="5">
        <v>5670</v>
      </c>
      <c r="B5731" s="1832">
        <f>'Revenues 9-14'!G65</f>
        <v>250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250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190363</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74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74</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66437</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116511</v>
      </c>
      <c r="C5915" s="2" t="s">
        <v>568</v>
      </c>
      <c r="D5915" s="2" t="str">
        <f t="shared" si="91"/>
        <v>Error?</v>
      </c>
    </row>
    <row r="5916" spans="1:4" x14ac:dyDescent="0.2">
      <c r="A5916" s="5">
        <v>5855</v>
      </c>
      <c r="B5916" s="1832">
        <f>'Revenues 9-14'!I5</f>
        <v>30339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30339</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20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20</v>
      </c>
      <c r="C5923" s="2" t="s">
        <v>568</v>
      </c>
      <c r="D5923" s="2" t="str">
        <f t="shared" si="91"/>
        <v>Error?</v>
      </c>
    </row>
    <row r="5924" spans="1:4" x14ac:dyDescent="0.2">
      <c r="A5924" s="5">
        <v>5863</v>
      </c>
      <c r="B5924" s="1832">
        <f>'Revenues 9-14'!I65</f>
        <v>241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241</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30600</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43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43</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43</v>
      </c>
      <c r="C6023" s="2" t="s">
        <v>568</v>
      </c>
      <c r="D6023" s="2" t="str">
        <f t="shared" si="93"/>
        <v>Error?</v>
      </c>
    </row>
    <row r="6024" spans="1:5" x14ac:dyDescent="0.2">
      <c r="A6024" s="5">
        <v>5963</v>
      </c>
      <c r="B6024" s="1832">
        <f>'Revenues 9-14'!G109</f>
        <v>190363</v>
      </c>
      <c r="C6024" s="2" t="s">
        <v>568</v>
      </c>
      <c r="D6024" s="2" t="str">
        <f t="shared" si="93"/>
        <v>Error?</v>
      </c>
    </row>
    <row r="6025" spans="1:5" x14ac:dyDescent="0.2">
      <c r="A6025" s="5">
        <v>5964</v>
      </c>
      <c r="B6025" s="1832">
        <f>'Revenues 9-14'!H109</f>
        <v>66511</v>
      </c>
      <c r="C6025" s="2" t="s">
        <v>568</v>
      </c>
      <c r="D6025" s="2" t="str">
        <f t="shared" si="93"/>
        <v>Error?</v>
      </c>
    </row>
    <row r="6026" spans="1:5" x14ac:dyDescent="0.2">
      <c r="A6026" s="5">
        <v>5965</v>
      </c>
      <c r="B6026" s="1832">
        <f>'Revenues 9-14'!I109</f>
        <v>30600</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43</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64507</v>
      </c>
      <c r="D6031" s="2" t="str">
        <f t="shared" si="93"/>
        <v>Error?</v>
      </c>
    </row>
    <row r="6032" spans="1:5" x14ac:dyDescent="0.2">
      <c r="A6032" s="5">
        <v>5971</v>
      </c>
      <c r="B6032" s="1832">
        <f>'Acct Summary 7-8'!G15</f>
        <v>12362</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29028</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496.8</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47865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19780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19780</v>
      </c>
      <c r="D6215" s="2" t="str">
        <f t="shared" si="96"/>
        <v>Error?</v>
      </c>
      <c r="E6215" s="2" t="s">
        <v>189</v>
      </c>
    </row>
    <row r="6216" spans="1:5" x14ac:dyDescent="0.2">
      <c r="A6216">
        <v>6155</v>
      </c>
      <c r="B6216" s="1832">
        <f>'Assets-Liab 5-6'!J41</f>
        <v>19780</v>
      </c>
      <c r="D6216" s="2" t="str">
        <f t="shared" si="96"/>
        <v>Error?</v>
      </c>
      <c r="E6216" s="2" t="s">
        <v>189</v>
      </c>
    </row>
    <row r="6217" spans="1:5" x14ac:dyDescent="0.2">
      <c r="A6217">
        <v>6156</v>
      </c>
      <c r="B6217" s="1832">
        <f>'Assets-Liab 5-6'!J4</f>
        <v>19780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263377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263377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263377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259303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259303</v>
      </c>
      <c r="D6229" s="2" t="str">
        <f t="shared" si="96"/>
        <v>Error?</v>
      </c>
      <c r="E6229" s="2" t="s">
        <v>189</v>
      </c>
    </row>
    <row r="6230" spans="1:5" x14ac:dyDescent="0.2">
      <c r="A6230">
        <v>6169</v>
      </c>
      <c r="B6230" s="1832">
        <f>'Acct Summary 7-8'!J20</f>
        <v>4074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47182</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1900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4074</v>
      </c>
      <c r="D6263" s="2" t="str">
        <f t="shared" si="96"/>
        <v>Error?</v>
      </c>
      <c r="E6263" s="2" t="s">
        <v>189</v>
      </c>
    </row>
    <row r="6264" spans="1:5" x14ac:dyDescent="0.2">
      <c r="A6264">
        <v>6203</v>
      </c>
      <c r="B6264" s="1832">
        <f>'Acct Summary 7-8'!J79</f>
        <v>15706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19780</v>
      </c>
      <c r="D6266" s="2" t="str">
        <f t="shared" si="96"/>
        <v>Error?</v>
      </c>
      <c r="E6266" s="2" t="s">
        <v>189</v>
      </c>
    </row>
    <row r="6267" spans="1:5" x14ac:dyDescent="0.2">
      <c r="A6267">
        <v>6206</v>
      </c>
      <c r="B6267" s="1832">
        <f>'Acct Summary 7-8'!C82</f>
        <v>157794</v>
      </c>
      <c r="D6267" s="2" t="str">
        <f t="shared" si="96"/>
        <v>Error?</v>
      </c>
      <c r="E6267" s="2" t="s">
        <v>189</v>
      </c>
    </row>
    <row r="6268" spans="1:5" x14ac:dyDescent="0.2">
      <c r="A6268">
        <v>6207</v>
      </c>
      <c r="B6268" s="1832">
        <f>'Acct Summary 7-8'!D82</f>
        <v>10176</v>
      </c>
      <c r="D6268" s="2" t="str">
        <f t="shared" si="96"/>
        <v>Error?</v>
      </c>
      <c r="E6268" s="2" t="s">
        <v>189</v>
      </c>
    </row>
    <row r="6269" spans="1:5" x14ac:dyDescent="0.2">
      <c r="A6269">
        <v>6208</v>
      </c>
      <c r="B6269" s="1832">
        <f>'Acct Summary 7-8'!E82</f>
        <v>46073</v>
      </c>
      <c r="D6269" s="2" t="str">
        <f t="shared" si="96"/>
        <v>Error?</v>
      </c>
      <c r="E6269" s="2" t="s">
        <v>189</v>
      </c>
    </row>
    <row r="6270" spans="1:5" x14ac:dyDescent="0.2">
      <c r="A6270">
        <v>6209</v>
      </c>
      <c r="B6270" s="1832">
        <f>'Acct Summary 7-8'!F82</f>
        <v>8849</v>
      </c>
      <c r="D6270" s="2" t="str">
        <f t="shared" si="96"/>
        <v>Error?</v>
      </c>
      <c r="E6270" s="2" t="s">
        <v>189</v>
      </c>
    </row>
    <row r="6271" spans="1:5" x14ac:dyDescent="0.2">
      <c r="A6271">
        <v>6210</v>
      </c>
      <c r="B6271" s="1832">
        <f>'Acct Summary 7-8'!G82</f>
        <v>17392</v>
      </c>
      <c r="D6271" s="2" t="str">
        <f t="shared" ref="D6271:D6334" si="97">IF(ISBLANK(B6271),"OK",IF(A6271-B6271=0,"OK","Error?"))</f>
        <v>Error?</v>
      </c>
      <c r="E6271" s="2" t="s">
        <v>189</v>
      </c>
    </row>
    <row r="6272" spans="1:5" x14ac:dyDescent="0.2">
      <c r="A6272">
        <v>6211</v>
      </c>
      <c r="B6272" s="1832">
        <f>'Acct Summary 7-8'!H82</f>
        <v>24191</v>
      </c>
      <c r="D6272" s="2" t="str">
        <f t="shared" si="97"/>
        <v>Error?</v>
      </c>
      <c r="E6272" s="2" t="s">
        <v>189</v>
      </c>
    </row>
    <row r="6273" spans="1:5" x14ac:dyDescent="0.2">
      <c r="A6273">
        <v>6212</v>
      </c>
      <c r="B6273" s="1832">
        <f>'Acct Summary 7-8'!I82</f>
        <v>600</v>
      </c>
      <c r="D6273" s="2" t="str">
        <f t="shared" si="97"/>
        <v>Error?</v>
      </c>
      <c r="E6273" s="2" t="s">
        <v>189</v>
      </c>
    </row>
    <row r="6274" spans="1:5" x14ac:dyDescent="0.2">
      <c r="A6274">
        <v>6213</v>
      </c>
      <c r="B6274" s="1832">
        <f>'Acct Summary 7-8'!J82</f>
        <v>4074</v>
      </c>
      <c r="D6274" s="2" t="str">
        <f t="shared" si="97"/>
        <v>Error?</v>
      </c>
      <c r="E6274" s="2" t="s">
        <v>189</v>
      </c>
    </row>
    <row r="6275" spans="1:5" x14ac:dyDescent="0.2">
      <c r="A6275">
        <v>6214</v>
      </c>
      <c r="B6275" s="1832">
        <f>'Acct Summary 7-8'!K82</f>
        <v>-132</v>
      </c>
      <c r="D6275" s="2" t="str">
        <f t="shared" si="97"/>
        <v>Error?</v>
      </c>
      <c r="E6275" s="2" t="s">
        <v>189</v>
      </c>
    </row>
    <row r="6276" spans="1:5" x14ac:dyDescent="0.2">
      <c r="A6276">
        <v>6215</v>
      </c>
      <c r="B6276" s="1832">
        <f>'Acct Summary 7-8'!C83</f>
        <v>8.4429631540000466E-2</v>
      </c>
      <c r="D6276" s="2" t="str">
        <f t="shared" si="97"/>
        <v>Error?</v>
      </c>
      <c r="E6276" s="2" t="s">
        <v>189</v>
      </c>
    </row>
    <row r="6277" spans="1:5" x14ac:dyDescent="0.2">
      <c r="A6277">
        <v>6216</v>
      </c>
      <c r="B6277" s="1832">
        <f>'Acct Summary 7-8'!D83</f>
        <v>4.1985221004163041E-2</v>
      </c>
      <c r="D6277" s="2" t="str">
        <f t="shared" si="97"/>
        <v>Error?</v>
      </c>
      <c r="E6277" s="2" t="s">
        <v>189</v>
      </c>
    </row>
    <row r="6278" spans="1:5" x14ac:dyDescent="0.2">
      <c r="A6278">
        <v>6217</v>
      </c>
      <c r="B6278" s="1832">
        <f>'Acct Summary 7-8'!E83</f>
        <v>7.5829344885020772E-2</v>
      </c>
      <c r="D6278" s="2" t="str">
        <f t="shared" si="97"/>
        <v>Error?</v>
      </c>
      <c r="E6278" s="2" t="s">
        <v>189</v>
      </c>
    </row>
    <row r="6279" spans="1:5" x14ac:dyDescent="0.2">
      <c r="A6279">
        <v>6218</v>
      </c>
      <c r="B6279" s="1832">
        <f>'Acct Summary 7-8'!F83</f>
        <v>4.253979242081176E-2</v>
      </c>
      <c r="D6279" s="2" t="str">
        <f t="shared" si="97"/>
        <v>Error?</v>
      </c>
      <c r="E6279" s="2" t="s">
        <v>189</v>
      </c>
    </row>
    <row r="6280" spans="1:5" x14ac:dyDescent="0.2">
      <c r="A6280">
        <v>6219</v>
      </c>
      <c r="B6280" s="1832">
        <f>'Acct Summary 7-8'!G83</f>
        <v>8.3449288435517771E-2</v>
      </c>
      <c r="D6280" s="2" t="str">
        <f t="shared" si="97"/>
        <v>Error?</v>
      </c>
      <c r="E6280" s="2" t="s">
        <v>189</v>
      </c>
    </row>
    <row r="6281" spans="1:5" x14ac:dyDescent="0.2">
      <c r="A6281">
        <v>6220</v>
      </c>
      <c r="B6281" s="1832">
        <f>'Acct Summary 7-8'!H83</f>
        <v>0.26077442166310932</v>
      </c>
      <c r="D6281" s="2" t="str">
        <f t="shared" si="97"/>
        <v>Error?</v>
      </c>
      <c r="E6281" s="2" t="s">
        <v>189</v>
      </c>
    </row>
    <row r="6282" spans="1:5" x14ac:dyDescent="0.2">
      <c r="A6282">
        <v>6221</v>
      </c>
      <c r="B6282" s="1832">
        <f>'Acct Summary 7-8'!I83</f>
        <v>2.9388138947120941E-3</v>
      </c>
      <c r="D6282" s="2" t="str">
        <f t="shared" si="97"/>
        <v>Error?</v>
      </c>
      <c r="E6282" s="2" t="s">
        <v>189</v>
      </c>
    </row>
    <row r="6283" spans="1:5" x14ac:dyDescent="0.2">
      <c r="A6283">
        <v>6222</v>
      </c>
      <c r="B6283" s="1832">
        <f>'Acct Summary 7-8'!J83</f>
        <v>0.20596562184024267</v>
      </c>
      <c r="D6283" s="2" t="str">
        <f t="shared" si="97"/>
        <v>Error?</v>
      </c>
      <c r="E6283" s="2" t="s">
        <v>189</v>
      </c>
    </row>
    <row r="6284" spans="1:5" x14ac:dyDescent="0.2">
      <c r="A6284">
        <v>6223</v>
      </c>
      <c r="B6284" s="1832">
        <f>'Acct Summary 7-8'!K83</f>
        <v>-3.4730444391822559E-3</v>
      </c>
      <c r="D6284" s="2" t="str">
        <f t="shared" si="97"/>
        <v>Error?</v>
      </c>
      <c r="E6284" s="2" t="s">
        <v>189</v>
      </c>
    </row>
    <row r="6285" spans="1:5" x14ac:dyDescent="0.2">
      <c r="A6285">
        <v>6224</v>
      </c>
      <c r="B6285" s="1832">
        <f>'Acct Summary 7-8'!E37</f>
        <v>47182</v>
      </c>
      <c r="D6285" s="2" t="str">
        <f t="shared" si="97"/>
        <v>Error?</v>
      </c>
      <c r="E6285" s="2" t="s">
        <v>189</v>
      </c>
    </row>
    <row r="6286" spans="1:5" x14ac:dyDescent="0.2">
      <c r="A6286">
        <v>6225</v>
      </c>
      <c r="B6286" s="1832">
        <f>'Acct Summary 7-8'!E38</f>
        <v>1900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263146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263146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160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160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12000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1453</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263377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14065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75323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118338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22852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36752</v>
      </c>
      <c r="D6981" s="2" t="str">
        <f t="shared" si="108"/>
        <v>Error?</v>
      </c>
    </row>
    <row r="6982" spans="1:4" x14ac:dyDescent="0.2">
      <c r="A6982">
        <v>6921</v>
      </c>
      <c r="B6982" s="1832">
        <f>'Expenditures 15-22'!K85</f>
        <v>36752</v>
      </c>
      <c r="D6982" s="2" t="str">
        <f t="shared" si="108"/>
        <v>Error?</v>
      </c>
    </row>
    <row r="6983" spans="1:4" x14ac:dyDescent="0.2">
      <c r="A6983">
        <v>6922</v>
      </c>
      <c r="B6983" s="1832">
        <f>'Expenditures 15-22'!H86</f>
        <v>475563</v>
      </c>
      <c r="D6983" s="2" t="str">
        <f t="shared" si="108"/>
        <v>Error?</v>
      </c>
    </row>
    <row r="6984" spans="1:4" x14ac:dyDescent="0.2">
      <c r="A6984">
        <v>6923</v>
      </c>
      <c r="B6984" s="1832">
        <f>'Expenditures 15-22'!K86</f>
        <v>475563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512315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259303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8000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263377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1788</v>
      </c>
      <c r="D7067" s="2" t="str">
        <f t="shared" si="109"/>
        <v>Error?</v>
      </c>
    </row>
    <row r="7068" spans="1:4" x14ac:dyDescent="0.2">
      <c r="A7068">
        <v>7007</v>
      </c>
      <c r="B7068" s="1832">
        <f>'Expenditures 15-22'!K205</f>
        <v>1788</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6307</v>
      </c>
      <c r="D7073" s="2" t="str">
        <f t="shared" si="109"/>
        <v>Error?</v>
      </c>
    </row>
    <row r="7074" spans="1:4" x14ac:dyDescent="0.2">
      <c r="A7074">
        <v>7013</v>
      </c>
      <c r="B7074" s="1832">
        <f>'Expenditures 15-22'!K216</f>
        <v>6307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327</v>
      </c>
      <c r="D7079" s="2" t="str">
        <f t="shared" si="109"/>
        <v>Error?</v>
      </c>
    </row>
    <row r="7080" spans="1:4" x14ac:dyDescent="0.2">
      <c r="A7080">
        <v>7019</v>
      </c>
      <c r="B7080" s="1832">
        <f>'Expenditures 15-22'!K226</f>
        <v>327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4190</v>
      </c>
      <c r="D7089" s="2" t="str">
        <f t="shared" si="109"/>
        <v>Error?</v>
      </c>
    </row>
    <row r="7090" spans="1:4" x14ac:dyDescent="0.2">
      <c r="A7090">
        <v>7029</v>
      </c>
      <c r="B7090" s="1832">
        <f>'Expenditures 15-22'!K252</f>
        <v>4190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1919</v>
      </c>
      <c r="D7093" s="2" t="str">
        <f t="shared" si="109"/>
        <v>Error?</v>
      </c>
    </row>
    <row r="7094" spans="1:4" x14ac:dyDescent="0.2">
      <c r="A7094">
        <v>7033</v>
      </c>
      <c r="B7094" s="1832">
        <f>'Expenditures 15-22'!K254</f>
        <v>1919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38568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38568</v>
      </c>
      <c r="D7153" s="2" t="str">
        <f t="shared" si="110"/>
        <v>Error?</v>
      </c>
    </row>
    <row r="7154" spans="1:4" x14ac:dyDescent="0.2">
      <c r="A7154">
        <v>7093</v>
      </c>
      <c r="B7154" s="1832">
        <f>'Expenditures 15-22'!C323</f>
        <v>25440</v>
      </c>
      <c r="D7154" s="2" t="str">
        <f t="shared" si="110"/>
        <v>Error?</v>
      </c>
    </row>
    <row r="7155" spans="1:4" x14ac:dyDescent="0.2">
      <c r="A7155">
        <v>7094</v>
      </c>
      <c r="B7155" s="1832">
        <f>'Expenditures 15-22'!D323</f>
        <v>21</v>
      </c>
      <c r="D7155" s="2" t="str">
        <f t="shared" si="110"/>
        <v>Error?</v>
      </c>
    </row>
    <row r="7156" spans="1:4" x14ac:dyDescent="0.2">
      <c r="A7156">
        <v>7095</v>
      </c>
      <c r="B7156" s="1832">
        <f>'Expenditures 15-22'!E323</f>
        <v>17119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42580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149781</v>
      </c>
      <c r="D7172" s="2" t="str">
        <f t="shared" si="111"/>
        <v>Error?</v>
      </c>
    </row>
    <row r="7173" spans="1:4" x14ac:dyDescent="0.2">
      <c r="A7173">
        <v>7112</v>
      </c>
      <c r="B7173" s="1832">
        <f>'Expenditures 15-22'!D325</f>
        <v>4304</v>
      </c>
      <c r="D7173" s="2" t="str">
        <f t="shared" si="111"/>
        <v>Error?</v>
      </c>
    </row>
    <row r="7174" spans="1:4" x14ac:dyDescent="0.2">
      <c r="A7174">
        <v>7113</v>
      </c>
      <c r="B7174" s="1832">
        <f>'Expenditures 15-22'!E325</f>
        <v>18679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172764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4420</v>
      </c>
      <c r="D7192" s="2" t="str">
        <f t="shared" si="111"/>
        <v>Error?</v>
      </c>
    </row>
    <row r="7193" spans="1:4" x14ac:dyDescent="0.2">
      <c r="A7193">
        <v>7132</v>
      </c>
      <c r="B7193" s="1832">
        <f>'Expenditures 15-22'!F327</f>
        <v>971</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5391</v>
      </c>
      <c r="D7198" s="2" t="str">
        <f t="shared" si="111"/>
        <v>Error?</v>
      </c>
    </row>
    <row r="7199" spans="1:4" x14ac:dyDescent="0.2">
      <c r="A7199">
        <v>7138</v>
      </c>
      <c r="B7199" s="1832">
        <f>'Expenditures 15-22'!C330</f>
        <v>175221</v>
      </c>
      <c r="D7199" s="2" t="str">
        <f t="shared" si="111"/>
        <v>Error?</v>
      </c>
    </row>
    <row r="7200" spans="1:4" x14ac:dyDescent="0.2">
      <c r="A7200">
        <v>7139</v>
      </c>
      <c r="B7200" s="1832">
        <f>'Expenditures 15-22'!D330</f>
        <v>4325</v>
      </c>
      <c r="D7200" s="2" t="str">
        <f t="shared" si="111"/>
        <v>Error?</v>
      </c>
    </row>
    <row r="7201" spans="1:4" x14ac:dyDescent="0.2">
      <c r="A7201">
        <v>7140</v>
      </c>
      <c r="B7201" s="1832">
        <f>'Expenditures 15-22'!E330</f>
        <v>78786</v>
      </c>
      <c r="D7201" s="2" t="str">
        <f t="shared" si="111"/>
        <v>Error?</v>
      </c>
    </row>
    <row r="7202" spans="1:4" x14ac:dyDescent="0.2">
      <c r="A7202">
        <v>7141</v>
      </c>
      <c r="B7202" s="1832">
        <f>'Expenditures 15-22'!F330</f>
        <v>971</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259303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175221</v>
      </c>
      <c r="D7216" s="2" t="str">
        <f t="shared" si="111"/>
        <v>Error?</v>
      </c>
    </row>
    <row r="7217" spans="1:4" x14ac:dyDescent="0.2">
      <c r="A7217">
        <v>7156</v>
      </c>
      <c r="B7217" s="1832">
        <f>'Expenditures 15-22'!D342</f>
        <v>4325</v>
      </c>
      <c r="D7217" s="2" t="str">
        <f t="shared" si="111"/>
        <v>Error?</v>
      </c>
    </row>
    <row r="7218" spans="1:4" x14ac:dyDescent="0.2">
      <c r="A7218">
        <v>7157</v>
      </c>
      <c r="B7218" s="1832">
        <f>'Expenditures 15-22'!E342</f>
        <v>78786</v>
      </c>
      <c r="D7218" s="2" t="str">
        <f t="shared" si="111"/>
        <v>Error?</v>
      </c>
    </row>
    <row r="7219" spans="1:4" x14ac:dyDescent="0.2">
      <c r="A7219">
        <v>7158</v>
      </c>
      <c r="B7219" s="1832">
        <f>'Expenditures 15-22'!F342</f>
        <v>971</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259303</v>
      </c>
      <c r="D7224" s="2" t="str">
        <f t="shared" si="111"/>
        <v>Error?</v>
      </c>
    </row>
    <row r="7225" spans="1:4" x14ac:dyDescent="0.2">
      <c r="A7225">
        <v>7164</v>
      </c>
      <c r="B7225" s="1832">
        <f>'Expenditures 15-22'!K343</f>
        <v>4074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20356</v>
      </c>
      <c r="D7246" s="2" t="str">
        <f t="shared" si="112"/>
        <v>Error?</v>
      </c>
    </row>
    <row r="7247" spans="1:4" x14ac:dyDescent="0.2">
      <c r="A7247">
        <f t="shared" si="113"/>
        <v>7186</v>
      </c>
      <c r="B7247" s="1832">
        <f>'Expenditures 15-22'!E7</f>
        <v>5815</v>
      </c>
      <c r="D7247" s="2" t="str">
        <f t="shared" si="112"/>
        <v>Error?</v>
      </c>
    </row>
    <row r="7248" spans="1:4" x14ac:dyDescent="0.2">
      <c r="A7248">
        <f t="shared" si="113"/>
        <v>7187</v>
      </c>
      <c r="B7248" s="1832">
        <f>'Expenditures 15-22'!F7</f>
        <v>11294</v>
      </c>
      <c r="D7248" s="2" t="str">
        <f t="shared" si="112"/>
        <v>Error?</v>
      </c>
    </row>
    <row r="7249" spans="1:4" x14ac:dyDescent="0.2">
      <c r="A7249">
        <f t="shared" si="113"/>
        <v>7188</v>
      </c>
      <c r="B7249" s="1832">
        <f>'Expenditures 15-22'!G7</f>
        <v>5550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22852</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275383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50000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122514</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138</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1453</v>
      </c>
      <c r="D7712" s="2" t="str">
        <f t="shared" si="126"/>
        <v>Error?</v>
      </c>
      <c r="E7712" s="2" t="s">
        <v>821</v>
      </c>
    </row>
    <row r="7713" spans="1:6" x14ac:dyDescent="0.2">
      <c r="A7713">
        <v>7652</v>
      </c>
      <c r="B7713" s="1832">
        <f>'Rest Tax Levies-Tort Im 25'!J8</f>
        <v>211988</v>
      </c>
      <c r="D7713" s="2" t="str">
        <f t="shared" si="126"/>
        <v>Error?</v>
      </c>
      <c r="E7713" s="2" t="s">
        <v>821</v>
      </c>
    </row>
    <row r="7714" spans="1:6" x14ac:dyDescent="0.2">
      <c r="A7714">
        <v>7653</v>
      </c>
      <c r="B7714" s="1832">
        <f>'Rest Tax Levies-Tort Im 25'!K9</f>
        <v>4524</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212126</v>
      </c>
      <c r="D7718" s="2" t="str">
        <f t="shared" si="126"/>
        <v>Error?</v>
      </c>
      <c r="E7718" s="2" t="s">
        <v>821</v>
      </c>
    </row>
    <row r="7719" spans="1:6" x14ac:dyDescent="0.2">
      <c r="A7719">
        <v>7658</v>
      </c>
      <c r="B7719" s="1832">
        <f>'Rest Tax Levies-Tort Im 25'!K12</f>
        <v>5977</v>
      </c>
      <c r="D7719" s="2" t="str">
        <f t="shared" si="126"/>
        <v>Error?</v>
      </c>
      <c r="E7719" s="2" t="s">
        <v>821</v>
      </c>
    </row>
    <row r="7720" spans="1:6" x14ac:dyDescent="0.2">
      <c r="A7720">
        <v>7659</v>
      </c>
      <c r="B7720" s="1832">
        <f>'Rest Tax Levies-Tort Im 25'!H14</f>
        <v>24264</v>
      </c>
      <c r="D7720" s="2" t="str">
        <f t="shared" si="126"/>
        <v>Error?</v>
      </c>
      <c r="E7720" s="2" t="s">
        <v>821</v>
      </c>
    </row>
    <row r="7721" spans="1:6" x14ac:dyDescent="0.2">
      <c r="A7721">
        <v>7660</v>
      </c>
      <c r="B7721" s="1832">
        <f>'Rest Tax Levies-Tort Im 25'!K14</f>
        <v>5977</v>
      </c>
      <c r="D7721" s="2" t="str">
        <f t="shared" si="126"/>
        <v>Error?</v>
      </c>
      <c r="E7721" s="2" t="s">
        <v>821</v>
      </c>
    </row>
    <row r="7722" spans="1:6" x14ac:dyDescent="0.2">
      <c r="A7722">
        <v>7661</v>
      </c>
      <c r="B7722" s="1832">
        <f>'Rest Tax Levies-Tort Im 25'!J15</f>
        <v>66437</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18524</v>
      </c>
      <c r="D7724" s="2" t="str">
        <f t="shared" si="126"/>
        <v>Error?</v>
      </c>
      <c r="E7724" s="2" t="s">
        <v>821</v>
      </c>
      <c r="F7724" s="2"/>
    </row>
    <row r="7725" spans="1:6" x14ac:dyDescent="0.2">
      <c r="A7725">
        <v>7664</v>
      </c>
      <c r="B7725" s="1832">
        <f>'Rest Tax Levies-Tort Im 25'!J19</f>
        <v>130000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148524</v>
      </c>
      <c r="D7727" s="2" t="str">
        <f t="shared" si="126"/>
        <v>Error?</v>
      </c>
      <c r="E7727" s="2" t="s">
        <v>821</v>
      </c>
    </row>
    <row r="7728" spans="1:6" x14ac:dyDescent="0.2">
      <c r="A7728">
        <v>7667</v>
      </c>
      <c r="B7728" s="1832">
        <f>'Revenues 9-14'!E103</f>
        <v>145551</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214961</v>
      </c>
      <c r="D7730" s="2" t="str">
        <f t="shared" si="126"/>
        <v>Error?</v>
      </c>
      <c r="E7730" s="2" t="s">
        <v>821</v>
      </c>
    </row>
    <row r="7731" spans="1:6" x14ac:dyDescent="0.2">
      <c r="A7731">
        <v>7670</v>
      </c>
      <c r="B7731" s="1832">
        <f>'Revenues 9-14'!H103</f>
        <v>66437</v>
      </c>
      <c r="D7731" s="2" t="str">
        <f t="shared" si="126"/>
        <v>Error?</v>
      </c>
      <c r="E7731" s="2" t="s">
        <v>821</v>
      </c>
    </row>
    <row r="7732" spans="1:6" x14ac:dyDescent="0.2">
      <c r="A7732">
        <v>7671</v>
      </c>
      <c r="B7732" s="1832">
        <f>'Rest Tax Levies-Tort Im 25'!J24</f>
        <v>119679</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119679</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30000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5977</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2730758</v>
      </c>
      <c r="D7817" s="2" t="str">
        <f t="shared" si="128"/>
        <v>Error?</v>
      </c>
      <c r="E7817" s="4" t="s">
        <v>1965</v>
      </c>
    </row>
    <row r="7818" spans="1:5" x14ac:dyDescent="0.2">
      <c r="A7818">
        <v>7757</v>
      </c>
      <c r="B7818" s="1832">
        <f>'PCTC-OEPP 27-28'!F172</f>
        <v>109395</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6290575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112788</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1160543</v>
      </c>
      <c r="D7834" s="2" t="str">
        <f t="shared" si="129"/>
        <v>Error?</v>
      </c>
      <c r="E7834" s="4" t="s">
        <v>1997</v>
      </c>
    </row>
    <row r="7835" spans="1:5" x14ac:dyDescent="0.2">
      <c r="A7835">
        <v>7774</v>
      </c>
      <c r="B7835" s="1832">
        <f>'PCTC-OEPP 27-28'!F78</f>
        <v>5130032</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10326.151368760064</v>
      </c>
      <c r="D7837" s="2" t="str">
        <f t="shared" si="129"/>
        <v>Error?</v>
      </c>
      <c r="E7837" s="4" t="s">
        <v>1997</v>
      </c>
    </row>
    <row r="7838" spans="1:5" x14ac:dyDescent="0.2">
      <c r="A7838">
        <v>7777</v>
      </c>
      <c r="B7838" s="1832">
        <f>'PCTC-OEPP 27-28'!F96</f>
        <v>14538</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12058</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0</v>
      </c>
      <c r="D7842" s="2" t="str">
        <f t="shared" si="129"/>
        <v>Error?</v>
      </c>
      <c r="E7842" s="4" t="s">
        <v>1997</v>
      </c>
    </row>
    <row r="7843" spans="1:5" x14ac:dyDescent="0.2">
      <c r="A7843">
        <v>7782</v>
      </c>
      <c r="B7843" s="1832">
        <f>'PCTC-OEPP 27-28'!F107</f>
        <v>24533</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4524</v>
      </c>
      <c r="D7846" s="2" t="str">
        <f t="shared" si="129"/>
        <v>Error?</v>
      </c>
      <c r="E7846" s="4" t="s">
        <v>1997</v>
      </c>
    </row>
    <row r="7847" spans="1:5" x14ac:dyDescent="0.2">
      <c r="A7847">
        <v>7786</v>
      </c>
      <c r="B7847" s="1832">
        <f>'PCTC-OEPP 27-28'!F112</f>
        <v>118512</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264079</v>
      </c>
      <c r="D7858" s="2" t="str">
        <f t="shared" si="129"/>
        <v>Error?</v>
      </c>
      <c r="E7858" s="4" t="s">
        <v>1997</v>
      </c>
    </row>
    <row r="7859" spans="1:5" x14ac:dyDescent="0.2">
      <c r="A7859">
        <v>7798</v>
      </c>
      <c r="B7859" s="1832">
        <f>'PCTC-OEPP 27-28'!F127</f>
        <v>226206</v>
      </c>
      <c r="D7859" s="2" t="str">
        <f t="shared" si="129"/>
        <v>Error?</v>
      </c>
      <c r="E7859" s="4" t="s">
        <v>1997</v>
      </c>
    </row>
    <row r="7860" spans="1:5" x14ac:dyDescent="0.2">
      <c r="A7860">
        <v>7799</v>
      </c>
      <c r="B7860" s="1832">
        <f>'PCTC-OEPP 27-28'!F128</f>
        <v>57959</v>
      </c>
      <c r="D7860" s="2" t="str">
        <f t="shared" si="129"/>
        <v>Error?</v>
      </c>
      <c r="E7860" s="4" t="s">
        <v>1997</v>
      </c>
    </row>
    <row r="7861" spans="1:5" x14ac:dyDescent="0.2">
      <c r="A7861">
        <v>7800</v>
      </c>
      <c r="B7861" s="1832">
        <f>'PCTC-OEPP 27-28'!F129</f>
        <v>124320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4396</v>
      </c>
      <c r="D7874" s="2" t="str">
        <f t="shared" si="129"/>
        <v>Error?</v>
      </c>
      <c r="E7874" s="4" t="s">
        <v>1997</v>
      </c>
    </row>
    <row r="7875" spans="1:5" x14ac:dyDescent="0.2">
      <c r="A7875">
        <v>7814</v>
      </c>
      <c r="B7875" s="1832">
        <f>'PCTC-OEPP 27-28'!F170</f>
        <v>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1064089</v>
      </c>
      <c r="D7877" s="2" t="str">
        <f t="shared" si="129"/>
        <v>Error?</v>
      </c>
      <c r="E7877" s="4" t="s">
        <v>1997</v>
      </c>
    </row>
    <row r="7878" spans="1:5" x14ac:dyDescent="0.2">
      <c r="A7878">
        <v>7817</v>
      </c>
      <c r="B7878" s="1832">
        <f>'PCTC-OEPP 27-28'!F176</f>
        <v>4065943</v>
      </c>
      <c r="D7878" s="2" t="str">
        <f t="shared" si="129"/>
        <v>Error?</v>
      </c>
      <c r="E7878" s="4" t="s">
        <v>1997</v>
      </c>
    </row>
    <row r="7879" spans="1:5" x14ac:dyDescent="0.2">
      <c r="A7879">
        <v>7818</v>
      </c>
      <c r="B7879" s="1832">
        <f>'PCTC-OEPP 27-28'!F178</f>
        <v>4341326</v>
      </c>
      <c r="D7879" s="2" t="str">
        <f t="shared" si="129"/>
        <v>Error?</v>
      </c>
      <c r="E7879" s="4" t="s">
        <v>1997</v>
      </c>
    </row>
    <row r="7880" spans="1:5" x14ac:dyDescent="0.2">
      <c r="A7880">
        <v>7819</v>
      </c>
      <c r="B7880" s="1832">
        <f>'PCTC-OEPP 27-28'!F180</f>
        <v>8738.5789049919476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1180</v>
      </c>
      <c r="B2" s="2537"/>
      <c r="C2" s="2537"/>
      <c r="D2" s="2537"/>
      <c r="E2" s="2537"/>
      <c r="F2" s="2537"/>
      <c r="G2" s="2537"/>
      <c r="H2" s="2537"/>
      <c r="I2" s="2537"/>
      <c r="J2" s="2537"/>
      <c r="K2" s="2537"/>
      <c r="L2" s="2537"/>
    </row>
    <row r="3" spans="1:29" ht="13.5" customHeight="1" x14ac:dyDescent="0.2">
      <c r="A3" s="2569" t="s">
        <v>1179</v>
      </c>
      <c r="B3" s="2569"/>
      <c r="C3" s="2569"/>
      <c r="D3" s="2569"/>
      <c r="E3" s="2569"/>
      <c r="F3" s="2569"/>
      <c r="G3" s="2569"/>
      <c r="H3" s="2569"/>
      <c r="I3" s="2569"/>
      <c r="J3" s="2569"/>
      <c r="K3" s="2569"/>
      <c r="L3" s="2569"/>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60" t="str">
        <f>COVER!A17</f>
        <v xml:space="preserve">  Wethersfield CUSD 230</v>
      </c>
      <c r="B7" s="2561"/>
      <c r="C7" s="2561"/>
      <c r="D7" s="2562"/>
      <c r="E7" s="2563">
        <f>COVER!A13</f>
        <v>28037230026</v>
      </c>
      <c r="F7" s="2564"/>
      <c r="G7" s="2570" t="str">
        <f>COVER!T23</f>
        <v>066-005027</v>
      </c>
      <c r="H7" s="2571"/>
      <c r="I7" s="2571"/>
      <c r="J7" s="2571"/>
      <c r="K7" s="2571"/>
      <c r="L7" s="2572"/>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3"/>
      <c r="B9" s="2574"/>
      <c r="C9" s="2574"/>
      <c r="D9" s="2574"/>
      <c r="E9" s="2574"/>
      <c r="F9" s="2575"/>
      <c r="G9" s="2543" t="str">
        <f>COVER!T13</f>
        <v>Gorenz and Associates, Ltd.</v>
      </c>
      <c r="H9" s="2576"/>
      <c r="I9" s="2576"/>
      <c r="J9" s="2576"/>
      <c r="K9" s="2576"/>
      <c r="L9" s="2577"/>
    </row>
    <row r="10" spans="1:29" ht="13.5" customHeight="1" x14ac:dyDescent="0.2">
      <c r="A10" s="2549" t="str">
        <f>COVER!A38</f>
        <v>Shane Kazubowski</v>
      </c>
      <c r="B10" s="2550"/>
      <c r="C10" s="2550"/>
      <c r="D10" s="2550"/>
      <c r="E10" s="2550"/>
      <c r="F10" s="2551"/>
      <c r="G10" s="2543" t="str">
        <f>COVER!T17</f>
        <v>4200 N Knoxville Ave.</v>
      </c>
      <c r="H10" s="2544"/>
      <c r="I10" s="2544"/>
      <c r="J10" s="2544"/>
      <c r="K10" s="2544"/>
      <c r="L10" s="2545"/>
    </row>
    <row r="11" spans="1:29" ht="13.5" customHeight="1" x14ac:dyDescent="0.2">
      <c r="A11" s="963" t="s">
        <v>1501</v>
      </c>
      <c r="B11" s="964"/>
      <c r="C11" s="965"/>
      <c r="D11" s="970"/>
      <c r="E11" s="965"/>
      <c r="F11" s="969"/>
      <c r="G11" s="2543" t="str">
        <f>COVER!T19</f>
        <v>Peoria</v>
      </c>
      <c r="H11" s="2544"/>
      <c r="I11" s="2544"/>
      <c r="J11" s="2544"/>
      <c r="K11" s="2544"/>
      <c r="L11" s="2545"/>
    </row>
    <row r="12" spans="1:29" ht="13.5" customHeight="1" x14ac:dyDescent="0.2">
      <c r="A12" s="2552" t="s">
        <v>1500</v>
      </c>
      <c r="B12" s="2553"/>
      <c r="C12" s="2553"/>
      <c r="D12" s="2553"/>
      <c r="E12" s="2553"/>
      <c r="F12" s="2554"/>
      <c r="G12" s="2546"/>
      <c r="H12" s="2547"/>
      <c r="I12" s="2547"/>
      <c r="J12" s="2547"/>
      <c r="K12" s="2547"/>
      <c r="L12" s="2548"/>
    </row>
    <row r="13" spans="1:29" ht="13.5" customHeight="1" x14ac:dyDescent="0.2">
      <c r="A13" s="2543"/>
      <c r="B13" s="2544"/>
      <c r="C13" s="2544"/>
      <c r="D13" s="2544"/>
      <c r="E13" s="2544"/>
      <c r="F13" s="2545"/>
      <c r="G13" s="2538" t="s">
        <v>1502</v>
      </c>
      <c r="H13" s="2539"/>
      <c r="I13" s="2555" t="str">
        <f>COVER!T25</f>
        <v>tcustis@gorenzcpa.com</v>
      </c>
      <c r="J13" s="2556"/>
      <c r="K13" s="2556"/>
      <c r="L13" s="2557"/>
    </row>
    <row r="14" spans="1:29" ht="13.5" customHeight="1" x14ac:dyDescent="0.2">
      <c r="A14" s="2543" t="str">
        <f>COVER!A19</f>
        <v>439 Willard</v>
      </c>
      <c r="B14" s="2544"/>
      <c r="C14" s="2544"/>
      <c r="D14" s="2544"/>
      <c r="E14" s="2544"/>
      <c r="F14" s="2545"/>
      <c r="G14" s="974" t="s">
        <v>1174</v>
      </c>
      <c r="H14" s="972"/>
      <c r="I14" s="972"/>
      <c r="J14" s="972"/>
      <c r="K14" s="972"/>
      <c r="L14" s="973"/>
    </row>
    <row r="15" spans="1:29" ht="13.5" customHeight="1" x14ac:dyDescent="0.2">
      <c r="A15" s="2543" t="str">
        <f>COVER!A21</f>
        <v>Kewanee</v>
      </c>
      <c r="B15" s="2544"/>
      <c r="C15" s="2544"/>
      <c r="D15" s="2544"/>
      <c r="E15" s="2544"/>
      <c r="F15" s="2545"/>
      <c r="G15" s="2540" t="str">
        <f>COVER!T15</f>
        <v>Tim C. Custis, CPA</v>
      </c>
      <c r="H15" s="2541"/>
      <c r="I15" s="2541"/>
      <c r="J15" s="2541"/>
      <c r="K15" s="2541"/>
      <c r="L15" s="2542"/>
    </row>
    <row r="16" spans="1:29" ht="12.2" customHeight="1" x14ac:dyDescent="0.2">
      <c r="A16" s="2566">
        <f>COVER!A25</f>
        <v>61443</v>
      </c>
      <c r="B16" s="2567"/>
      <c r="C16" s="2567"/>
      <c r="D16" s="2567"/>
      <c r="E16" s="2567"/>
      <c r="F16" s="2568"/>
      <c r="G16" s="2578"/>
      <c r="H16" s="2579"/>
      <c r="I16" s="2579"/>
      <c r="J16" s="2579"/>
      <c r="K16" s="2579"/>
      <c r="L16" s="2580"/>
    </row>
    <row r="17" spans="1:13" ht="12.2" customHeight="1" x14ac:dyDescent="0.2">
      <c r="A17" s="2581"/>
      <c r="B17" s="2567"/>
      <c r="C17" s="2567"/>
      <c r="D17" s="2567"/>
      <c r="E17" s="2567"/>
      <c r="F17" s="2568"/>
      <c r="G17" s="974" t="s">
        <v>1173</v>
      </c>
      <c r="H17" s="972"/>
      <c r="I17" s="972"/>
      <c r="J17" s="972"/>
      <c r="K17" s="976" t="s">
        <v>1172</v>
      </c>
      <c r="L17" s="969"/>
      <c r="M17" s="962"/>
    </row>
    <row r="18" spans="1:13" ht="12.2" customHeight="1" x14ac:dyDescent="0.2">
      <c r="A18" s="2549"/>
      <c r="B18" s="2550"/>
      <c r="C18" s="2550"/>
      <c r="D18" s="2550"/>
      <c r="E18" s="2550"/>
      <c r="F18" s="2551"/>
      <c r="G18" s="2560" t="str">
        <f>COVER!T21</f>
        <v>309-685-7621</v>
      </c>
      <c r="H18" s="2561"/>
      <c r="I18" s="2561"/>
      <c r="J18" s="2561"/>
      <c r="K18" s="2560" t="str">
        <f>COVER!X21</f>
        <v>309-685-4758</v>
      </c>
      <c r="L18" s="256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2" t="str">
        <f>'Single Audit Cover'!A7</f>
        <v xml:space="preserve">  Wethersfield CUSD 230</v>
      </c>
      <c r="B1" s="2583"/>
      <c r="C1" s="2583"/>
      <c r="D1" s="2583"/>
    </row>
    <row r="2" spans="1:11" s="991" customFormat="1" ht="12.75" x14ac:dyDescent="0.2">
      <c r="A2" s="2584">
        <f>'Single Audit Cover'!E7</f>
        <v>28037230026</v>
      </c>
      <c r="B2" s="2585"/>
      <c r="C2" s="2585"/>
      <c r="D2" s="2585"/>
    </row>
    <row r="3" spans="1:11" s="991" customFormat="1" ht="12.75" x14ac:dyDescent="0.2">
      <c r="A3" s="2582" t="s">
        <v>1495</v>
      </c>
      <c r="B3" s="2583"/>
      <c r="C3" s="2583"/>
      <c r="D3" s="2583"/>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7" t="str">
        <f>'Single Audit Cover'!A7</f>
        <v xml:space="preserve">  Wethersfield CUSD 230</v>
      </c>
      <c r="B1" s="2587"/>
      <c r="C1" s="2587"/>
      <c r="D1" s="2587"/>
      <c r="E1" s="2587"/>
    </row>
    <row r="2" spans="1:5" x14ac:dyDescent="0.2">
      <c r="A2" s="2588">
        <f>'Single Audit Cover'!E7</f>
        <v>28037230026</v>
      </c>
      <c r="B2" s="2588"/>
      <c r="C2" s="2588"/>
      <c r="D2" s="2588"/>
      <c r="E2" s="2588"/>
    </row>
    <row r="3" spans="1:5" ht="4.5" customHeight="1" x14ac:dyDescent="0.2"/>
    <row r="4" spans="1:5" x14ac:dyDescent="0.2">
      <c r="A4" s="2587" t="s">
        <v>1233</v>
      </c>
      <c r="B4" s="2587"/>
      <c r="C4" s="2587"/>
      <c r="D4" s="2587"/>
      <c r="E4" s="2587"/>
    </row>
    <row r="5" spans="1:5" x14ac:dyDescent="0.2">
      <c r="A5" s="2590" t="str">
        <f>'Single Audit Cover'!A4</f>
        <v>Year Ending June 30, 2020</v>
      </c>
      <c r="B5" s="2590"/>
      <c r="C5" s="2590"/>
      <c r="D5" s="2590"/>
      <c r="E5" s="2590"/>
    </row>
    <row r="6" spans="1:5" x14ac:dyDescent="0.2">
      <c r="A6" s="2587" t="s">
        <v>1232</v>
      </c>
      <c r="B6" s="2587"/>
      <c r="C6" s="2587"/>
      <c r="D6" s="2587"/>
      <c r="E6" s="2587"/>
    </row>
    <row r="8" spans="1:5" x14ac:dyDescent="0.2">
      <c r="A8" s="1036" t="s">
        <v>1231</v>
      </c>
    </row>
    <row r="10" spans="1:5" x14ac:dyDescent="0.2">
      <c r="A10" s="1037" t="s">
        <v>1230</v>
      </c>
      <c r="B10" s="1038" t="s">
        <v>1229</v>
      </c>
      <c r="C10" s="1038"/>
      <c r="D10" s="1039">
        <f>SUM('Acct Summary 7-8'!C7:K7)</f>
        <v>684533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29028</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0</v>
      </c>
    </row>
    <row r="19" spans="1:4" ht="13.5" thickBot="1" x14ac:dyDescent="0.25">
      <c r="A19" s="1041" t="s">
        <v>1223</v>
      </c>
      <c r="D19" s="1042">
        <f>SUM(D10:D17)</f>
        <v>713561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9"/>
      <c r="B24" s="2589"/>
      <c r="D24" s="1044"/>
    </row>
    <row r="25" spans="1:4" x14ac:dyDescent="0.2">
      <c r="A25" s="2586"/>
      <c r="B25" s="2586"/>
      <c r="D25" s="1044"/>
    </row>
    <row r="26" spans="1:4" x14ac:dyDescent="0.2">
      <c r="A26" s="2586"/>
      <c r="B26" s="2586"/>
      <c r="D26" s="1044"/>
    </row>
    <row r="27" spans="1:4" x14ac:dyDescent="0.2">
      <c r="A27" s="2586"/>
      <c r="B27" s="2586"/>
      <c r="D27" s="1044"/>
    </row>
    <row r="28" spans="1:4" x14ac:dyDescent="0.2">
      <c r="A28" s="2586"/>
      <c r="B28" s="2586"/>
      <c r="D28" s="1044"/>
    </row>
    <row r="29" spans="1:4" x14ac:dyDescent="0.2">
      <c r="A29" s="2586"/>
      <c r="B29" s="2586"/>
      <c r="D29" s="1044"/>
    </row>
    <row r="30" spans="1:4" x14ac:dyDescent="0.2">
      <c r="A30" s="2586"/>
      <c r="B30" s="2586"/>
      <c r="D30" s="1044"/>
    </row>
    <row r="32" spans="1:4" x14ac:dyDescent="0.2">
      <c r="A32" s="1036" t="s">
        <v>1221</v>
      </c>
      <c r="D32" s="1039">
        <f>SUM(D19:D30)</f>
        <v>713561</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86"/>
      <c r="B40" s="2586"/>
      <c r="D40" s="1044"/>
    </row>
    <row r="41" spans="1:4" x14ac:dyDescent="0.2">
      <c r="A41" s="2586"/>
      <c r="B41" s="2586"/>
      <c r="D41" s="1047"/>
    </row>
    <row r="42" spans="1:4" x14ac:dyDescent="0.2">
      <c r="A42" s="2586"/>
      <c r="B42" s="2586"/>
      <c r="D42" s="1047"/>
    </row>
    <row r="43" spans="1:4" x14ac:dyDescent="0.2">
      <c r="A43" s="2586"/>
      <c r="B43" s="2586"/>
      <c r="D43" s="1047"/>
    </row>
    <row r="44" spans="1:4" x14ac:dyDescent="0.2">
      <c r="A44" s="2586"/>
      <c r="B44" s="2586"/>
      <c r="D44" s="1047"/>
    </row>
    <row r="45" spans="1:4" x14ac:dyDescent="0.2">
      <c r="A45" s="2586"/>
      <c r="B45" s="2586"/>
      <c r="D45" s="1047"/>
    </row>
    <row r="47" spans="1:4" x14ac:dyDescent="0.2">
      <c r="B47" s="1048" t="s">
        <v>1215</v>
      </c>
      <c r="C47" s="1048"/>
      <c r="D47" s="1049">
        <f>SUM(D35:D45)</f>
        <v>0</v>
      </c>
    </row>
    <row r="49" spans="2:4" x14ac:dyDescent="0.2">
      <c r="B49" s="1048" t="s">
        <v>1214</v>
      </c>
      <c r="C49" s="1048"/>
      <c r="D49" s="1049">
        <f>D32-D47</f>
        <v>713561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9" t="str">
        <f>'Single Audit Cover'!A7</f>
        <v xml:space="preserve">  Wethersfield CUSD 230</v>
      </c>
      <c r="C1" s="2591"/>
      <c r="D1" s="2591"/>
      <c r="E1" s="2591"/>
      <c r="F1" s="2591"/>
      <c r="G1" s="2591"/>
      <c r="H1" s="2591"/>
      <c r="I1" s="2591"/>
      <c r="J1" s="2591"/>
      <c r="K1" s="2591"/>
      <c r="L1" s="2591"/>
      <c r="M1" s="2591"/>
    </row>
    <row r="2" spans="2:14" ht="15" x14ac:dyDescent="0.2">
      <c r="B2" s="2592">
        <f>'Single Audit Cover'!E7</f>
        <v>28037230026</v>
      </c>
      <c r="C2" s="2592"/>
      <c r="D2" s="2592"/>
      <c r="E2" s="2592"/>
      <c r="F2" s="2592"/>
      <c r="G2" s="2592"/>
      <c r="H2" s="2592"/>
      <c r="I2" s="2592"/>
      <c r="J2" s="2592"/>
      <c r="K2" s="2592"/>
      <c r="L2" s="2592"/>
      <c r="M2" s="2592"/>
      <c r="N2" s="1078"/>
    </row>
    <row r="3" spans="2:14" ht="15" x14ac:dyDescent="0.2">
      <c r="B3" s="2593" t="s">
        <v>1207</v>
      </c>
      <c r="C3" s="2593"/>
      <c r="D3" s="2593"/>
      <c r="E3" s="2593"/>
      <c r="F3" s="2593"/>
      <c r="G3" s="2593"/>
      <c r="H3" s="2593"/>
      <c r="I3" s="2593"/>
      <c r="J3" s="2593"/>
      <c r="K3" s="2593"/>
      <c r="L3" s="2593"/>
      <c r="M3" s="2593"/>
      <c r="N3" s="1078"/>
    </row>
    <row r="4" spans="2:14" ht="15" x14ac:dyDescent="0.2">
      <c r="B4" s="2594" t="str">
        <f>'Single Audit Cover'!A4</f>
        <v>Year Ending June 30, 2020</v>
      </c>
      <c r="C4" s="2594"/>
      <c r="D4" s="2594"/>
      <c r="E4" s="2594"/>
      <c r="F4" s="2594"/>
      <c r="G4" s="2594"/>
      <c r="H4" s="2594"/>
      <c r="I4" s="2594"/>
      <c r="J4" s="2594"/>
      <c r="K4" s="2594"/>
      <c r="L4" s="2594"/>
      <c r="M4" s="2594"/>
      <c r="N4" s="1078"/>
    </row>
    <row r="5" spans="2:14" x14ac:dyDescent="0.2">
      <c r="H5" s="1916"/>
      <c r="J5" s="1916"/>
    </row>
    <row r="6" spans="2:14" x14ac:dyDescent="0.2">
      <c r="B6" s="1079"/>
      <c r="C6" s="1080"/>
      <c r="D6" s="1081" t="s">
        <v>1253</v>
      </c>
      <c r="E6" s="1082" t="s">
        <v>523</v>
      </c>
      <c r="F6" s="1083"/>
      <c r="G6" s="1084" t="s">
        <v>1710</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t="s">
        <v>1158</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4" t="str">
        <f>'Single Audit Cover'!A7</f>
        <v xml:space="preserve">  Wethersfield CUSD 230</v>
      </c>
      <c r="B1" s="2604"/>
      <c r="C1" s="2604"/>
      <c r="D1" s="2604"/>
      <c r="E1" s="2604"/>
      <c r="F1" s="2604"/>
    </row>
    <row r="2" spans="1:7" ht="13.5" customHeight="1" x14ac:dyDescent="0.2">
      <c r="A2" s="2592">
        <f>'Single Audit Cover'!E7</f>
        <v>28037230026</v>
      </c>
      <c r="B2" s="2592"/>
      <c r="C2" s="2592"/>
      <c r="D2" s="2592"/>
      <c r="E2" s="2592"/>
      <c r="F2" s="2592"/>
      <c r="G2" s="1051"/>
    </row>
    <row r="3" spans="1:7" ht="15.75" customHeight="1" x14ac:dyDescent="0.2">
      <c r="A3" s="2605" t="s">
        <v>1259</v>
      </c>
      <c r="B3" s="2605"/>
      <c r="C3" s="2605"/>
      <c r="D3" s="2605"/>
      <c r="E3" s="2605"/>
      <c r="F3" s="2605"/>
    </row>
    <row r="4" spans="1:7" ht="13.5" customHeight="1" x14ac:dyDescent="0.2">
      <c r="A4" s="2606" t="str">
        <f>'Single Audit Cover'!A4</f>
        <v>Year Ending June 30, 2020</v>
      </c>
      <c r="B4" s="2606"/>
      <c r="C4" s="2606"/>
      <c r="D4" s="2606"/>
      <c r="E4" s="2606"/>
      <c r="F4" s="2606"/>
    </row>
    <row r="5" spans="1:7" ht="8.25" customHeight="1" x14ac:dyDescent="0.2">
      <c r="C5" s="295"/>
      <c r="D5" s="295"/>
    </row>
    <row r="6" spans="1:7" ht="13.5" customHeight="1" x14ac:dyDescent="0.2">
      <c r="A6" s="1052" t="s">
        <v>1704</v>
      </c>
      <c r="C6" s="295"/>
      <c r="D6" s="295"/>
    </row>
    <row r="7" spans="1:7" ht="60.95" customHeight="1" x14ac:dyDescent="0.2">
      <c r="A7" s="2603" t="s">
        <v>1705</v>
      </c>
      <c r="B7" s="2603"/>
      <c r="C7" s="2603"/>
      <c r="D7" s="2603"/>
      <c r="E7" s="2603"/>
      <c r="F7" s="260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603" t="s">
        <v>1707</v>
      </c>
      <c r="B13" s="2603"/>
      <c r="C13" s="2603"/>
      <c r="D13" s="2603"/>
      <c r="E13" s="2603"/>
      <c r="F13" s="2603"/>
    </row>
    <row r="14" spans="1:7" ht="9.75" customHeight="1" x14ac:dyDescent="0.2">
      <c r="C14" s="1036"/>
      <c r="D14" s="1036"/>
    </row>
    <row r="15" spans="1:7" ht="13.5" customHeight="1" x14ac:dyDescent="0.2">
      <c r="C15" s="1476" t="s">
        <v>1258</v>
      </c>
      <c r="D15" s="2601" t="s">
        <v>1257</v>
      </c>
      <c r="E15" s="2601"/>
      <c r="F15" s="2601"/>
    </row>
    <row r="16" spans="1:7" ht="13.5" customHeight="1" x14ac:dyDescent="0.2">
      <c r="A16" s="1058"/>
      <c r="B16" s="1052" t="s">
        <v>1256</v>
      </c>
      <c r="C16" s="1476" t="s">
        <v>1255</v>
      </c>
      <c r="D16" s="2602" t="s">
        <v>1570</v>
      </c>
      <c r="E16" s="2602"/>
      <c r="F16" s="2602"/>
    </row>
    <row r="17" spans="1:6" ht="20.45" customHeight="1" x14ac:dyDescent="0.2">
      <c r="A17" s="1059"/>
      <c r="B17" s="1060"/>
      <c r="C17" s="1061"/>
      <c r="D17" s="2596"/>
      <c r="E17" s="2596"/>
      <c r="F17" s="2596"/>
    </row>
    <row r="18" spans="1:6" ht="20.65" customHeight="1" x14ac:dyDescent="0.2">
      <c r="A18" s="1059"/>
      <c r="B18" s="1060"/>
      <c r="C18" s="1061"/>
      <c r="D18" s="2596"/>
      <c r="E18" s="2596"/>
      <c r="F18" s="2596"/>
    </row>
    <row r="19" spans="1:6" ht="20.65" customHeight="1" x14ac:dyDescent="0.2">
      <c r="A19" s="1059"/>
      <c r="B19" s="1060"/>
      <c r="C19" s="1061"/>
      <c r="D19" s="2596"/>
      <c r="E19" s="2596"/>
      <c r="F19" s="2596"/>
    </row>
    <row r="20" spans="1:6" ht="20.65" customHeight="1" x14ac:dyDescent="0.2">
      <c r="A20" s="1059"/>
      <c r="B20" s="1060"/>
      <c r="C20" s="1061"/>
      <c r="D20" s="2596"/>
      <c r="E20" s="2596"/>
      <c r="F20" s="2596"/>
    </row>
    <row r="21" spans="1:6" ht="20.65" customHeight="1" x14ac:dyDescent="0.2">
      <c r="A21" s="1059"/>
      <c r="B21" s="1060"/>
      <c r="C21" s="1061"/>
      <c r="D21" s="2596"/>
      <c r="E21" s="2596"/>
      <c r="F21" s="2596"/>
    </row>
    <row r="22" spans="1:6" ht="20.65" customHeight="1" x14ac:dyDescent="0.2">
      <c r="A22" s="1059"/>
      <c r="B22" s="1060"/>
      <c r="C22" s="1061"/>
      <c r="D22" s="2596"/>
      <c r="E22" s="2596"/>
      <c r="F22" s="2596"/>
    </row>
    <row r="23" spans="1:6" ht="20.65" customHeight="1" x14ac:dyDescent="0.2">
      <c r="A23" s="1059"/>
      <c r="B23" s="1060"/>
      <c r="C23" s="1061"/>
      <c r="D23" s="2596"/>
      <c r="E23" s="2596"/>
      <c r="F23" s="2596"/>
    </row>
    <row r="24" spans="1:6" ht="20.65" customHeight="1" x14ac:dyDescent="0.2">
      <c r="A24" s="1059"/>
      <c r="B24" s="1060"/>
      <c r="C24" s="1061"/>
      <c r="D24" s="2596"/>
      <c r="E24" s="2596"/>
      <c r="F24" s="2596"/>
    </row>
    <row r="25" spans="1:6" ht="20.65" customHeight="1" x14ac:dyDescent="0.2">
      <c r="A25" s="1059"/>
      <c r="B25" s="1060"/>
      <c r="C25" s="1061"/>
      <c r="D25" s="2596"/>
      <c r="E25" s="2596"/>
      <c r="F25" s="2596"/>
    </row>
    <row r="26" spans="1:6" ht="20.65" customHeight="1" x14ac:dyDescent="0.2">
      <c r="A26" s="1059"/>
      <c r="B26" s="1060"/>
      <c r="C26" s="1061"/>
      <c r="D26" s="2596"/>
      <c r="E26" s="2596"/>
      <c r="F26" s="2596"/>
    </row>
    <row r="27" spans="1:6" ht="20.65" customHeight="1" x14ac:dyDescent="0.2">
      <c r="A27" s="1059"/>
      <c r="B27" s="1060"/>
      <c r="C27" s="1061"/>
      <c r="D27" s="2596"/>
      <c r="E27" s="2596"/>
      <c r="F27" s="2596"/>
    </row>
    <row r="28" spans="1:6" ht="20.65" customHeight="1" x14ac:dyDescent="0.2">
      <c r="A28" s="1059"/>
      <c r="B28" s="1060"/>
      <c r="C28" s="1061"/>
      <c r="D28" s="2596"/>
      <c r="E28" s="2596"/>
      <c r="F28" s="2596"/>
    </row>
    <row r="29" spans="1:6" ht="20.65" customHeight="1" x14ac:dyDescent="0.2">
      <c r="A29" s="1059"/>
      <c r="B29" s="1060"/>
      <c r="C29" s="1061"/>
      <c r="D29" s="2596"/>
      <c r="E29" s="2596"/>
      <c r="F29" s="2596"/>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97" t="s">
        <v>1708</v>
      </c>
      <c r="B32" s="2597"/>
      <c r="C32" s="2597"/>
      <c r="D32" s="2597"/>
      <c r="E32" s="2597"/>
      <c r="F32" s="2597"/>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98">
        <f>+C33+C34</f>
        <v>0</v>
      </c>
      <c r="F34" s="2599"/>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0" t="s">
        <v>1572</v>
      </c>
      <c r="C49" s="2600"/>
      <c r="D49" s="2600"/>
      <c r="E49" s="1168"/>
    </row>
    <row r="50" spans="1:5" s="1076" customFormat="1" ht="3.75" customHeight="1" x14ac:dyDescent="0.2">
      <c r="A50" s="1075"/>
      <c r="B50" s="1475"/>
      <c r="C50" s="1475"/>
      <c r="D50" s="1475"/>
      <c r="E50" s="1168"/>
    </row>
    <row r="51" spans="1:5" s="1076" customFormat="1" ht="20.25" customHeight="1" x14ac:dyDescent="0.2">
      <c r="A51" s="1077">
        <v>6</v>
      </c>
      <c r="B51" s="2595" t="s">
        <v>1533</v>
      </c>
      <c r="C51" s="2595"/>
      <c r="D51" s="2595"/>
    </row>
    <row r="52" spans="1:5" ht="14.25" customHeight="1" x14ac:dyDescent="0.2">
      <c r="A52" s="1077"/>
      <c r="B52" s="2595"/>
      <c r="C52" s="2595"/>
      <c r="D52" s="259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1157</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t="s">
        <v>2091</v>
      </c>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3" t="s">
        <v>1615</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309</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2091</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1311</v>
      </c>
      <c r="B70" s="2196"/>
      <c r="C70" s="2196"/>
      <c r="D70" s="2196"/>
      <c r="E70" s="2197"/>
      <c r="F70" s="2197"/>
      <c r="G70" s="2197"/>
      <c r="H70" s="2197"/>
      <c r="I70" s="219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1308</v>
      </c>
      <c r="B83" s="2198"/>
      <c r="C83" s="2198"/>
      <c r="D83" s="2199"/>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9" t="s">
        <v>1988</v>
      </c>
      <c r="B85" s="2209"/>
      <c r="C85" s="2209"/>
      <c r="D85" s="221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211" t="s">
        <v>1988</v>
      </c>
      <c r="B88" s="2212"/>
      <c r="C88" s="2212"/>
      <c r="D88" s="221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0" t="s">
        <v>2143</v>
      </c>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2051</v>
      </c>
      <c r="D114" s="218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1318</v>
      </c>
      <c r="D117" s="2191"/>
      <c r="E117" s="2192"/>
      <c r="F117" s="2192"/>
      <c r="G117" s="2192"/>
      <c r="H117" s="2192"/>
      <c r="I117" s="282"/>
    </row>
    <row r="118" spans="1:9" s="176" customFormat="1" ht="24" customHeight="1" x14ac:dyDescent="0.2">
      <c r="A118" s="294"/>
      <c r="B118" s="294"/>
      <c r="C118" s="294"/>
      <c r="D118" s="301" t="s">
        <v>2144</v>
      </c>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8" t="str">
        <f>'Single Audit Cover'!A7</f>
        <v xml:space="preserve">  Wethersfield CUSD 230</v>
      </c>
      <c r="C1" s="2619"/>
      <c r="D1" s="2619"/>
      <c r="E1" s="2619"/>
      <c r="F1" s="2619"/>
      <c r="G1" s="2619"/>
      <c r="H1" s="2619"/>
      <c r="I1" s="2619"/>
      <c r="J1" s="1178"/>
    </row>
    <row r="2" spans="2:10" s="295" customFormat="1" ht="12.75" customHeight="1" x14ac:dyDescent="0.2">
      <c r="B2" s="2620">
        <f>'Single Audit Cover'!E7</f>
        <v>28037230026</v>
      </c>
      <c r="C2" s="2621"/>
      <c r="D2" s="2621"/>
      <c r="E2" s="2621"/>
      <c r="F2" s="2621"/>
      <c r="G2" s="2621"/>
      <c r="H2" s="2621"/>
      <c r="I2" s="2621"/>
      <c r="J2" s="1178"/>
    </row>
    <row r="3" spans="2:10" s="295" customFormat="1" ht="12.75" customHeight="1" x14ac:dyDescent="0.2">
      <c r="B3" s="2622" t="s">
        <v>1273</v>
      </c>
      <c r="C3" s="2623"/>
      <c r="D3" s="2623"/>
      <c r="E3" s="2623"/>
      <c r="F3" s="2623"/>
      <c r="G3" s="2623"/>
      <c r="H3" s="2623"/>
      <c r="I3" s="2623"/>
      <c r="J3" s="1179"/>
    </row>
    <row r="4" spans="2:10" s="295" customFormat="1" ht="12.75" customHeight="1" x14ac:dyDescent="0.2">
      <c r="B4" s="2622" t="str">
        <f>'Single Audit Cover'!A4</f>
        <v>Year Ending June 30, 2020</v>
      </c>
      <c r="C4" s="2623"/>
      <c r="D4" s="2623"/>
      <c r="E4" s="2623"/>
      <c r="F4" s="2623"/>
      <c r="G4" s="2623"/>
      <c r="H4" s="2623"/>
      <c r="I4" s="2623"/>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2" t="s">
        <v>1272</v>
      </c>
      <c r="C7" s="2623"/>
      <c r="D7" s="2623"/>
      <c r="E7" s="2623"/>
      <c r="F7" s="2623"/>
      <c r="G7" s="2623"/>
      <c r="H7" s="2623"/>
      <c r="I7" s="2623"/>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24"/>
      <c r="D11" s="2624"/>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25"/>
      <c r="E29" s="2625"/>
      <c r="F29" s="2625"/>
      <c r="G29" s="2625"/>
      <c r="H29" s="2625"/>
      <c r="I29" s="2625"/>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26" t="s">
        <v>1727</v>
      </c>
      <c r="D37" s="2627"/>
      <c r="E37" s="2627"/>
      <c r="F37" s="2628"/>
      <c r="G37" s="2626" t="s">
        <v>1574</v>
      </c>
      <c r="H37" s="2627"/>
      <c r="I37" s="2628"/>
    </row>
    <row r="38" spans="2:9" ht="16.5" customHeight="1" x14ac:dyDescent="0.2">
      <c r="B38" s="1200"/>
      <c r="C38" s="2614"/>
      <c r="D38" s="2615"/>
      <c r="E38" s="2615"/>
      <c r="F38" s="2616"/>
      <c r="G38" s="2629"/>
      <c r="H38" s="2630"/>
      <c r="I38" s="2631"/>
    </row>
    <row r="39" spans="2:9" ht="16.5" customHeight="1" x14ac:dyDescent="0.2">
      <c r="B39" s="1200"/>
      <c r="C39" s="2614"/>
      <c r="D39" s="2615"/>
      <c r="E39" s="2615"/>
      <c r="F39" s="2616"/>
      <c r="G39" s="2617"/>
      <c r="H39" s="2617"/>
      <c r="I39" s="2617"/>
    </row>
    <row r="40" spans="2:9" ht="16.5" customHeight="1" x14ac:dyDescent="0.2">
      <c r="B40" s="1200"/>
      <c r="C40" s="2614"/>
      <c r="D40" s="2615"/>
      <c r="E40" s="2615"/>
      <c r="F40" s="2616"/>
      <c r="G40" s="2617"/>
      <c r="H40" s="2617"/>
      <c r="I40" s="2617"/>
    </row>
    <row r="41" spans="2:9" ht="16.5" customHeight="1" x14ac:dyDescent="0.2">
      <c r="B41" s="1200"/>
      <c r="C41" s="2614"/>
      <c r="D41" s="2615"/>
      <c r="E41" s="2615"/>
      <c r="F41" s="2616"/>
      <c r="G41" s="2617"/>
      <c r="H41" s="2617"/>
      <c r="I41" s="2617"/>
    </row>
    <row r="42" spans="2:9" ht="16.5" customHeight="1" x14ac:dyDescent="0.2">
      <c r="B42" s="1200"/>
      <c r="C42" s="2614"/>
      <c r="D42" s="2615"/>
      <c r="E42" s="2615"/>
      <c r="F42" s="2616"/>
      <c r="G42" s="2617"/>
      <c r="H42" s="2617"/>
      <c r="I42" s="2617"/>
    </row>
    <row r="43" spans="2:9" ht="16.5" customHeight="1" x14ac:dyDescent="0.2">
      <c r="B43" s="1200"/>
      <c r="C43" s="2607" t="s">
        <v>1575</v>
      </c>
      <c r="D43" s="2608"/>
      <c r="E43" s="2608"/>
      <c r="F43" s="2609"/>
      <c r="G43" s="2610">
        <f>SUM(G38:I42)</f>
        <v>0</v>
      </c>
      <c r="H43" s="2610"/>
      <c r="I43" s="2610"/>
    </row>
    <row r="44" spans="2:9" ht="12.75" customHeight="1" x14ac:dyDescent="0.2"/>
    <row r="45" spans="2:9" ht="12.75" customHeight="1" x14ac:dyDescent="0.2">
      <c r="B45" s="1918" t="str">
        <f>"Total Federal Expenditures for 7/1/"&amp;MID('AFR20'!E2,3,2)-1&amp;"-6/30/"&amp;MID('AFR20'!E2,3,2)</f>
        <v>Total Federal Expenditures for 7/1/19-6/30/20</v>
      </c>
      <c r="C45" s="1919"/>
      <c r="D45" s="2611">
        <v>0</v>
      </c>
      <c r="E45" s="2612"/>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13"/>
      <c r="F49" s="2613"/>
      <c r="G49" s="2613"/>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8" t="str">
        <f>'Single Audit Cover'!A7</f>
        <v xml:space="preserve">  Wethersfield CUSD 230</v>
      </c>
      <c r="C1" s="2618"/>
      <c r="D1" s="2618"/>
      <c r="E1" s="2618"/>
      <c r="F1" s="2618"/>
      <c r="G1" s="2618"/>
      <c r="H1" s="2618"/>
      <c r="I1" s="2618"/>
      <c r="J1" s="2618"/>
      <c r="K1" s="2618"/>
      <c r="L1" s="1144"/>
      <c r="M1" s="1144"/>
    </row>
    <row r="2" spans="1:13" ht="12" customHeight="1" x14ac:dyDescent="0.2">
      <c r="B2" s="2620">
        <f>'Single Audit Cover'!E7</f>
        <v>28037230026</v>
      </c>
      <c r="C2" s="2620"/>
      <c r="D2" s="2620"/>
      <c r="E2" s="2620"/>
      <c r="F2" s="2620"/>
      <c r="G2" s="2620"/>
      <c r="H2" s="2620"/>
      <c r="I2" s="2620"/>
      <c r="J2" s="2620"/>
      <c r="K2" s="2620"/>
      <c r="L2" s="1145"/>
      <c r="M2" s="1146"/>
    </row>
    <row r="3" spans="1:13" ht="10.35" customHeight="1" x14ac:dyDescent="0.2">
      <c r="B3" s="2634" t="s">
        <v>1273</v>
      </c>
      <c r="C3" s="2634"/>
      <c r="D3" s="2634"/>
      <c r="E3" s="2634"/>
      <c r="F3" s="2634"/>
      <c r="G3" s="2634"/>
      <c r="H3" s="2634"/>
      <c r="I3" s="2634"/>
      <c r="J3" s="2634"/>
      <c r="K3" s="2634"/>
      <c r="L3" s="2036"/>
      <c r="M3" s="2036"/>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5" t="s">
        <v>1284</v>
      </c>
      <c r="C7" s="2635"/>
      <c r="D7" s="2636"/>
      <c r="E7" s="2636"/>
      <c r="F7" s="2636"/>
      <c r="G7" s="2636"/>
      <c r="H7" s="2636"/>
      <c r="I7" s="2636"/>
      <c r="J7" s="2636"/>
      <c r="K7" s="263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20" t="str">
        <f>'AFR20'!$E$2&amp;"-"</f>
        <v>2020-</v>
      </c>
      <c r="D10" s="1155">
        <v>1</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3" t="s">
        <v>2080</v>
      </c>
      <c r="C14" s="2633"/>
      <c r="D14" s="2633"/>
      <c r="E14" s="2633"/>
      <c r="F14" s="2633"/>
      <c r="G14" s="2633"/>
      <c r="H14" s="2633"/>
      <c r="I14" s="2633"/>
      <c r="J14" s="2633"/>
      <c r="K14" s="263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3" t="s">
        <v>2063</v>
      </c>
      <c r="C17" s="2633"/>
      <c r="D17" s="2633"/>
      <c r="E17" s="2633"/>
      <c r="F17" s="2633"/>
      <c r="G17" s="2633"/>
      <c r="H17" s="2633"/>
      <c r="I17" s="2633"/>
      <c r="J17" s="2633"/>
      <c r="K17" s="2633"/>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37" t="s">
        <v>2081</v>
      </c>
      <c r="C20" s="2637"/>
      <c r="D20" s="2633"/>
      <c r="E20" s="2633"/>
      <c r="F20" s="2633"/>
      <c r="G20" s="2633"/>
      <c r="H20" s="2633"/>
      <c r="I20" s="2633"/>
      <c r="J20" s="2633"/>
      <c r="K20" s="263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3" t="s">
        <v>2082</v>
      </c>
      <c r="C23" s="2633"/>
      <c r="D23" s="2633"/>
      <c r="E23" s="2633"/>
      <c r="F23" s="2633"/>
      <c r="G23" s="2633"/>
      <c r="H23" s="2633"/>
      <c r="I23" s="2633"/>
      <c r="J23" s="2633"/>
      <c r="K23" s="263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3" t="s">
        <v>2083</v>
      </c>
      <c r="C26" s="2633"/>
      <c r="D26" s="2633"/>
      <c r="E26" s="2633"/>
      <c r="F26" s="2633"/>
      <c r="G26" s="2633"/>
      <c r="H26" s="2633"/>
      <c r="I26" s="2633"/>
      <c r="J26" s="2633"/>
      <c r="K26" s="263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32" t="s">
        <v>2084</v>
      </c>
      <c r="C29" s="2632"/>
      <c r="D29" s="2633"/>
      <c r="E29" s="2633"/>
      <c r="F29" s="2633"/>
      <c r="G29" s="2633"/>
      <c r="H29" s="2633"/>
      <c r="I29" s="2633"/>
      <c r="J29" s="2633"/>
      <c r="K29" s="263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32" t="s">
        <v>2085</v>
      </c>
      <c r="C32" s="2632"/>
      <c r="D32" s="2633"/>
      <c r="E32" s="2633"/>
      <c r="F32" s="2633"/>
      <c r="G32" s="2633"/>
      <c r="H32" s="2633"/>
      <c r="I32" s="2633"/>
      <c r="J32" s="2633"/>
      <c r="K32" s="263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68743-EBE2-4687-B9A5-3CADFB9DC6DA}">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8" t="str">
        <f>'Single Audit Cover'!A7</f>
        <v xml:space="preserve">  Wethersfield CUSD 230</v>
      </c>
      <c r="C1" s="2618"/>
      <c r="D1" s="2618"/>
      <c r="E1" s="2618"/>
      <c r="F1" s="2618"/>
      <c r="G1" s="2618"/>
      <c r="H1" s="2618"/>
      <c r="I1" s="2618"/>
      <c r="J1" s="2618"/>
      <c r="K1" s="2618"/>
      <c r="L1" s="1144"/>
      <c r="M1" s="1144"/>
    </row>
    <row r="2" spans="1:13" ht="12" customHeight="1" x14ac:dyDescent="0.2">
      <c r="B2" s="2620">
        <f>'Single Audit Cover'!E7</f>
        <v>28037230026</v>
      </c>
      <c r="C2" s="2620"/>
      <c r="D2" s="2620"/>
      <c r="E2" s="2620"/>
      <c r="F2" s="2620"/>
      <c r="G2" s="2620"/>
      <c r="H2" s="2620"/>
      <c r="I2" s="2620"/>
      <c r="J2" s="2620"/>
      <c r="K2" s="2620"/>
      <c r="L2" s="1145"/>
      <c r="M2" s="1146"/>
    </row>
    <row r="3" spans="1:13" ht="10.35" customHeight="1" x14ac:dyDescent="0.2">
      <c r="B3" s="2634" t="s">
        <v>1273</v>
      </c>
      <c r="C3" s="2634"/>
      <c r="D3" s="2634"/>
      <c r="E3" s="2634"/>
      <c r="F3" s="2634"/>
      <c r="G3" s="2634"/>
      <c r="H3" s="2634"/>
      <c r="I3" s="2634"/>
      <c r="J3" s="2634"/>
      <c r="K3" s="2634"/>
      <c r="L3" s="2059"/>
      <c r="M3" s="2059"/>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5" t="s">
        <v>1284</v>
      </c>
      <c r="C7" s="2635"/>
      <c r="D7" s="2636"/>
      <c r="E7" s="2636"/>
      <c r="F7" s="2636"/>
      <c r="G7" s="2636"/>
      <c r="H7" s="2636"/>
      <c r="I7" s="2636"/>
      <c r="J7" s="2636"/>
      <c r="K7" s="263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20" t="str">
        <f>'AFR20'!$E$2&amp;"-"</f>
        <v>2020-</v>
      </c>
      <c r="D10" s="1155">
        <v>2</v>
      </c>
      <c r="E10" s="300"/>
      <c r="F10" s="1156" t="s">
        <v>1283</v>
      </c>
      <c r="G10" s="1157" t="s">
        <v>2091</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3" t="s">
        <v>2092</v>
      </c>
      <c r="C14" s="2633"/>
      <c r="D14" s="2633"/>
      <c r="E14" s="2633"/>
      <c r="F14" s="2633"/>
      <c r="G14" s="2633"/>
      <c r="H14" s="2633"/>
      <c r="I14" s="2633"/>
      <c r="J14" s="2633"/>
      <c r="K14" s="263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3" t="s">
        <v>2095</v>
      </c>
      <c r="C17" s="2633"/>
      <c r="D17" s="2633"/>
      <c r="E17" s="2633"/>
      <c r="F17" s="2633"/>
      <c r="G17" s="2633"/>
      <c r="H17" s="2633"/>
      <c r="I17" s="2633"/>
      <c r="J17" s="2633"/>
      <c r="K17" s="2633"/>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37" t="s">
        <v>2096</v>
      </c>
      <c r="C20" s="2637"/>
      <c r="D20" s="2633"/>
      <c r="E20" s="2633"/>
      <c r="F20" s="2633"/>
      <c r="G20" s="2633"/>
      <c r="H20" s="2633"/>
      <c r="I20" s="2633"/>
      <c r="J20" s="2633"/>
      <c r="K20" s="263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3" t="s">
        <v>2097</v>
      </c>
      <c r="C23" s="2633"/>
      <c r="D23" s="2633"/>
      <c r="E23" s="2633"/>
      <c r="F23" s="2633"/>
      <c r="G23" s="2633"/>
      <c r="H23" s="2633"/>
      <c r="I23" s="2633"/>
      <c r="J23" s="2633"/>
      <c r="K23" s="263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3" t="s">
        <v>2098</v>
      </c>
      <c r="C26" s="2633"/>
      <c r="D26" s="2633"/>
      <c r="E26" s="2633"/>
      <c r="F26" s="2633"/>
      <c r="G26" s="2633"/>
      <c r="H26" s="2633"/>
      <c r="I26" s="2633"/>
      <c r="J26" s="2633"/>
      <c r="K26" s="263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32" t="s">
        <v>2093</v>
      </c>
      <c r="C29" s="2632"/>
      <c r="D29" s="2633"/>
      <c r="E29" s="2633"/>
      <c r="F29" s="2633"/>
      <c r="G29" s="2633"/>
      <c r="H29" s="2633"/>
      <c r="I29" s="2633"/>
      <c r="J29" s="2633"/>
      <c r="K29" s="263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32" t="s">
        <v>2094</v>
      </c>
      <c r="C32" s="2632"/>
      <c r="D32" s="2633"/>
      <c r="E32" s="2633"/>
      <c r="F32" s="2633"/>
      <c r="G32" s="2633"/>
      <c r="H32" s="2633"/>
      <c r="I32" s="2633"/>
      <c r="J32" s="2633"/>
      <c r="K32" s="263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8" t="str">
        <f>'Single Audit Cover'!A7</f>
        <v xml:space="preserve">  Wethersfield CUSD 230</v>
      </c>
      <c r="C1" s="2618"/>
      <c r="D1" s="2618"/>
      <c r="E1" s="2618"/>
      <c r="F1" s="2618"/>
      <c r="G1" s="2618"/>
      <c r="H1" s="2618"/>
      <c r="I1" s="2618"/>
      <c r="J1" s="2618"/>
      <c r="K1" s="2618"/>
      <c r="L1" s="1144"/>
      <c r="M1" s="1144"/>
    </row>
    <row r="2" spans="1:13" ht="12" customHeight="1" x14ac:dyDescent="0.2">
      <c r="B2" s="2620">
        <f>'Single Audit Cover'!E7</f>
        <v>28037230026</v>
      </c>
      <c r="C2" s="2620"/>
      <c r="D2" s="2620"/>
      <c r="E2" s="2620"/>
      <c r="F2" s="2620"/>
      <c r="G2" s="2620"/>
      <c r="H2" s="2620"/>
      <c r="I2" s="2620"/>
      <c r="J2" s="2620"/>
      <c r="K2" s="2620"/>
      <c r="L2" s="1145"/>
      <c r="M2" s="1146"/>
    </row>
    <row r="3" spans="1:13" ht="10.35" customHeight="1" x14ac:dyDescent="0.2">
      <c r="B3" s="2634" t="s">
        <v>1273</v>
      </c>
      <c r="C3" s="2634"/>
      <c r="D3" s="2634"/>
      <c r="E3" s="2634"/>
      <c r="F3" s="2634"/>
      <c r="G3" s="2634"/>
      <c r="H3" s="2634"/>
      <c r="I3" s="2634"/>
      <c r="J3" s="2634"/>
      <c r="K3" s="2634"/>
      <c r="L3" s="1147"/>
      <c r="M3" s="1147"/>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5" t="s">
        <v>1284</v>
      </c>
      <c r="C7" s="2635"/>
      <c r="D7" s="2636"/>
      <c r="E7" s="2636"/>
      <c r="F7" s="2636"/>
      <c r="G7" s="2636"/>
      <c r="H7" s="2636"/>
      <c r="I7" s="2636"/>
      <c r="J7" s="2636"/>
      <c r="K7" s="263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20"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3"/>
      <c r="C14" s="2633"/>
      <c r="D14" s="2633"/>
      <c r="E14" s="2633"/>
      <c r="F14" s="2633"/>
      <c r="G14" s="2633"/>
      <c r="H14" s="2633"/>
      <c r="I14" s="2633"/>
      <c r="J14" s="2633"/>
      <c r="K14" s="263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3"/>
      <c r="C17" s="2633"/>
      <c r="D17" s="2633"/>
      <c r="E17" s="2633"/>
      <c r="F17" s="2633"/>
      <c r="G17" s="2633"/>
      <c r="H17" s="2633"/>
      <c r="I17" s="2633"/>
      <c r="J17" s="2633"/>
      <c r="K17" s="2633"/>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37"/>
      <c r="C20" s="2637"/>
      <c r="D20" s="2633"/>
      <c r="E20" s="2633"/>
      <c r="F20" s="2633"/>
      <c r="G20" s="2633"/>
      <c r="H20" s="2633"/>
      <c r="I20" s="2633"/>
      <c r="J20" s="2633"/>
      <c r="K20" s="263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3"/>
      <c r="C23" s="2633"/>
      <c r="D23" s="2633"/>
      <c r="E23" s="2633"/>
      <c r="F23" s="2633"/>
      <c r="G23" s="2633"/>
      <c r="H23" s="2633"/>
      <c r="I23" s="2633"/>
      <c r="J23" s="2633"/>
      <c r="K23" s="263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3"/>
      <c r="C26" s="2633"/>
      <c r="D26" s="2633"/>
      <c r="E26" s="2633"/>
      <c r="F26" s="2633"/>
      <c r="G26" s="2633"/>
      <c r="H26" s="2633"/>
      <c r="I26" s="2633"/>
      <c r="J26" s="2633"/>
      <c r="K26" s="263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32"/>
      <c r="C29" s="2632"/>
      <c r="D29" s="2633"/>
      <c r="E29" s="2633"/>
      <c r="F29" s="2633"/>
      <c r="G29" s="2633"/>
      <c r="H29" s="2633"/>
      <c r="I29" s="2633"/>
      <c r="J29" s="2633"/>
      <c r="K29" s="263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32"/>
      <c r="C32" s="2632"/>
      <c r="D32" s="2633"/>
      <c r="E32" s="2633"/>
      <c r="F32" s="2633"/>
      <c r="G32" s="2633"/>
      <c r="H32" s="2633"/>
      <c r="I32" s="2633"/>
      <c r="J32" s="2633"/>
      <c r="K32" s="263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1" t="str">
        <f>'Single Audit Cover'!A7</f>
        <v xml:space="preserve">  Wethersfield CUSD 230</v>
      </c>
      <c r="C1" s="2641"/>
      <c r="D1" s="2641"/>
      <c r="E1" s="2641"/>
      <c r="F1" s="2641"/>
      <c r="G1" s="2641"/>
      <c r="H1" s="2641"/>
      <c r="I1" s="2641"/>
      <c r="J1" s="2641"/>
      <c r="K1" s="2641"/>
      <c r="L1" s="1221"/>
    </row>
    <row r="2" spans="1:12" ht="12.75" customHeight="1" x14ac:dyDescent="0.2">
      <c r="B2" s="2642">
        <f>'Single Audit Cover'!E7</f>
        <v>28037230026</v>
      </c>
      <c r="C2" s="2642"/>
      <c r="D2" s="2642"/>
      <c r="E2" s="2642"/>
      <c r="F2" s="2642"/>
      <c r="G2" s="2642"/>
      <c r="H2" s="2642"/>
      <c r="I2" s="2642"/>
      <c r="J2" s="2642"/>
      <c r="K2" s="2642"/>
      <c r="L2" s="1222"/>
    </row>
    <row r="3" spans="1:12" ht="12.75" customHeight="1" x14ac:dyDescent="0.2">
      <c r="B3" s="2634" t="s">
        <v>1273</v>
      </c>
      <c r="C3" s="2634"/>
      <c r="D3" s="2634"/>
      <c r="E3" s="2634"/>
      <c r="F3" s="2634"/>
      <c r="G3" s="2634"/>
      <c r="H3" s="2634"/>
      <c r="I3" s="2634"/>
      <c r="J3" s="2634"/>
      <c r="K3" s="2634"/>
      <c r="L3" s="1147"/>
    </row>
    <row r="4" spans="1:12" ht="12.75" customHeight="1" x14ac:dyDescent="0.2">
      <c r="B4" s="2634" t="str">
        <f>'Single Audit Cover'!A4</f>
        <v>Year Ending June 30, 2020</v>
      </c>
      <c r="C4" s="2634"/>
      <c r="D4" s="2634"/>
      <c r="E4" s="2634"/>
      <c r="F4" s="2634"/>
      <c r="G4" s="2634"/>
      <c r="H4" s="2634"/>
      <c r="I4" s="2634"/>
      <c r="J4" s="2634"/>
      <c r="K4" s="2634"/>
      <c r="L4" s="1147"/>
    </row>
    <row r="5" spans="1:12" ht="5.25" customHeight="1" x14ac:dyDescent="0.2">
      <c r="B5" s="1036" t="s">
        <v>1158</v>
      </c>
      <c r="C5" s="1036"/>
      <c r="L5" s="300"/>
    </row>
    <row r="6" spans="1:12" ht="30.75" customHeight="1" x14ac:dyDescent="0.2">
      <c r="A6" s="300"/>
      <c r="B6" s="2643" t="s">
        <v>1296</v>
      </c>
      <c r="C6" s="2643"/>
      <c r="D6" s="2643"/>
      <c r="E6" s="2643"/>
      <c r="F6" s="2643"/>
      <c r="G6" s="2643"/>
      <c r="H6" s="2643"/>
      <c r="I6" s="2643"/>
      <c r="J6" s="2643"/>
      <c r="K6" s="2643"/>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20"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25"/>
      <c r="G12" s="2625"/>
      <c r="H12" s="2625"/>
      <c r="I12" s="2625"/>
      <c r="J12" s="2625"/>
      <c r="K12" s="262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38"/>
      <c r="E14" s="2638"/>
      <c r="F14" s="2638"/>
      <c r="H14" s="1230" t="s">
        <v>1291</v>
      </c>
      <c r="I14" s="2639"/>
      <c r="J14" s="2639"/>
      <c r="K14" s="263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39"/>
      <c r="E16" s="2639"/>
      <c r="F16" s="2639"/>
      <c r="G16" s="2639"/>
      <c r="H16" s="2639"/>
      <c r="I16" s="2639"/>
      <c r="J16" s="2639"/>
      <c r="K16" s="2639"/>
      <c r="L16" s="300"/>
    </row>
    <row r="17" spans="2:12" ht="13.5" customHeight="1" x14ac:dyDescent="0.2">
      <c r="B17" s="1156" t="s">
        <v>1289</v>
      </c>
      <c r="C17" s="1156"/>
      <c r="D17" s="2640"/>
      <c r="E17" s="2640"/>
      <c r="F17" s="2640"/>
      <c r="G17" s="2640"/>
      <c r="H17" s="2640"/>
      <c r="I17" s="2640"/>
      <c r="J17" s="2640"/>
      <c r="K17" s="264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33"/>
      <c r="C20" s="2633"/>
      <c r="D20" s="2633"/>
      <c r="E20" s="2633"/>
      <c r="F20" s="2633"/>
      <c r="G20" s="2633"/>
      <c r="H20" s="2633"/>
      <c r="I20" s="2633"/>
      <c r="J20" s="2633"/>
      <c r="K20" s="263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33"/>
      <c r="C23" s="2633"/>
      <c r="D23" s="2633"/>
      <c r="E23" s="2633"/>
      <c r="F23" s="2633"/>
      <c r="G23" s="2633"/>
      <c r="H23" s="2633"/>
      <c r="I23" s="2633"/>
      <c r="J23" s="2633"/>
      <c r="K23" s="263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33"/>
      <c r="C26" s="2633"/>
      <c r="D26" s="2633"/>
      <c r="E26" s="2633"/>
      <c r="F26" s="2633"/>
      <c r="G26" s="2633"/>
      <c r="H26" s="2633"/>
      <c r="I26" s="2633"/>
      <c r="J26" s="2633"/>
      <c r="K26" s="263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33"/>
      <c r="C29" s="2633"/>
      <c r="D29" s="2633"/>
      <c r="E29" s="2633"/>
      <c r="F29" s="2633"/>
      <c r="G29" s="2633"/>
      <c r="H29" s="2633"/>
      <c r="I29" s="2633"/>
      <c r="J29" s="2633"/>
      <c r="K29" s="263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33"/>
      <c r="C32" s="2633"/>
      <c r="D32" s="2633"/>
      <c r="E32" s="2633"/>
      <c r="F32" s="2633"/>
      <c r="G32" s="2633"/>
      <c r="H32" s="2633"/>
      <c r="I32" s="2633"/>
      <c r="J32" s="2633"/>
      <c r="K32" s="263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33"/>
      <c r="C35" s="2633"/>
      <c r="D35" s="2633"/>
      <c r="E35" s="2633"/>
      <c r="F35" s="2633"/>
      <c r="G35" s="2633"/>
      <c r="H35" s="2633"/>
      <c r="I35" s="2633"/>
      <c r="J35" s="2633"/>
      <c r="K35" s="263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33"/>
      <c r="C38" s="2633"/>
      <c r="D38" s="2633"/>
      <c r="E38" s="2633"/>
      <c r="F38" s="2633"/>
      <c r="G38" s="2633"/>
      <c r="H38" s="2633"/>
      <c r="I38" s="2633"/>
      <c r="J38" s="2633"/>
      <c r="K38" s="263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33"/>
      <c r="C41" s="2633"/>
      <c r="D41" s="2633"/>
      <c r="E41" s="2633"/>
      <c r="F41" s="2633"/>
      <c r="G41" s="2633"/>
      <c r="H41" s="2633"/>
      <c r="I41" s="2633"/>
      <c r="J41" s="2633"/>
      <c r="K41" s="263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8" t="str">
        <f>'Single Audit Cover'!A7</f>
        <v xml:space="preserve">  Wethersfield CUSD 230</v>
      </c>
      <c r="C1" s="2618"/>
      <c r="D1" s="2618"/>
      <c r="E1" s="1240"/>
    </row>
    <row r="2" spans="2:5" s="1058" customFormat="1" ht="12.75" customHeight="1" x14ac:dyDescent="0.2">
      <c r="B2" s="2620">
        <f>'Single Audit Cover'!E7</f>
        <v>28037230026</v>
      </c>
      <c r="C2" s="2620"/>
      <c r="D2" s="2620"/>
      <c r="E2" s="1241"/>
    </row>
    <row r="3" spans="2:5" ht="12.75" customHeight="1" x14ac:dyDescent="0.2">
      <c r="B3" s="2634" t="s">
        <v>1742</v>
      </c>
      <c r="C3" s="2634"/>
      <c r="D3" s="2634"/>
      <c r="E3" s="1050"/>
    </row>
    <row r="4" spans="2:5" s="1058" customFormat="1" ht="12.75" customHeight="1" x14ac:dyDescent="0.2">
      <c r="B4" s="2644" t="str">
        <f>'Single Audit Cover'!A4</f>
        <v>Year Ending June 30, 2020</v>
      </c>
      <c r="C4" s="2644"/>
      <c r="D4" s="2644"/>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t="s">
        <v>2077</v>
      </c>
      <c r="C7" s="302" t="s">
        <v>2078</v>
      </c>
      <c r="D7" s="302" t="s">
        <v>2079</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46" t="s">
        <v>2075</v>
      </c>
      <c r="C1" s="2646"/>
      <c r="D1" s="2646"/>
      <c r="E1" s="2646"/>
      <c r="F1" s="2037"/>
      <c r="G1" s="2037"/>
      <c r="H1" s="2037"/>
      <c r="I1" s="2037"/>
      <c r="J1" s="2037"/>
      <c r="K1" s="2037"/>
      <c r="L1" s="2037"/>
    </row>
    <row r="2" spans="2:12" ht="13.5" customHeight="1" x14ac:dyDescent="0.2">
      <c r="B2" s="2647" t="s">
        <v>2076</v>
      </c>
      <c r="C2" s="2647"/>
      <c r="D2" s="2647"/>
      <c r="E2" s="2647"/>
      <c r="F2" s="2039"/>
      <c r="G2" s="2039"/>
      <c r="H2" s="2039"/>
      <c r="I2" s="2039"/>
      <c r="J2" s="2039"/>
      <c r="K2" s="2039"/>
      <c r="L2" s="2039"/>
    </row>
    <row r="3" spans="2:12" ht="13.5" customHeight="1" x14ac:dyDescent="0.2">
      <c r="B3" s="2648" t="s">
        <v>2059</v>
      </c>
      <c r="C3" s="2648"/>
      <c r="D3" s="2648"/>
      <c r="E3" s="2648"/>
      <c r="F3" s="2040"/>
      <c r="G3" s="2040"/>
      <c r="H3" s="2040"/>
      <c r="I3" s="2040"/>
      <c r="J3" s="2040"/>
      <c r="K3" s="2040"/>
      <c r="L3" s="2040"/>
    </row>
    <row r="4" spans="2:12" ht="13.5" customHeight="1" x14ac:dyDescent="0.2">
      <c r="B4" s="2649" t="str">
        <f>'Single Audit Cover'!A4</f>
        <v>Year Ending June 30, 2020</v>
      </c>
      <c r="C4" s="2649"/>
      <c r="D4" s="2649"/>
      <c r="E4" s="2649"/>
      <c r="F4" s="2041"/>
      <c r="G4" s="2041"/>
      <c r="H4" s="2041"/>
      <c r="I4" s="2041"/>
      <c r="J4" s="2041"/>
      <c r="K4" s="2041"/>
      <c r="L4" s="2041"/>
    </row>
    <row r="5" spans="2:12" ht="29.85" customHeight="1" x14ac:dyDescent="0.2"/>
    <row r="6" spans="2:12" ht="13.5" customHeight="1" x14ac:dyDescent="0.2">
      <c r="B6" s="2042" t="s">
        <v>2060</v>
      </c>
      <c r="C6" s="2042"/>
      <c r="D6" s="2043"/>
      <c r="E6" s="2044"/>
      <c r="F6" s="2044"/>
      <c r="G6" s="2045"/>
      <c r="H6" s="2045"/>
      <c r="I6" s="2045"/>
    </row>
    <row r="7" spans="2:12" ht="13.5" customHeight="1" x14ac:dyDescent="0.2">
      <c r="B7" s="2038" t="s">
        <v>1158</v>
      </c>
    </row>
    <row r="8" spans="2:12" ht="13.5" customHeight="1" x14ac:dyDescent="0.2">
      <c r="B8" s="2046" t="s">
        <v>2061</v>
      </c>
      <c r="C8" s="2047" t="s">
        <v>2073</v>
      </c>
      <c r="D8" s="2048">
        <v>1</v>
      </c>
    </row>
    <row r="9" spans="2:12" ht="13.5" customHeight="1" x14ac:dyDescent="0.2">
      <c r="B9" s="2049"/>
      <c r="C9" s="2049"/>
      <c r="D9" s="2049"/>
    </row>
    <row r="10" spans="2:12" ht="13.5" customHeight="1" x14ac:dyDescent="0.2">
      <c r="B10" s="2046" t="s">
        <v>2062</v>
      </c>
      <c r="C10" s="2046"/>
    </row>
    <row r="11" spans="2:12" ht="66.75" customHeight="1" x14ac:dyDescent="0.2">
      <c r="B11" s="2645" t="s">
        <v>2063</v>
      </c>
      <c r="C11" s="2645"/>
      <c r="D11" s="2645"/>
      <c r="E11" s="2645"/>
    </row>
    <row r="12" spans="2:12" ht="13.5" customHeight="1" x14ac:dyDescent="0.2"/>
    <row r="13" spans="2:12" ht="13.5" customHeight="1" x14ac:dyDescent="0.2">
      <c r="B13" s="2046" t="s">
        <v>2064</v>
      </c>
      <c r="C13" s="2046"/>
    </row>
    <row r="14" spans="2:12" ht="76.5" customHeight="1" x14ac:dyDescent="0.2">
      <c r="B14" s="2645" t="s">
        <v>2065</v>
      </c>
      <c r="C14" s="2645"/>
      <c r="D14" s="2645"/>
      <c r="E14" s="2645"/>
    </row>
    <row r="15" spans="2:12" ht="13.5" customHeight="1" x14ac:dyDescent="0.2"/>
    <row r="16" spans="2:12" ht="13.5" customHeight="1" x14ac:dyDescent="0.2">
      <c r="B16" s="2046" t="s">
        <v>2066</v>
      </c>
      <c r="C16" s="2046"/>
      <c r="E16" s="2050" t="s">
        <v>2074</v>
      </c>
    </row>
    <row r="17" spans="2:5" ht="13.5" customHeight="1" x14ac:dyDescent="0.2"/>
    <row r="18" spans="2:5" ht="13.5" customHeight="1" x14ac:dyDescent="0.2">
      <c r="B18" s="2046" t="s">
        <v>2067</v>
      </c>
      <c r="C18" s="2046"/>
      <c r="E18" s="2051" t="s">
        <v>2068</v>
      </c>
    </row>
    <row r="19" spans="2:5" ht="13.5" customHeight="1" x14ac:dyDescent="0.2"/>
    <row r="20" spans="2:5" ht="13.5" customHeight="1" x14ac:dyDescent="0.2">
      <c r="B20" s="2046" t="s">
        <v>2069</v>
      </c>
      <c r="C20" s="2046"/>
      <c r="E20" s="2051" t="s">
        <v>2070</v>
      </c>
    </row>
    <row r="21" spans="2:5" ht="13.5" customHeight="1" x14ac:dyDescent="0.2">
      <c r="E21" s="2051" t="s">
        <v>2071</v>
      </c>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2072</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396F8-7F4F-48AF-95CF-784A55E453F4}">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46" t="s">
        <v>2075</v>
      </c>
      <c r="C1" s="2646"/>
      <c r="D1" s="2646"/>
      <c r="E1" s="2646"/>
      <c r="F1" s="2037"/>
      <c r="G1" s="2037"/>
      <c r="H1" s="2037"/>
      <c r="I1" s="2037"/>
      <c r="J1" s="2037"/>
      <c r="K1" s="2037"/>
      <c r="L1" s="2037"/>
    </row>
    <row r="2" spans="2:12" ht="13.5" customHeight="1" x14ac:dyDescent="0.2">
      <c r="B2" s="2647" t="s">
        <v>2076</v>
      </c>
      <c r="C2" s="2647"/>
      <c r="D2" s="2647"/>
      <c r="E2" s="2647"/>
      <c r="F2" s="2039"/>
      <c r="G2" s="2039"/>
      <c r="H2" s="2039"/>
      <c r="I2" s="2039"/>
      <c r="J2" s="2039"/>
      <c r="K2" s="2039"/>
      <c r="L2" s="2039"/>
    </row>
    <row r="3" spans="2:12" ht="13.5" customHeight="1" x14ac:dyDescent="0.2">
      <c r="B3" s="2648" t="s">
        <v>2059</v>
      </c>
      <c r="C3" s="2648"/>
      <c r="D3" s="2648"/>
      <c r="E3" s="2648"/>
      <c r="F3" s="2040"/>
      <c r="G3" s="2040"/>
      <c r="H3" s="2040"/>
      <c r="I3" s="2040"/>
      <c r="J3" s="2040"/>
      <c r="K3" s="2040"/>
      <c r="L3" s="2040"/>
    </row>
    <row r="4" spans="2:12" ht="13.5" customHeight="1" x14ac:dyDescent="0.2">
      <c r="B4" s="2649" t="s">
        <v>2087</v>
      </c>
      <c r="C4" s="2649"/>
      <c r="D4" s="2649"/>
      <c r="E4" s="2649"/>
      <c r="F4" s="2041"/>
      <c r="G4" s="2041"/>
      <c r="H4" s="2041"/>
      <c r="I4" s="2041"/>
      <c r="J4" s="2041"/>
      <c r="K4" s="2041"/>
      <c r="L4" s="2041"/>
    </row>
    <row r="5" spans="2:12" ht="29.85" customHeight="1" x14ac:dyDescent="0.2"/>
    <row r="6" spans="2:12" ht="13.5" customHeight="1" x14ac:dyDescent="0.2">
      <c r="B6" s="2042" t="s">
        <v>2060</v>
      </c>
      <c r="C6" s="2042"/>
      <c r="D6" s="2043"/>
      <c r="E6" s="2044"/>
      <c r="F6" s="2044"/>
      <c r="G6" s="2045"/>
      <c r="H6" s="2045"/>
      <c r="I6" s="2045"/>
    </row>
    <row r="7" spans="2:12" ht="13.5" customHeight="1" x14ac:dyDescent="0.2">
      <c r="B7" s="2038" t="s">
        <v>1158</v>
      </c>
    </row>
    <row r="8" spans="2:12" ht="13.5" customHeight="1" x14ac:dyDescent="0.2">
      <c r="B8" s="2046" t="s">
        <v>2061</v>
      </c>
      <c r="C8" s="2047">
        <v>2020</v>
      </c>
      <c r="D8" s="2048">
        <v>2</v>
      </c>
    </row>
    <row r="9" spans="2:12" ht="13.5" customHeight="1" x14ac:dyDescent="0.2">
      <c r="B9" s="2049"/>
      <c r="C9" s="2049"/>
      <c r="D9" s="2049"/>
    </row>
    <row r="10" spans="2:12" ht="13.5" customHeight="1" x14ac:dyDescent="0.2">
      <c r="B10" s="2046" t="s">
        <v>2062</v>
      </c>
      <c r="C10" s="2046"/>
    </row>
    <row r="11" spans="2:12" ht="66.75" customHeight="1" x14ac:dyDescent="0.2">
      <c r="B11" s="2645" t="s">
        <v>2088</v>
      </c>
      <c r="C11" s="2645"/>
      <c r="D11" s="2645"/>
      <c r="E11" s="2645"/>
    </row>
    <row r="12" spans="2:12" ht="13.5" customHeight="1" x14ac:dyDescent="0.2"/>
    <row r="13" spans="2:12" ht="13.5" customHeight="1" x14ac:dyDescent="0.2">
      <c r="B13" s="2046" t="s">
        <v>2064</v>
      </c>
      <c r="C13" s="2046"/>
    </row>
    <row r="14" spans="2:12" ht="76.5" customHeight="1" x14ac:dyDescent="0.2">
      <c r="B14" s="2645" t="s">
        <v>2089</v>
      </c>
      <c r="C14" s="2645"/>
      <c r="D14" s="2645"/>
      <c r="E14" s="2645"/>
    </row>
    <row r="15" spans="2:12" ht="13.5" customHeight="1" x14ac:dyDescent="0.2"/>
    <row r="16" spans="2:12" ht="13.5" customHeight="1" x14ac:dyDescent="0.2">
      <c r="B16" s="2046" t="s">
        <v>2066</v>
      </c>
      <c r="C16" s="2046"/>
      <c r="E16" s="2050" t="s">
        <v>2099</v>
      </c>
    </row>
    <row r="17" spans="2:5" ht="13.5" customHeight="1" x14ac:dyDescent="0.2"/>
    <row r="18" spans="2:5" ht="13.5" customHeight="1" x14ac:dyDescent="0.2">
      <c r="B18" s="2046" t="s">
        <v>2067</v>
      </c>
      <c r="C18" s="2046"/>
      <c r="E18" s="2051" t="s">
        <v>2068</v>
      </c>
    </row>
    <row r="19" spans="2:5" ht="13.5" customHeight="1" x14ac:dyDescent="0.2"/>
    <row r="20" spans="2:5" ht="13.5" customHeight="1" x14ac:dyDescent="0.2">
      <c r="B20" s="2046" t="s">
        <v>2069</v>
      </c>
      <c r="C20" s="2046"/>
      <c r="E20" s="2051" t="s">
        <v>2090</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2072</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382</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60341632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2.5853000000000001E-2</v>
      </c>
      <c r="E10" s="333" t="s">
        <v>997</v>
      </c>
      <c r="F10" s="332">
        <v>5.0000000000000001E-3</v>
      </c>
      <c r="G10" s="333" t="s">
        <v>997</v>
      </c>
      <c r="H10" s="332">
        <v>2E-3</v>
      </c>
      <c r="I10" s="333" t="s">
        <v>998</v>
      </c>
      <c r="J10" s="1424">
        <f>ROUND(D10+F10+H10,5)</f>
        <v>3.2849999999999997E-2</v>
      </c>
      <c r="K10" s="217"/>
      <c r="L10" s="332">
        <v>4.9799999999999996E-4</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5642086</v>
      </c>
      <c r="E16" s="1547"/>
      <c r="F16" s="1546">
        <f>SUM('Acct Summary 7-8'!C17,'Acct Summary 7-8'!D17,'Acct Summary 7-8'!F17)</f>
        <v>5497038</v>
      </c>
      <c r="G16" s="1547"/>
      <c r="H16" s="1546">
        <f>SUM(D16-F16)</f>
        <v>145048</v>
      </c>
      <c r="I16" s="1548"/>
      <c r="J16" s="1546">
        <f>SUM('Acct Summary 7-8'!C81,'Acct Summary 7-8'!D81,'Acct Summary 7-8'!F81,'Acct Summary 7-8'!I81)</f>
        <v>2523493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8327145.2160000009</v>
      </c>
      <c r="I31" s="345"/>
      <c r="J31" s="217"/>
      <c r="K31" s="217"/>
      <c r="L31" s="217"/>
      <c r="M31" s="217"/>
    </row>
    <row r="32" spans="1:13" ht="13.35" customHeight="1" x14ac:dyDescent="0.2">
      <c r="B32" s="346" t="s">
        <v>2091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1527749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551</v>
      </c>
      <c r="B2" s="2233"/>
      <c r="C2" s="2233"/>
      <c r="D2" s="2233"/>
      <c r="E2" s="2233"/>
      <c r="F2" s="2233"/>
      <c r="G2" s="2233"/>
      <c r="H2" s="2233"/>
      <c r="I2" s="2233"/>
      <c r="J2" s="2233"/>
      <c r="K2" s="2233"/>
      <c r="L2" s="2233"/>
      <c r="M2" s="2233"/>
      <c r="N2" s="2233"/>
      <c r="O2" s="2233"/>
      <c r="P2" s="2233"/>
      <c r="Q2" s="2233"/>
      <c r="R2" s="2233"/>
    </row>
    <row r="3" spans="1:18" ht="12.75" x14ac:dyDescent="0.2">
      <c r="A3" s="2234" t="s">
        <v>1395</v>
      </c>
      <c r="B3" s="2234"/>
      <c r="C3" s="2234"/>
      <c r="D3" s="2234"/>
      <c r="E3" s="2234"/>
      <c r="F3" s="2234"/>
      <c r="G3" s="2234"/>
      <c r="H3" s="2234"/>
      <c r="I3" s="2234"/>
      <c r="J3" s="2234"/>
      <c r="K3" s="2234"/>
      <c r="L3" s="2234"/>
      <c r="M3" s="2234"/>
      <c r="N3" s="2234"/>
      <c r="O3" s="2234"/>
      <c r="P3" s="2234"/>
      <c r="Q3" s="2234"/>
      <c r="R3" s="2234"/>
    </row>
    <row r="4" spans="1:18" x14ac:dyDescent="0.2">
      <c r="A4" s="2235" t="s">
        <v>1536</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Wethersfield CUSD 230</v>
      </c>
      <c r="E7" s="368"/>
      <c r="G7" s="247"/>
      <c r="H7" s="364"/>
      <c r="I7" s="364"/>
      <c r="J7" s="364"/>
      <c r="K7" s="364"/>
      <c r="L7" s="307"/>
      <c r="M7" s="307"/>
      <c r="N7" s="307"/>
      <c r="O7" s="307"/>
      <c r="P7" s="307"/>
    </row>
    <row r="8" spans="1:18" ht="12.75" x14ac:dyDescent="0.2">
      <c r="A8" s="307"/>
      <c r="B8" s="307"/>
      <c r="C8" s="366" t="s">
        <v>1114</v>
      </c>
      <c r="D8" s="369">
        <f>COVER!A13</f>
        <v>28037230026</v>
      </c>
      <c r="E8" s="370"/>
      <c r="G8" s="307"/>
      <c r="H8" s="307"/>
      <c r="I8" s="307"/>
      <c r="J8" s="307"/>
      <c r="K8" s="307"/>
      <c r="L8" s="307"/>
      <c r="M8" s="307"/>
      <c r="N8" s="307"/>
      <c r="O8" s="307"/>
      <c r="P8" s="307"/>
    </row>
    <row r="9" spans="1:18" ht="12.75" x14ac:dyDescent="0.2">
      <c r="A9" s="307"/>
      <c r="B9" s="307"/>
      <c r="C9" s="366" t="s">
        <v>707</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2523493</v>
      </c>
      <c r="I12" s="380"/>
      <c r="J12" s="380"/>
      <c r="K12" s="1559">
        <f>TRUNC((H12/H13*100000),5)/100000</f>
        <v>0.4511874119</v>
      </c>
      <c r="L12" s="381"/>
      <c r="M12" s="337" t="s">
        <v>1133</v>
      </c>
      <c r="N12" s="337"/>
      <c r="O12" s="1562">
        <v>0.35</v>
      </c>
      <c r="P12" s="213"/>
      <c r="Q12" s="213"/>
    </row>
    <row r="13" spans="1:18" s="382" customFormat="1" ht="12.75" x14ac:dyDescent="0.2">
      <c r="A13" s="213"/>
      <c r="B13" s="377"/>
      <c r="C13" s="2231" t="s">
        <v>1312</v>
      </c>
      <c r="D13" s="2232"/>
      <c r="E13" s="213"/>
      <c r="F13" s="383" t="s">
        <v>787</v>
      </c>
      <c r="G13" s="378"/>
      <c r="H13" s="1551">
        <f>SUM('Acct Summary 7-8'!C8+'Acct Summary 7-8'!D8+'Acct Summary 7-8'!F8+'Acct Summary 7-8'!I8)+H14</f>
        <v>5593004</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-49082</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5497038</v>
      </c>
      <c r="I17" s="380"/>
      <c r="J17" s="389"/>
      <c r="K17" s="1559">
        <f>TRUNC((H17/H18*100000),5)/100000</f>
        <v>0.9828417787</v>
      </c>
      <c r="L17" s="381"/>
      <c r="M17" s="390" t="s">
        <v>1160</v>
      </c>
      <c r="O17" s="1565" t="str">
        <f>IF(AND(O16="2", J20 &gt; 2),"1",IF(AND(O16 = "1", J20 &gt; 2),"2",IF(AND(O16="1", J20 &gt;1),"1","0")))</f>
        <v>0</v>
      </c>
      <c r="P17" s="213"/>
    </row>
    <row r="18" spans="1:18" s="382" customFormat="1" ht="11.25" x14ac:dyDescent="0.2">
      <c r="A18" s="213"/>
      <c r="B18" s="377"/>
      <c r="C18" s="2231" t="s">
        <v>1305</v>
      </c>
      <c r="D18" s="2232"/>
      <c r="E18" s="213"/>
      <c r="F18" s="391" t="s">
        <v>788</v>
      </c>
      <c r="G18" s="378"/>
      <c r="H18" s="1551">
        <f>SUM('Acct Summary 7-8'!C8+'Acct Summary 7-8'!D8+'Acct Summary 7-8'!F8+'Acct Summary 7-8'!I8)+H19</f>
        <v>5593004</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-49082</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28" t="s">
        <v>1394</v>
      </c>
      <c r="D24" s="2228"/>
      <c r="E24" s="213"/>
      <c r="F24" s="213" t="s">
        <v>441</v>
      </c>
      <c r="G24" s="378"/>
      <c r="H24" s="1551">
        <f>SUM('Assets-Liab 5-6'!C4+'Assets-Liab 5-6'!D4+'Assets-Liab 5-6'!F4+'Assets-Liab 5-6'!I4+'Assets-Liab 5-6'!C5+'Assets-Liab 5-6'!D5+'Assets-Liab 5-6'!F5+'Assets-Liab 5-6'!I5)</f>
        <v>2475628</v>
      </c>
      <c r="I24" s="394"/>
      <c r="J24" s="394"/>
      <c r="K24" s="1555">
        <f>TRUNC(((H24/H25*100000)/100000),2)</f>
        <v>162.12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15269.55</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1684889.21952</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1527749</v>
      </c>
      <c r="I32" s="392"/>
      <c r="J32" s="392"/>
      <c r="K32" s="1555">
        <f>TRUNC(100-((((H32/H33*100))*100)/100),2)</f>
        <v>81.650000000000006</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8327145.2160000009</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N12" sqref="N1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8" t="s">
        <v>966</v>
      </c>
      <c r="B3" s="2239"/>
      <c r="C3" s="1306"/>
      <c r="D3" s="1307"/>
      <c r="E3" s="1307"/>
      <c r="F3" s="1307"/>
      <c r="G3" s="1307"/>
      <c r="H3" s="1307"/>
      <c r="I3" s="1307"/>
      <c r="J3" s="1307"/>
      <c r="K3" s="1307"/>
      <c r="L3" s="1307"/>
      <c r="M3" s="1308"/>
      <c r="N3" s="1309"/>
    </row>
    <row r="4" spans="1:14" ht="13.5" customHeight="1" x14ac:dyDescent="0.2">
      <c r="A4" s="427" t="s">
        <v>1631</v>
      </c>
      <c r="B4" s="428"/>
      <c r="C4" s="1572">
        <v>1111478</v>
      </c>
      <c r="D4" s="1573">
        <v>226096</v>
      </c>
      <c r="E4" s="1573">
        <v>334410</v>
      </c>
      <c r="F4" s="1573">
        <v>202021</v>
      </c>
      <c r="G4" s="1573">
        <v>208414</v>
      </c>
      <c r="H4" s="1573">
        <v>92766</v>
      </c>
      <c r="I4" s="1573">
        <v>204164</v>
      </c>
      <c r="J4" s="1574">
        <v>19780</v>
      </c>
      <c r="K4" s="1573">
        <v>38007</v>
      </c>
      <c r="L4" s="1573">
        <v>525805</v>
      </c>
      <c r="M4" s="1575"/>
      <c r="N4" s="1576"/>
    </row>
    <row r="5" spans="1:14" x14ac:dyDescent="0.2">
      <c r="A5" s="427" t="s">
        <v>984</v>
      </c>
      <c r="B5" s="429">
        <v>120</v>
      </c>
      <c r="C5" s="1572">
        <v>709598</v>
      </c>
      <c r="D5" s="1573">
        <v>16275</v>
      </c>
      <c r="E5" s="1573">
        <v>273178</v>
      </c>
      <c r="F5" s="1573">
        <v>5996</v>
      </c>
      <c r="G5" s="1573">
        <v>0</v>
      </c>
      <c r="H5" s="1573">
        <v>0</v>
      </c>
      <c r="I5" s="1573">
        <v>0</v>
      </c>
      <c r="J5" s="1574">
        <v>0</v>
      </c>
      <c r="K5" s="1577">
        <v>0</v>
      </c>
      <c r="L5" s="1578">
        <v>420312</v>
      </c>
      <c r="M5" s="1575"/>
      <c r="N5" s="1576"/>
    </row>
    <row r="6" spans="1:14" ht="13.5" customHeight="1" x14ac:dyDescent="0.2">
      <c r="A6" s="430" t="s">
        <v>413</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414</v>
      </c>
      <c r="B7" s="429">
        <v>140</v>
      </c>
      <c r="C7" s="1581">
        <v>0</v>
      </c>
      <c r="D7" s="1574">
        <v>0</v>
      </c>
      <c r="E7" s="1574"/>
      <c r="F7" s="1574">
        <v>0</v>
      </c>
      <c r="G7" s="1574"/>
      <c r="H7" s="1574"/>
      <c r="I7" s="1574">
        <v>0</v>
      </c>
      <c r="J7" s="1574"/>
      <c r="K7" s="1574"/>
      <c r="L7" s="1582"/>
      <c r="M7" s="1575"/>
      <c r="N7" s="1576"/>
    </row>
    <row r="8" spans="1:14" ht="13.5" customHeight="1" x14ac:dyDescent="0.2">
      <c r="A8" s="430" t="s">
        <v>266</v>
      </c>
      <c r="B8" s="429">
        <v>150</v>
      </c>
      <c r="C8" s="1581">
        <v>0</v>
      </c>
      <c r="D8" s="1574">
        <v>0</v>
      </c>
      <c r="E8" s="1574"/>
      <c r="F8" s="1574">
        <v>0</v>
      </c>
      <c r="G8" s="1583">
        <v>0</v>
      </c>
      <c r="H8" s="1574">
        <v>0</v>
      </c>
      <c r="I8" s="1579"/>
      <c r="J8" s="1579"/>
      <c r="K8" s="1584"/>
      <c r="L8" s="1585"/>
      <c r="M8" s="1575"/>
      <c r="N8" s="1576"/>
    </row>
    <row r="9" spans="1:14" ht="13.5" customHeight="1" x14ac:dyDescent="0.2">
      <c r="A9" s="430" t="s">
        <v>267</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983</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268</v>
      </c>
      <c r="B11" s="429">
        <v>180</v>
      </c>
      <c r="C11" s="1581">
        <v>47865</v>
      </c>
      <c r="D11" s="1574">
        <v>0</v>
      </c>
      <c r="E11" s="1574"/>
      <c r="F11" s="1574">
        <v>0</v>
      </c>
      <c r="G11" s="1574">
        <v>0</v>
      </c>
      <c r="H11" s="1574">
        <v>0</v>
      </c>
      <c r="I11" s="1583">
        <v>0</v>
      </c>
      <c r="J11" s="1583"/>
      <c r="K11" s="1574">
        <v>0</v>
      </c>
      <c r="L11" s="1574">
        <v>0</v>
      </c>
      <c r="M11" s="1576"/>
      <c r="N11" s="1576"/>
    </row>
    <row r="12" spans="1:14" ht="13.5" customHeight="1" x14ac:dyDescent="0.2">
      <c r="A12" s="430" t="s">
        <v>415</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638</v>
      </c>
      <c r="B13" s="1407"/>
      <c r="C13" s="1587">
        <f>SUM(C4:C12)</f>
        <v>1868941</v>
      </c>
      <c r="D13" s="1587">
        <f t="shared" ref="D13:L13" si="0">SUM(D4:D12)</f>
        <v>242371</v>
      </c>
      <c r="E13" s="1587">
        <f t="shared" si="0"/>
        <v>607588</v>
      </c>
      <c r="F13" s="1587">
        <f t="shared" si="0"/>
        <v>208017</v>
      </c>
      <c r="G13" s="1587">
        <f t="shared" si="0"/>
        <v>208414</v>
      </c>
      <c r="H13" s="1587">
        <f t="shared" si="0"/>
        <v>92766</v>
      </c>
      <c r="I13" s="1587">
        <f t="shared" si="0"/>
        <v>204164</v>
      </c>
      <c r="J13" s="1587">
        <f t="shared" si="0"/>
        <v>19780</v>
      </c>
      <c r="K13" s="1587">
        <f t="shared" si="0"/>
        <v>38007</v>
      </c>
      <c r="L13" s="1587">
        <f t="shared" si="0"/>
        <v>946117</v>
      </c>
      <c r="M13" s="1575"/>
      <c r="N13" s="1576"/>
    </row>
    <row r="14" spans="1:14" ht="18" customHeight="1" thickTop="1" x14ac:dyDescent="0.2">
      <c r="A14" s="2240" t="s">
        <v>146</v>
      </c>
      <c r="B14" s="2241"/>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39570</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6304695</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1092019</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1600306</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607588</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920161</v>
      </c>
    </row>
    <row r="23" spans="1:14" ht="13.5" customHeight="1" thickBot="1" x14ac:dyDescent="0.25">
      <c r="A23" s="1426" t="s">
        <v>637</v>
      </c>
      <c r="B23" s="1429"/>
      <c r="C23" s="1575"/>
      <c r="D23" s="1575"/>
      <c r="E23" s="1575"/>
      <c r="F23" s="1575"/>
      <c r="G23" s="1575"/>
      <c r="H23" s="1575"/>
      <c r="I23" s="1575"/>
      <c r="J23" s="1575"/>
      <c r="K23" s="1575"/>
      <c r="L23" s="1575"/>
      <c r="M23" s="1594">
        <f>SUM(M15:M22)</f>
        <v>9036590</v>
      </c>
      <c r="N23" s="1594">
        <f>SUM(N21:N22)</f>
        <v>1527749</v>
      </c>
    </row>
    <row r="24" spans="1:14" ht="18" customHeight="1" thickTop="1" x14ac:dyDescent="0.2">
      <c r="A24" s="2242" t="s">
        <v>593</v>
      </c>
      <c r="B24" s="2243"/>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643</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644</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645</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646</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299</v>
      </c>
      <c r="B33" s="435">
        <v>493</v>
      </c>
      <c r="C33" s="1574">
        <v>0</v>
      </c>
      <c r="D33" s="1574"/>
      <c r="E33" s="1574"/>
      <c r="F33" s="1574"/>
      <c r="G33" s="1574"/>
      <c r="H33" s="1574"/>
      <c r="I33" s="1574"/>
      <c r="J33" s="1574"/>
      <c r="K33" s="1574"/>
      <c r="L33" s="1574">
        <v>188517</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188517</v>
      </c>
      <c r="M34" s="1575"/>
      <c r="N34" s="1585"/>
    </row>
    <row r="35" spans="1:14" ht="18" customHeight="1" thickTop="1" x14ac:dyDescent="0.2">
      <c r="A35" s="2244" t="s">
        <v>525</v>
      </c>
      <c r="B35" s="224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1527749</v>
      </c>
    </row>
    <row r="37" spans="1:14" ht="13.5" thickBot="1" x14ac:dyDescent="0.25">
      <c r="A37" s="1426" t="s">
        <v>647</v>
      </c>
      <c r="B37" s="1429"/>
      <c r="C37" s="1582"/>
      <c r="D37" s="1582"/>
      <c r="E37" s="1582"/>
      <c r="F37" s="1582"/>
      <c r="G37" s="1582"/>
      <c r="H37" s="1582"/>
      <c r="I37" s="1582"/>
      <c r="J37" s="1582"/>
      <c r="K37" s="1582"/>
      <c r="L37" s="1585"/>
      <c r="M37" s="1575"/>
      <c r="N37" s="1594">
        <f>SUM(N36:N36)</f>
        <v>1527749</v>
      </c>
    </row>
    <row r="38" spans="1:14" s="307" customFormat="1" ht="13.5" customHeight="1" thickTop="1" x14ac:dyDescent="0.2">
      <c r="A38" s="438" t="s">
        <v>416</v>
      </c>
      <c r="B38" s="432">
        <v>714</v>
      </c>
      <c r="C38" s="1573">
        <v>0</v>
      </c>
      <c r="D38" s="1573">
        <v>0</v>
      </c>
      <c r="E38" s="1573">
        <v>119679</v>
      </c>
      <c r="F38" s="1573">
        <v>0</v>
      </c>
      <c r="G38" s="1573">
        <v>91217</v>
      </c>
      <c r="H38" s="1573">
        <v>50000</v>
      </c>
      <c r="I38" s="1573">
        <v>0</v>
      </c>
      <c r="J38" s="1574">
        <v>0</v>
      </c>
      <c r="K38" s="1573">
        <v>0</v>
      </c>
      <c r="L38" s="1586">
        <v>757600</v>
      </c>
      <c r="M38" s="1604"/>
      <c r="N38" s="1604"/>
    </row>
    <row r="39" spans="1:14" s="307" customFormat="1" ht="13.5" customHeight="1" x14ac:dyDescent="0.2">
      <c r="A39" s="438" t="s">
        <v>338</v>
      </c>
      <c r="B39" s="432">
        <v>730</v>
      </c>
      <c r="C39" s="1573">
        <v>1868941</v>
      </c>
      <c r="D39" s="1573">
        <v>242371</v>
      </c>
      <c r="E39" s="1573">
        <v>487909</v>
      </c>
      <c r="F39" s="1573">
        <v>208017</v>
      </c>
      <c r="G39" s="1573">
        <v>117197</v>
      </c>
      <c r="H39" s="1573">
        <v>42766</v>
      </c>
      <c r="I39" s="1573">
        <v>204164</v>
      </c>
      <c r="J39" s="1574">
        <v>19780</v>
      </c>
      <c r="K39" s="1573">
        <v>38007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9036590</v>
      </c>
      <c r="N40" s="1604"/>
    </row>
    <row r="41" spans="1:14" ht="13.5" customHeight="1" thickBot="1" x14ac:dyDescent="0.25">
      <c r="A41" s="1426" t="s">
        <v>649</v>
      </c>
      <c r="B41" s="1405"/>
      <c r="C41" s="1594">
        <f>(SUM(C34,C37,C38,C39))</f>
        <v>1868941</v>
      </c>
      <c r="D41" s="1594">
        <f t="shared" ref="D41:L41" si="2">SUM(D34,D37,D38:D39)</f>
        <v>242371</v>
      </c>
      <c r="E41" s="1594">
        <f t="shared" si="2"/>
        <v>607588</v>
      </c>
      <c r="F41" s="1594">
        <f t="shared" si="2"/>
        <v>208017</v>
      </c>
      <c r="G41" s="1594">
        <f t="shared" si="2"/>
        <v>208414</v>
      </c>
      <c r="H41" s="1594">
        <f t="shared" si="2"/>
        <v>92766</v>
      </c>
      <c r="I41" s="1594">
        <f t="shared" si="2"/>
        <v>204164</v>
      </c>
      <c r="J41" s="1594">
        <f t="shared" si="2"/>
        <v>19780</v>
      </c>
      <c r="K41" s="1594">
        <f t="shared" si="2"/>
        <v>38007</v>
      </c>
      <c r="L41" s="1594">
        <f t="shared" si="2"/>
        <v>946117</v>
      </c>
      <c r="M41" s="1594">
        <f>SUM(M40)</f>
        <v>9036590</v>
      </c>
      <c r="N41" s="1594">
        <f>SUM(N37)</f>
        <v>1527749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12" sqref="N1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6" t="s">
        <v>1164</v>
      </c>
      <c r="B3" s="2267"/>
      <c r="C3" s="1311"/>
      <c r="D3" s="1312"/>
      <c r="E3" s="1312"/>
      <c r="F3" s="1312"/>
      <c r="G3" s="1312"/>
      <c r="H3" s="1312"/>
      <c r="I3" s="1312"/>
      <c r="J3" s="1312"/>
      <c r="K3" s="1313"/>
      <c r="L3" s="446"/>
    </row>
    <row r="4" spans="1:13" ht="15.75" customHeight="1" x14ac:dyDescent="0.2">
      <c r="A4" s="1537" t="s">
        <v>1481</v>
      </c>
      <c r="B4" s="1538">
        <v>1000</v>
      </c>
      <c r="C4" s="1606">
        <f>'Revenues 9-14'!C109</f>
        <v>1965418</v>
      </c>
      <c r="D4" s="1606">
        <f>'Revenues 9-14'!D109</f>
        <v>308307</v>
      </c>
      <c r="E4" s="1606">
        <f>'Revenues 9-14'!E109</f>
        <v>358254</v>
      </c>
      <c r="F4" s="1606">
        <f>'Revenues 9-14'!F109</f>
        <v>130393</v>
      </c>
      <c r="G4" s="1606">
        <f>'Revenues 9-14'!G109</f>
        <v>190363</v>
      </c>
      <c r="H4" s="1606">
        <f>'Revenues 9-14'!H109</f>
        <v>66511</v>
      </c>
      <c r="I4" s="1606">
        <f>'Revenues 9-14'!I109</f>
        <v>30600</v>
      </c>
      <c r="J4" s="1606">
        <f>'Revenues 9-14'!J109</f>
        <v>263377</v>
      </c>
      <c r="K4" s="1606">
        <f>'Revenues 9-14'!K109</f>
        <v>43</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2267251</v>
      </c>
      <c r="D6" s="1607">
        <f>'Revenues 9-14'!D170</f>
        <v>137072</v>
      </c>
      <c r="E6" s="1607">
        <f>'Revenues 9-14'!E170</f>
        <v>0</v>
      </c>
      <c r="F6" s="1607">
        <f>'Revenues 9-14'!F170</f>
        <v>118512</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1484</v>
      </c>
      <c r="B7" s="1316">
        <v>4000</v>
      </c>
      <c r="C7" s="1607">
        <f>'Revenues 9-14'!C267</f>
        <v>684533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4917202</v>
      </c>
      <c r="D8" s="1594">
        <f t="shared" ref="D8:K8" si="0">SUM(D4:D7)</f>
        <v>445379</v>
      </c>
      <c r="E8" s="1594">
        <f t="shared" si="0"/>
        <v>358254</v>
      </c>
      <c r="F8" s="1594">
        <f t="shared" si="0"/>
        <v>248905</v>
      </c>
      <c r="G8" s="1594">
        <f t="shared" si="0"/>
        <v>190363</v>
      </c>
      <c r="H8" s="1594">
        <f t="shared" si="0"/>
        <v>116511</v>
      </c>
      <c r="I8" s="1594">
        <f t="shared" si="0"/>
        <v>30600</v>
      </c>
      <c r="J8" s="1594">
        <f t="shared" si="0"/>
        <v>263377</v>
      </c>
      <c r="K8" s="1594">
        <f t="shared" si="0"/>
        <v>43</v>
      </c>
      <c r="L8" s="325"/>
    </row>
    <row r="9" spans="1:13" ht="15.75" thickTop="1" x14ac:dyDescent="0.2">
      <c r="A9" s="449" t="s">
        <v>1633</v>
      </c>
      <c r="B9" s="450">
        <v>3998</v>
      </c>
      <c r="C9" s="1586">
        <v>2255277</v>
      </c>
      <c r="D9" s="1613"/>
      <c r="E9" s="1586"/>
      <c r="F9" s="1586"/>
      <c r="G9" s="1614"/>
      <c r="H9" s="1586"/>
      <c r="I9" s="1609" t="s">
        <v>1158</v>
      </c>
      <c r="J9" s="1583"/>
      <c r="K9" s="1586"/>
      <c r="L9" s="325"/>
    </row>
    <row r="10" spans="1:13" s="452" customFormat="1" ht="13.5" thickBot="1" x14ac:dyDescent="0.25">
      <c r="A10" s="1426" t="s">
        <v>1162</v>
      </c>
      <c r="B10" s="1407"/>
      <c r="C10" s="1594">
        <f>SUM(C8:C9)</f>
        <v>7172479</v>
      </c>
      <c r="D10" s="1594">
        <f t="shared" ref="D10:K10" si="1">SUM(D8:D9)</f>
        <v>445379</v>
      </c>
      <c r="E10" s="1594">
        <f t="shared" si="1"/>
        <v>358254</v>
      </c>
      <c r="F10" s="1594">
        <f t="shared" si="1"/>
        <v>248905</v>
      </c>
      <c r="G10" s="1594">
        <f t="shared" si="1"/>
        <v>190363</v>
      </c>
      <c r="H10" s="1594">
        <f t="shared" si="1"/>
        <v>116511</v>
      </c>
      <c r="I10" s="1594">
        <f t="shared" si="1"/>
        <v>30600</v>
      </c>
      <c r="J10" s="1594">
        <f t="shared" si="1"/>
        <v>263377</v>
      </c>
      <c r="K10" s="1594">
        <f t="shared" si="1"/>
        <v>43</v>
      </c>
      <c r="L10" s="451"/>
    </row>
    <row r="11" spans="1:13" s="452" customFormat="1" ht="16.7" customHeight="1" thickTop="1" x14ac:dyDescent="0.2">
      <c r="A11" s="2240" t="s">
        <v>1165</v>
      </c>
      <c r="B11" s="2241"/>
      <c r="C11" s="1602"/>
      <c r="D11" s="1603"/>
      <c r="E11" s="1603"/>
      <c r="F11" s="1603"/>
      <c r="G11" s="1603"/>
      <c r="H11" s="1603"/>
      <c r="I11" s="1603"/>
      <c r="J11" s="1603"/>
      <c r="K11" s="1615"/>
      <c r="L11" s="451"/>
    </row>
    <row r="12" spans="1:13" ht="15.75" customHeight="1" x14ac:dyDescent="0.2">
      <c r="A12" s="1314" t="s">
        <v>452</v>
      </c>
      <c r="B12" s="1316">
        <v>1000</v>
      </c>
      <c r="C12" s="1606">
        <f>'Expenditures 15-22'!K33</f>
        <v>3114295</v>
      </c>
      <c r="D12" s="1616" t="s">
        <v>1158</v>
      </c>
      <c r="E12" s="1575" t="s">
        <v>1158</v>
      </c>
      <c r="F12" s="1575" t="s">
        <v>1158</v>
      </c>
      <c r="G12" s="1606">
        <f>'Expenditures 15-22'!K229</f>
        <v>61113</v>
      </c>
      <c r="H12" s="1617"/>
      <c r="I12" s="1575" t="s">
        <v>1158</v>
      </c>
      <c r="J12" s="1575" t="s">
        <v>1158</v>
      </c>
      <c r="K12" s="1617" t="s">
        <v>1158</v>
      </c>
      <c r="L12" s="325"/>
    </row>
    <row r="13" spans="1:13" ht="15.75" customHeight="1" x14ac:dyDescent="0.2">
      <c r="A13" s="1314" t="s">
        <v>453</v>
      </c>
      <c r="B13" s="1316">
        <v>2000</v>
      </c>
      <c r="C13" s="1607">
        <f>'Expenditures 15-22'!K74</f>
        <v>1165169</v>
      </c>
      <c r="D13" s="1607">
        <f>'Expenditures 15-22'!K129</f>
        <v>435203</v>
      </c>
      <c r="E13" s="1576" t="s">
        <v>1158</v>
      </c>
      <c r="F13" s="1607">
        <f>'Expenditures 15-22'!K184</f>
        <v>232576</v>
      </c>
      <c r="G13" s="1607">
        <f>'Expenditures 15-22'!K279</f>
        <v>99496</v>
      </c>
      <c r="H13" s="1607">
        <f>'Expenditures 15-22'!K303</f>
        <v>92320</v>
      </c>
      <c r="I13" s="1575" t="s">
        <v>1158</v>
      </c>
      <c r="J13" s="1607">
        <f>'Expenditures 15-22'!K330</f>
        <v>259303</v>
      </c>
      <c r="K13" s="1618">
        <f>'Expenditures 15-22'!K352</f>
        <v>175</v>
      </c>
      <c r="L13" s="325"/>
    </row>
    <row r="14" spans="1:13" ht="15.75" customHeight="1" x14ac:dyDescent="0.2">
      <c r="A14" s="1314" t="s">
        <v>445</v>
      </c>
      <c r="B14" s="1316">
        <v>3000</v>
      </c>
      <c r="C14" s="1607">
        <f>'Expenditures 15-22'!K75</f>
        <v>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512315</v>
      </c>
      <c r="D15" s="1607">
        <f>'Expenditures 15-22'!K139</f>
        <v>0</v>
      </c>
      <c r="E15" s="1607">
        <f>'Expenditures 15-22'!K160</f>
        <v>0</v>
      </c>
      <c r="F15" s="1607">
        <f>'Expenditures 15-22'!K196</f>
        <v>0</v>
      </c>
      <c r="G15" s="1607">
        <f>'Expenditures 15-22'!K285</f>
        <v>12362</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361263</v>
      </c>
      <c r="F16" s="1607">
        <f>'Expenditures 15-22'!K208</f>
        <v>37480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4791779</v>
      </c>
      <c r="D17" s="1594">
        <f t="shared" si="2"/>
        <v>435203</v>
      </c>
      <c r="E17" s="1594">
        <f t="shared" si="2"/>
        <v>361263</v>
      </c>
      <c r="F17" s="1594">
        <f t="shared" si="2"/>
        <v>270056</v>
      </c>
      <c r="G17" s="1594">
        <f t="shared" si="2"/>
        <v>172971</v>
      </c>
      <c r="H17" s="1594">
        <f t="shared" si="2"/>
        <v>92320</v>
      </c>
      <c r="I17" s="1575"/>
      <c r="J17" s="1594">
        <f>SUM(J12:J16)</f>
        <v>259303</v>
      </c>
      <c r="K17" s="1594">
        <f>SUM(K12:K16)</f>
        <v>175</v>
      </c>
      <c r="L17" s="325"/>
    </row>
    <row r="18" spans="1:12" ht="15" customHeight="1" thickTop="1" x14ac:dyDescent="0.2">
      <c r="A18" s="1430" t="s">
        <v>1634</v>
      </c>
      <c r="B18" s="1431">
        <v>4180</v>
      </c>
      <c r="C18" s="1606">
        <f t="shared" ref="C18:H18" si="3">C9</f>
        <v>2255277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7047056</v>
      </c>
      <c r="D19" s="1594">
        <f t="shared" si="4"/>
        <v>435203</v>
      </c>
      <c r="E19" s="1594">
        <f t="shared" si="4"/>
        <v>361263</v>
      </c>
      <c r="F19" s="1594">
        <f t="shared" si="4"/>
        <v>270056</v>
      </c>
      <c r="G19" s="1594">
        <f t="shared" si="4"/>
        <v>172971</v>
      </c>
      <c r="H19" s="1594">
        <f t="shared" si="4"/>
        <v>92320</v>
      </c>
      <c r="I19" s="1575"/>
      <c r="J19" s="1594">
        <f>SUM(J17:J18)</f>
        <v>259303</v>
      </c>
      <c r="K19" s="1594">
        <f>SUM(K17:K18)</f>
        <v>175</v>
      </c>
      <c r="L19" s="325"/>
    </row>
    <row r="20" spans="1:12" ht="16.5" thickTop="1" thickBot="1" x14ac:dyDescent="0.25">
      <c r="A20" s="2256" t="s">
        <v>1635</v>
      </c>
      <c r="B20" s="2257"/>
      <c r="C20" s="1622">
        <f>C8-C17</f>
        <v>125423</v>
      </c>
      <c r="D20" s="1622">
        <f t="shared" ref="D20:K20" si="5">D8-D17</f>
        <v>10176</v>
      </c>
      <c r="E20" s="1622">
        <f t="shared" si="5"/>
        <v>-3009</v>
      </c>
      <c r="F20" s="1622">
        <f t="shared" si="5"/>
        <v>-21151</v>
      </c>
      <c r="G20" s="1622">
        <f t="shared" si="5"/>
        <v>17392</v>
      </c>
      <c r="H20" s="1622">
        <f t="shared" si="5"/>
        <v>24191</v>
      </c>
      <c r="I20" s="1622">
        <f t="shared" si="5"/>
        <v>30600</v>
      </c>
      <c r="J20" s="1622">
        <f t="shared" si="5"/>
        <v>4074</v>
      </c>
      <c r="K20" s="1622">
        <f t="shared" si="5"/>
        <v>-132</v>
      </c>
      <c r="L20" s="325"/>
    </row>
    <row r="21" spans="1:12" ht="16.7" customHeight="1" thickTop="1" x14ac:dyDescent="0.2">
      <c r="A21" s="2268" t="s">
        <v>590</v>
      </c>
      <c r="B21" s="2269"/>
      <c r="C21" s="1602"/>
      <c r="D21" s="1603"/>
      <c r="E21" s="1603"/>
      <c r="F21" s="1603"/>
      <c r="G21" s="1603"/>
      <c r="H21" s="1603"/>
      <c r="I21" s="1603"/>
      <c r="J21" s="1603"/>
      <c r="K21" s="1615"/>
      <c r="L21" s="453"/>
    </row>
    <row r="22" spans="1:12" ht="15.75" customHeight="1" collapsed="1" x14ac:dyDescent="0.2">
      <c r="A22" s="2264" t="s">
        <v>591</v>
      </c>
      <c r="B22" s="2265"/>
      <c r="C22" s="1582"/>
      <c r="D22" s="1582"/>
      <c r="E22" s="1582"/>
      <c r="F22" s="1582"/>
      <c r="G22" s="1582"/>
      <c r="H22" s="1582"/>
      <c r="I22" s="1582"/>
      <c r="J22" s="1582"/>
      <c r="K22" s="1582"/>
      <c r="L22" s="325"/>
    </row>
    <row r="23" spans="1:12" s="433" customFormat="1" ht="15.75" customHeight="1" x14ac:dyDescent="0.2">
      <c r="A23" s="2260" t="s">
        <v>289</v>
      </c>
      <c r="B23" s="2261"/>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30000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62" t="s">
        <v>973</v>
      </c>
      <c r="B32" s="2263"/>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7">
        <f>SUM(C54:D57,H54:H57)</f>
        <v>47182</v>
      </c>
      <c r="F37" s="1580"/>
      <c r="G37" s="1580"/>
      <c r="H37" s="1580"/>
      <c r="I37" s="1582"/>
      <c r="J37" s="1580"/>
      <c r="K37" s="1580"/>
      <c r="L37" s="453"/>
    </row>
    <row r="38" spans="1:12" s="433" customFormat="1" x14ac:dyDescent="0.2">
      <c r="A38" s="1260" t="s">
        <v>438</v>
      </c>
      <c r="B38" s="454">
        <v>7500</v>
      </c>
      <c r="C38" s="1582"/>
      <c r="D38" s="1582"/>
      <c r="E38" s="1607">
        <f>SUM(C58:D61,H58:H61)</f>
        <v>1900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81453</v>
      </c>
      <c r="D43" s="1574">
        <v>0</v>
      </c>
      <c r="E43" s="1574">
        <v>0</v>
      </c>
      <c r="F43" s="1574">
        <v>0</v>
      </c>
      <c r="G43" s="1574">
        <v>0</v>
      </c>
      <c r="H43" s="1574">
        <v>0</v>
      </c>
      <c r="I43" s="1574">
        <v>0</v>
      </c>
      <c r="J43" s="1574">
        <v>0</v>
      </c>
      <c r="K43" s="1574">
        <v>0</v>
      </c>
      <c r="L43" s="453"/>
    </row>
    <row r="44" spans="1:12" s="433" customFormat="1" ht="13.5" customHeight="1" thickBot="1" x14ac:dyDescent="0.25">
      <c r="A44" s="2270" t="s">
        <v>370</v>
      </c>
      <c r="B44" s="2271"/>
      <c r="C44" s="1624">
        <f>SUM(C24:C43)</f>
        <v>81453</v>
      </c>
      <c r="D44" s="1624">
        <f t="shared" ref="D44:K44" si="6">SUM(D24:D43)</f>
        <v>0</v>
      </c>
      <c r="E44" s="1624">
        <f t="shared" si="6"/>
        <v>49082</v>
      </c>
      <c r="F44" s="1624">
        <f t="shared" si="6"/>
        <v>30000</v>
      </c>
      <c r="G44" s="1624">
        <f t="shared" si="6"/>
        <v>0</v>
      </c>
      <c r="H44" s="1624">
        <f t="shared" si="6"/>
        <v>0</v>
      </c>
      <c r="I44" s="1624">
        <f t="shared" si="6"/>
        <v>0</v>
      </c>
      <c r="J44" s="1624">
        <f t="shared" si="6"/>
        <v>0</v>
      </c>
      <c r="K44" s="1624">
        <f t="shared" si="6"/>
        <v>0</v>
      </c>
      <c r="L44" s="453"/>
    </row>
    <row r="45" spans="1:12" ht="15.75" customHeight="1" thickTop="1" x14ac:dyDescent="0.2">
      <c r="A45" s="2264" t="s">
        <v>108</v>
      </c>
      <c r="B45" s="2265"/>
      <c r="C45" s="1625"/>
      <c r="D45" s="1625"/>
      <c r="E45" s="1625"/>
      <c r="F45" s="1625"/>
      <c r="G45" s="1625"/>
      <c r="H45" s="1625"/>
      <c r="I45" s="1625"/>
      <c r="J45" s="1625"/>
      <c r="K45" s="1625"/>
      <c r="L45" s="325"/>
    </row>
    <row r="46" spans="1:12" s="433" customFormat="1" ht="15.75" customHeight="1" x14ac:dyDescent="0.2">
      <c r="A46" s="2272" t="s">
        <v>109</v>
      </c>
      <c r="B46" s="2273"/>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30000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47182</v>
      </c>
      <c r="D54" s="1626">
        <v>0</v>
      </c>
      <c r="E54" s="1582"/>
      <c r="F54" s="1582"/>
      <c r="G54" s="1582"/>
      <c r="H54" s="1626">
        <v>0</v>
      </c>
      <c r="I54" s="1582"/>
      <c r="J54" s="1582"/>
      <c r="K54" s="1580"/>
      <c r="L54" s="453"/>
    </row>
    <row r="55" spans="1:12" s="433" customFormat="1" ht="14.25" thickTop="1" thickBot="1" x14ac:dyDescent="0.25">
      <c r="A55" s="1262" t="s">
        <v>687</v>
      </c>
      <c r="B55" s="432">
        <v>8420</v>
      </c>
      <c r="C55" s="1627">
        <v>0</v>
      </c>
      <c r="D55" s="1627">
        <v>0</v>
      </c>
      <c r="E55" s="1582"/>
      <c r="F55" s="1582"/>
      <c r="G55" s="1582"/>
      <c r="H55" s="1626">
        <v>0</v>
      </c>
      <c r="I55" s="1582"/>
      <c r="J55" s="1582"/>
      <c r="K55" s="1582"/>
      <c r="L55" s="453"/>
    </row>
    <row r="56" spans="1:12" s="433" customFormat="1" ht="14.25" thickTop="1" thickBot="1" x14ac:dyDescent="0.25">
      <c r="A56" s="1261" t="s">
        <v>576</v>
      </c>
      <c r="B56" s="432">
        <v>8430</v>
      </c>
      <c r="C56" s="1627">
        <v>0</v>
      </c>
      <c r="D56" s="1627">
        <v>0</v>
      </c>
      <c r="E56" s="1582"/>
      <c r="F56" s="1582"/>
      <c r="G56" s="1582"/>
      <c r="H56" s="1626">
        <v>0</v>
      </c>
      <c r="I56" s="1582"/>
      <c r="J56" s="1582"/>
      <c r="K56" s="1582"/>
      <c r="L56" s="453"/>
    </row>
    <row r="57" spans="1:12" s="433" customFormat="1" ht="14.25" thickTop="1" thickBot="1" x14ac:dyDescent="0.25">
      <c r="A57" s="1262" t="s">
        <v>573</v>
      </c>
      <c r="B57" s="432">
        <v>8440</v>
      </c>
      <c r="C57" s="1627">
        <v>0</v>
      </c>
      <c r="D57" s="1627">
        <v>0</v>
      </c>
      <c r="E57" s="1582"/>
      <c r="F57" s="1582"/>
      <c r="G57" s="1582"/>
      <c r="H57" s="1626">
        <v>0</v>
      </c>
      <c r="I57" s="1582"/>
      <c r="J57" s="1582"/>
      <c r="K57" s="1582"/>
      <c r="L57" s="453"/>
    </row>
    <row r="58" spans="1:12" s="433" customFormat="1" ht="14.25" thickTop="1" thickBot="1" x14ac:dyDescent="0.25">
      <c r="A58" s="1261" t="s">
        <v>574</v>
      </c>
      <c r="B58" s="432">
        <v>8510</v>
      </c>
      <c r="C58" s="1627">
        <v>1900</v>
      </c>
      <c r="D58" s="1627">
        <v>0</v>
      </c>
      <c r="E58" s="1582"/>
      <c r="F58" s="1582"/>
      <c r="G58" s="1582"/>
      <c r="H58" s="1626">
        <v>0</v>
      </c>
      <c r="I58" s="1582"/>
      <c r="J58" s="1582"/>
      <c r="K58" s="1582"/>
      <c r="L58" s="453"/>
    </row>
    <row r="59" spans="1:12" s="433" customFormat="1" ht="14.25" thickTop="1" thickBot="1" x14ac:dyDescent="0.25">
      <c r="A59" s="1263" t="s">
        <v>688</v>
      </c>
      <c r="B59" s="432">
        <v>8520</v>
      </c>
      <c r="C59" s="1627">
        <v>0</v>
      </c>
      <c r="D59" s="1627">
        <v>0</v>
      </c>
      <c r="E59" s="1582"/>
      <c r="F59" s="1582"/>
      <c r="G59" s="1582"/>
      <c r="H59" s="1626">
        <v>0</v>
      </c>
      <c r="I59" s="1582"/>
      <c r="J59" s="1582"/>
      <c r="K59" s="1582"/>
      <c r="L59" s="453"/>
    </row>
    <row r="60" spans="1:12" s="433" customFormat="1" ht="14.25" thickTop="1" thickBot="1" x14ac:dyDescent="0.25">
      <c r="A60" s="1261" t="s">
        <v>575</v>
      </c>
      <c r="B60" s="432">
        <v>8530</v>
      </c>
      <c r="C60" s="1627">
        <v>0</v>
      </c>
      <c r="D60" s="1627">
        <v>0</v>
      </c>
      <c r="E60" s="1582"/>
      <c r="F60" s="1582"/>
      <c r="G60" s="1582"/>
      <c r="H60" s="1626">
        <v>0</v>
      </c>
      <c r="I60" s="1582"/>
      <c r="J60" s="1582"/>
      <c r="K60" s="1582"/>
      <c r="L60" s="453"/>
    </row>
    <row r="61" spans="1:12" s="433" customFormat="1" ht="14.25" thickTop="1" thickBot="1" x14ac:dyDescent="0.25">
      <c r="A61" s="1262" t="s">
        <v>737</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738</v>
      </c>
      <c r="B62" s="432">
        <v>8610</v>
      </c>
      <c r="C62" s="1627">
        <v>0</v>
      </c>
      <c r="D62" s="1627">
        <v>0</v>
      </c>
      <c r="E62" s="1582"/>
      <c r="F62" s="1582"/>
      <c r="G62" s="1582"/>
      <c r="H62" s="1582"/>
      <c r="I62" s="1582"/>
      <c r="J62" s="1582"/>
      <c r="K62" s="1582"/>
      <c r="L62" s="453"/>
    </row>
    <row r="63" spans="1:12" s="433" customFormat="1" ht="14.25" thickTop="1" thickBot="1" x14ac:dyDescent="0.25">
      <c r="A63" s="1262" t="s">
        <v>689</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739</v>
      </c>
      <c r="B64" s="432">
        <v>8630</v>
      </c>
      <c r="C64" s="1627">
        <v>0</v>
      </c>
      <c r="D64" s="1627">
        <v>0</v>
      </c>
      <c r="E64" s="1582"/>
      <c r="F64" s="1582"/>
      <c r="G64" s="1582"/>
      <c r="H64" s="1582"/>
      <c r="I64" s="1582"/>
      <c r="J64" s="1582"/>
      <c r="K64" s="1582"/>
      <c r="L64" s="453"/>
    </row>
    <row r="65" spans="1:12" s="433" customFormat="1" ht="14.25" thickTop="1" thickBot="1" x14ac:dyDescent="0.25">
      <c r="A65" s="1262" t="s">
        <v>740</v>
      </c>
      <c r="B65" s="432">
        <v>8640</v>
      </c>
      <c r="C65" s="1627">
        <v>0</v>
      </c>
      <c r="D65" s="1627">
        <v>0</v>
      </c>
      <c r="E65" s="1582"/>
      <c r="F65" s="1582"/>
      <c r="G65" s="1582"/>
      <c r="H65" s="1582"/>
      <c r="I65" s="1582"/>
      <c r="J65" s="1582"/>
      <c r="K65" s="1582"/>
      <c r="L65" s="453"/>
    </row>
    <row r="66" spans="1:12" s="433" customFormat="1" ht="14.25" thickTop="1" thickBot="1" x14ac:dyDescent="0.25">
      <c r="A66" s="1261" t="s">
        <v>741</v>
      </c>
      <c r="B66" s="432">
        <v>8710</v>
      </c>
      <c r="C66" s="1627">
        <v>0</v>
      </c>
      <c r="D66" s="1627">
        <v>0</v>
      </c>
      <c r="E66" s="1582"/>
      <c r="F66" s="1582"/>
      <c r="G66" s="1582"/>
      <c r="H66" s="1582"/>
      <c r="I66" s="1582"/>
      <c r="J66" s="1582"/>
      <c r="K66" s="1582"/>
      <c r="L66" s="453"/>
    </row>
    <row r="67" spans="1:12" s="433" customFormat="1" ht="14.25" thickTop="1" thickBot="1" x14ac:dyDescent="0.25">
      <c r="A67" s="1262" t="s">
        <v>690</v>
      </c>
      <c r="B67" s="432">
        <v>8720</v>
      </c>
      <c r="C67" s="1627">
        <v>0</v>
      </c>
      <c r="D67" s="1627">
        <v>0</v>
      </c>
      <c r="E67" s="1582"/>
      <c r="F67" s="1582"/>
      <c r="G67" s="1582"/>
      <c r="H67" s="1582"/>
      <c r="I67" s="1582"/>
      <c r="J67" s="1582"/>
      <c r="K67" s="1582"/>
      <c r="L67" s="453"/>
    </row>
    <row r="68" spans="1:12" s="433" customFormat="1" ht="14.25" thickTop="1" thickBot="1" x14ac:dyDescent="0.25">
      <c r="A68" s="1263" t="s">
        <v>742</v>
      </c>
      <c r="B68" s="432">
        <v>8730</v>
      </c>
      <c r="C68" s="1627">
        <v>0</v>
      </c>
      <c r="D68" s="1627">
        <v>0</v>
      </c>
      <c r="E68" s="1582"/>
      <c r="F68" s="1582"/>
      <c r="G68" s="1582"/>
      <c r="H68" s="1582"/>
      <c r="I68" s="1582"/>
      <c r="J68" s="1582"/>
      <c r="K68" s="1582"/>
      <c r="L68" s="453"/>
    </row>
    <row r="69" spans="1:12" s="433" customFormat="1" ht="14.25" thickTop="1" thickBot="1" x14ac:dyDescent="0.25">
      <c r="A69" s="1262" t="s">
        <v>743</v>
      </c>
      <c r="B69" s="432">
        <v>8740</v>
      </c>
      <c r="C69" s="1627">
        <v>0</v>
      </c>
      <c r="D69" s="1627">
        <v>0</v>
      </c>
      <c r="E69" s="1582"/>
      <c r="F69" s="1582"/>
      <c r="G69" s="1582"/>
      <c r="H69" s="1582"/>
      <c r="I69" s="1582"/>
      <c r="J69" s="1582"/>
      <c r="K69" s="1582"/>
      <c r="L69" s="453"/>
    </row>
    <row r="70" spans="1:12" s="433" customFormat="1" ht="14.25" thickTop="1" thickBot="1" x14ac:dyDescent="0.25">
      <c r="A70" s="1261" t="s">
        <v>744</v>
      </c>
      <c r="B70" s="432">
        <v>8810</v>
      </c>
      <c r="C70" s="1627">
        <v>0</v>
      </c>
      <c r="D70" s="1627">
        <v>0</v>
      </c>
      <c r="E70" s="1582"/>
      <c r="F70" s="1582"/>
      <c r="G70" s="1582"/>
      <c r="H70" s="1582"/>
      <c r="I70" s="1582"/>
      <c r="J70" s="1582"/>
      <c r="K70" s="1582"/>
      <c r="L70" s="453"/>
    </row>
    <row r="71" spans="1:12" s="433" customFormat="1" ht="14.25" thickTop="1" thickBot="1" x14ac:dyDescent="0.25">
      <c r="A71" s="1261" t="s">
        <v>748</v>
      </c>
      <c r="B71" s="432">
        <v>8820</v>
      </c>
      <c r="C71" s="1627">
        <v>0</v>
      </c>
      <c r="D71" s="1627">
        <v>0</v>
      </c>
      <c r="E71" s="1582"/>
      <c r="F71" s="1582"/>
      <c r="G71" s="1582"/>
      <c r="H71" s="1582"/>
      <c r="I71" s="1582"/>
      <c r="J71" s="1582"/>
      <c r="K71" s="1582"/>
      <c r="L71" s="453"/>
    </row>
    <row r="72" spans="1:12" s="433" customFormat="1" ht="14.25" thickTop="1" thickBot="1" x14ac:dyDescent="0.25">
      <c r="A72" s="1261" t="s">
        <v>745</v>
      </c>
      <c r="B72" s="432">
        <v>8830</v>
      </c>
      <c r="C72" s="1627">
        <v>0</v>
      </c>
      <c r="D72" s="1627">
        <v>0</v>
      </c>
      <c r="E72" s="1582"/>
      <c r="F72" s="1582"/>
      <c r="G72" s="1582"/>
      <c r="H72" s="1582"/>
      <c r="I72" s="1582"/>
      <c r="J72" s="1582"/>
      <c r="K72" s="1582"/>
      <c r="L72" s="453"/>
    </row>
    <row r="73" spans="1:12" s="433" customFormat="1" ht="14.25" thickTop="1" thickBot="1" x14ac:dyDescent="0.25">
      <c r="A73" s="1261" t="s">
        <v>746</v>
      </c>
      <c r="B73" s="432">
        <v>8840</v>
      </c>
      <c r="C73" s="1627">
        <v>0</v>
      </c>
      <c r="D73" s="1627">
        <v>0</v>
      </c>
      <c r="E73" s="1582"/>
      <c r="F73" s="1582"/>
      <c r="G73" s="1582"/>
      <c r="H73" s="1582"/>
      <c r="I73" s="1582"/>
      <c r="J73" s="1582"/>
      <c r="K73" s="1585"/>
      <c r="L73" s="453"/>
    </row>
    <row r="74" spans="1:12" s="433" customFormat="1" ht="14.25" thickTop="1" thickBot="1" x14ac:dyDescent="0.25">
      <c r="A74" s="1261" t="s">
        <v>371</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435</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6" t="s">
        <v>436</v>
      </c>
      <c r="B76" s="2247"/>
      <c r="C76" s="1624">
        <f t="shared" ref="C76:K76" si="7">SUM(C47:C75)</f>
        <v>49082</v>
      </c>
      <c r="D76" s="1624">
        <f t="shared" si="7"/>
        <v>0</v>
      </c>
      <c r="E76" s="1624">
        <f t="shared" si="7"/>
        <v>0</v>
      </c>
      <c r="F76" s="1624">
        <f t="shared" si="7"/>
        <v>0</v>
      </c>
      <c r="G76" s="1624">
        <f t="shared" si="7"/>
        <v>0</v>
      </c>
      <c r="H76" s="1624">
        <f t="shared" si="7"/>
        <v>0</v>
      </c>
      <c r="I76" s="1624">
        <f t="shared" si="7"/>
        <v>30000</v>
      </c>
      <c r="J76" s="1624">
        <f t="shared" si="7"/>
        <v>0</v>
      </c>
      <c r="K76" s="1624">
        <f t="shared" si="7"/>
        <v>0</v>
      </c>
      <c r="L76" s="453"/>
    </row>
    <row r="77" spans="1:12" ht="14.25" thickTop="1" thickBot="1" x14ac:dyDescent="0.25">
      <c r="A77" s="2248" t="s">
        <v>1166</v>
      </c>
      <c r="B77" s="2249"/>
      <c r="C77" s="1624">
        <f t="shared" ref="C77:K77" si="8">C44-C76</f>
        <v>32371</v>
      </c>
      <c r="D77" s="1624">
        <f t="shared" si="8"/>
        <v>0</v>
      </c>
      <c r="E77" s="1624">
        <f t="shared" si="8"/>
        <v>49082</v>
      </c>
      <c r="F77" s="1624">
        <f t="shared" si="8"/>
        <v>30000</v>
      </c>
      <c r="G77" s="1624">
        <f t="shared" si="8"/>
        <v>0</v>
      </c>
      <c r="H77" s="1624">
        <f t="shared" si="8"/>
        <v>0</v>
      </c>
      <c r="I77" s="1624">
        <f t="shared" si="8"/>
        <v>-30000</v>
      </c>
      <c r="J77" s="1624">
        <f t="shared" si="8"/>
        <v>0</v>
      </c>
      <c r="K77" s="1624">
        <f t="shared" si="8"/>
        <v>0</v>
      </c>
      <c r="L77" s="325"/>
    </row>
    <row r="78" spans="1:12" ht="21.75" customHeight="1" thickTop="1" thickBot="1" x14ac:dyDescent="0.25">
      <c r="A78" s="2252" t="s">
        <v>592</v>
      </c>
      <c r="B78" s="2253"/>
      <c r="C78" s="1629">
        <f t="shared" ref="C78:K78" si="9">C20+C77</f>
        <v>157794</v>
      </c>
      <c r="D78" s="1629">
        <f t="shared" si="9"/>
        <v>10176</v>
      </c>
      <c r="E78" s="1629">
        <f t="shared" si="9"/>
        <v>46073</v>
      </c>
      <c r="F78" s="1629">
        <f t="shared" si="9"/>
        <v>8849</v>
      </c>
      <c r="G78" s="1629">
        <f t="shared" si="9"/>
        <v>17392</v>
      </c>
      <c r="H78" s="1629">
        <f t="shared" si="9"/>
        <v>24191</v>
      </c>
      <c r="I78" s="1629">
        <f t="shared" si="9"/>
        <v>600</v>
      </c>
      <c r="J78" s="1629">
        <f t="shared" si="9"/>
        <v>4074</v>
      </c>
      <c r="K78" s="1629">
        <f t="shared" si="9"/>
        <v>-132</v>
      </c>
      <c r="L78" s="457"/>
    </row>
    <row r="79" spans="1:12" ht="13.5" thickTop="1" x14ac:dyDescent="0.2">
      <c r="A79" s="1844" t="str">
        <f>"Fund Balances - July 1, "&amp;'AFR20'!E2-1</f>
        <v>Fund Balances - July 1, 2019</v>
      </c>
      <c r="B79" s="458"/>
      <c r="C79" s="1583">
        <v>1711147</v>
      </c>
      <c r="D79" s="1583">
        <v>232195</v>
      </c>
      <c r="E79" s="1630">
        <v>561515</v>
      </c>
      <c r="F79" s="1630">
        <v>199168</v>
      </c>
      <c r="G79" s="1630">
        <v>191022</v>
      </c>
      <c r="H79" s="1630">
        <v>68575</v>
      </c>
      <c r="I79" s="1630">
        <v>203564</v>
      </c>
      <c r="J79" s="1630">
        <v>15706</v>
      </c>
      <c r="K79" s="1630">
        <v>38139</v>
      </c>
      <c r="L79" s="325"/>
    </row>
    <row r="80" spans="1:12" x14ac:dyDescent="0.2">
      <c r="A80" s="2258" t="s">
        <v>1771</v>
      </c>
      <c r="B80" s="2259"/>
      <c r="C80" s="1574">
        <v>0</v>
      </c>
      <c r="D80" s="1574">
        <v>0</v>
      </c>
      <c r="E80" s="1574">
        <v>0</v>
      </c>
      <c r="F80" s="1574">
        <v>0</v>
      </c>
      <c r="G80" s="1574">
        <v>0</v>
      </c>
      <c r="H80" s="1574">
        <v>0</v>
      </c>
      <c r="I80" s="1574">
        <v>0</v>
      </c>
      <c r="J80" s="1574">
        <v>0</v>
      </c>
      <c r="K80" s="1574">
        <v>0</v>
      </c>
      <c r="L80" s="325"/>
    </row>
    <row r="81" spans="1:12" ht="13.5" thickBot="1" x14ac:dyDescent="0.25">
      <c r="A81" s="2250" t="str">
        <f>"Fund Balances - June 30, "&amp;'AFR20'!E2</f>
        <v>Fund Balances - June 30, 2020</v>
      </c>
      <c r="B81" s="2251"/>
      <c r="C81" s="1594">
        <f>(SUM(C78:C80))</f>
        <v>1868941</v>
      </c>
      <c r="D81" s="1594">
        <f>SUM(D78:D80)</f>
        <v>242371</v>
      </c>
      <c r="E81" s="1594">
        <f t="shared" ref="E81:K81" si="10">SUM(E78:E80)</f>
        <v>607588</v>
      </c>
      <c r="F81" s="1594">
        <f t="shared" si="10"/>
        <v>208017</v>
      </c>
      <c r="G81" s="1594">
        <f t="shared" si="10"/>
        <v>208414</v>
      </c>
      <c r="H81" s="1594">
        <f t="shared" si="10"/>
        <v>92766</v>
      </c>
      <c r="I81" s="1594">
        <f t="shared" si="10"/>
        <v>204164</v>
      </c>
      <c r="J81" s="1594">
        <f t="shared" si="10"/>
        <v>19780</v>
      </c>
      <c r="K81" s="1594">
        <f t="shared" si="10"/>
        <v>38007</v>
      </c>
      <c r="L81" s="325"/>
    </row>
    <row r="82" spans="1:12" ht="0.75" customHeight="1" thickTop="1" thickBot="1" x14ac:dyDescent="0.25">
      <c r="A82" s="459" t="s">
        <v>339</v>
      </c>
      <c r="B82" s="460"/>
      <c r="C82" s="461">
        <f>(C81-C79)</f>
        <v>157794</v>
      </c>
      <c r="D82" s="461">
        <f t="shared" ref="D82:K82" si="11">(D81-D79)</f>
        <v>10176</v>
      </c>
      <c r="E82" s="461">
        <f t="shared" si="11"/>
        <v>46073</v>
      </c>
      <c r="F82" s="461">
        <f t="shared" si="11"/>
        <v>8849</v>
      </c>
      <c r="G82" s="461">
        <f t="shared" si="11"/>
        <v>17392</v>
      </c>
      <c r="H82" s="461">
        <f t="shared" si="11"/>
        <v>24191</v>
      </c>
      <c r="I82" s="461">
        <f t="shared" si="11"/>
        <v>600</v>
      </c>
      <c r="J82" s="461">
        <f t="shared" si="11"/>
        <v>4074</v>
      </c>
      <c r="K82" s="461">
        <f t="shared" si="11"/>
        <v>-132</v>
      </c>
    </row>
    <row r="83" spans="1:12" ht="14.25" hidden="1" thickTop="1" thickBot="1" x14ac:dyDescent="0.25">
      <c r="A83" s="462" t="s">
        <v>340</v>
      </c>
      <c r="B83" s="428"/>
      <c r="C83" s="463">
        <f>C82/C81</f>
        <v>8.4429631540000466E-2</v>
      </c>
      <c r="D83" s="463">
        <f t="shared" ref="D83:K83" si="12">D82/D81</f>
        <v>4.1985221004163041E-2</v>
      </c>
      <c r="E83" s="463">
        <f t="shared" si="12"/>
        <v>7.5829344885020772E-2</v>
      </c>
      <c r="F83" s="463">
        <f t="shared" si="12"/>
        <v>4.253979242081176E-2</v>
      </c>
      <c r="G83" s="463">
        <f t="shared" si="12"/>
        <v>8.3449288435517771E-2</v>
      </c>
      <c r="H83" s="463">
        <f t="shared" si="12"/>
        <v>0.26077442166310932</v>
      </c>
      <c r="I83" s="463">
        <f t="shared" si="12"/>
        <v>2.9388138947120941E-3</v>
      </c>
      <c r="J83" s="463">
        <f t="shared" si="12"/>
        <v>0.20596562184024267</v>
      </c>
      <c r="K83" s="463">
        <f t="shared" si="12"/>
        <v>-3.4730444391822559E-3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N12" sqref="N12"/>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1778</v>
      </c>
      <c r="B1" s="416"/>
      <c r="C1" s="417" t="s">
        <v>421</v>
      </c>
      <c r="D1" s="417" t="s">
        <v>422</v>
      </c>
      <c r="E1" s="417" t="s">
        <v>423</v>
      </c>
      <c r="F1" s="417" t="s">
        <v>424</v>
      </c>
      <c r="G1" s="417" t="s">
        <v>425</v>
      </c>
      <c r="H1" s="417" t="s">
        <v>426</v>
      </c>
      <c r="I1" s="417" t="s">
        <v>427</v>
      </c>
      <c r="J1" s="417" t="s">
        <v>428</v>
      </c>
      <c r="K1" s="417" t="s">
        <v>750</v>
      </c>
    </row>
    <row r="2" spans="1:12" ht="36" x14ac:dyDescent="0.2">
      <c r="A2" s="225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1576287</v>
      </c>
      <c r="D5" s="1586">
        <v>304046</v>
      </c>
      <c r="E5" s="1573">
        <v>201604</v>
      </c>
      <c r="F5" s="1631">
        <v>121618</v>
      </c>
      <c r="G5" s="1573">
        <v>63364</v>
      </c>
      <c r="H5" s="1573">
        <v>0</v>
      </c>
      <c r="I5" s="1573">
        <v>30339</v>
      </c>
      <c r="J5" s="1574">
        <v>263146</v>
      </c>
      <c r="K5" s="1573">
        <v>0</v>
      </c>
    </row>
    <row r="6" spans="1:12" ht="15" x14ac:dyDescent="0.2">
      <c r="A6" s="427" t="s">
        <v>1642</v>
      </c>
      <c r="B6" s="429">
        <v>1130</v>
      </c>
      <c r="C6" s="1573">
        <v>30339</v>
      </c>
      <c r="D6" s="1573">
        <v>0</v>
      </c>
      <c r="E6" s="1580"/>
      <c r="F6" s="1580"/>
      <c r="G6" s="1575"/>
      <c r="H6" s="1575"/>
      <c r="I6" s="1575"/>
      <c r="J6" s="1575"/>
      <c r="K6" s="1575"/>
    </row>
    <row r="7" spans="1:12" x14ac:dyDescent="0.2">
      <c r="A7" s="427" t="s">
        <v>110</v>
      </c>
      <c r="B7" s="471">
        <v>1140</v>
      </c>
      <c r="C7" s="1573">
        <v>24259</v>
      </c>
      <c r="D7" s="1573">
        <v>0</v>
      </c>
      <c r="E7" s="1575"/>
      <c r="F7" s="1574">
        <v>0</v>
      </c>
      <c r="G7" s="1574">
        <v>0</v>
      </c>
      <c r="H7" s="1574">
        <v>0</v>
      </c>
      <c r="I7" s="1575"/>
      <c r="J7" s="1575"/>
      <c r="K7" s="1575"/>
    </row>
    <row r="8" spans="1:12" x14ac:dyDescent="0.2">
      <c r="A8" s="427" t="s">
        <v>409</v>
      </c>
      <c r="B8" s="429">
        <v>1150</v>
      </c>
      <c r="C8" s="1580"/>
      <c r="D8" s="1580"/>
      <c r="E8" s="1582"/>
      <c r="F8" s="1582"/>
      <c r="G8" s="1586">
        <v>115631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410</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1630885</v>
      </c>
      <c r="D12" s="1633">
        <f t="shared" si="0"/>
        <v>304046</v>
      </c>
      <c r="E12" s="1633">
        <f t="shared" si="0"/>
        <v>201604</v>
      </c>
      <c r="F12" s="1633">
        <f t="shared" si="0"/>
        <v>121618</v>
      </c>
      <c r="G12" s="1633">
        <f t="shared" si="0"/>
        <v>178995</v>
      </c>
      <c r="H12" s="1633">
        <f t="shared" si="0"/>
        <v>0</v>
      </c>
      <c r="I12" s="1633">
        <f t="shared" si="0"/>
        <v>30339</v>
      </c>
      <c r="J12" s="1633">
        <f t="shared" si="0"/>
        <v>263146</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1058</v>
      </c>
      <c r="D15" s="1573">
        <v>197</v>
      </c>
      <c r="E15" s="1573">
        <v>134</v>
      </c>
      <c r="F15" s="1573">
        <v>79</v>
      </c>
      <c r="G15" s="1573">
        <v>118</v>
      </c>
      <c r="H15" s="1573">
        <v>0</v>
      </c>
      <c r="I15" s="1573">
        <v>20</v>
      </c>
      <c r="J15" s="1574">
        <v>160</v>
      </c>
      <c r="K15" s="1573">
        <v>0</v>
      </c>
    </row>
    <row r="16" spans="1:12" ht="15" customHeight="1" x14ac:dyDescent="0.2">
      <c r="A16" s="427" t="s">
        <v>1643</v>
      </c>
      <c r="B16" s="471">
        <v>1230</v>
      </c>
      <c r="C16" s="1632">
        <v>166852</v>
      </c>
      <c r="D16" s="1573">
        <v>0</v>
      </c>
      <c r="E16" s="1573">
        <v>0</v>
      </c>
      <c r="F16" s="1573">
        <v>0</v>
      </c>
      <c r="G16" s="1573">
        <v>11000</v>
      </c>
      <c r="H16" s="1573">
        <v>0</v>
      </c>
      <c r="I16" s="1573">
        <v>0</v>
      </c>
      <c r="J16" s="1574">
        <v>0</v>
      </c>
      <c r="K16" s="1573">
        <v>0</v>
      </c>
    </row>
    <row r="17" spans="1:11" ht="12.75" customHeight="1" x14ac:dyDescent="0.2">
      <c r="A17" s="427" t="s">
        <v>801</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533</v>
      </c>
      <c r="B18" s="1407"/>
      <c r="C18" s="1635">
        <f>SUM(C14:C17)</f>
        <v>167910</v>
      </c>
      <c r="D18" s="1635">
        <f t="shared" ref="D18:K18" si="1">SUM(D14:D17)</f>
        <v>197</v>
      </c>
      <c r="E18" s="1635">
        <f t="shared" si="1"/>
        <v>134</v>
      </c>
      <c r="F18" s="1635">
        <f t="shared" si="1"/>
        <v>79</v>
      </c>
      <c r="G18" s="1635">
        <f t="shared" si="1"/>
        <v>11118</v>
      </c>
      <c r="H18" s="1635">
        <f t="shared" si="1"/>
        <v>0</v>
      </c>
      <c r="I18" s="1635">
        <f t="shared" si="1"/>
        <v>20</v>
      </c>
      <c r="J18" s="1635">
        <f t="shared" si="1"/>
        <v>160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0</v>
      </c>
      <c r="D20" s="1575"/>
      <c r="E20" s="1575"/>
      <c r="F20" s="1575"/>
      <c r="G20" s="1575"/>
      <c r="H20" s="1575"/>
      <c r="I20" s="1575"/>
      <c r="J20" s="1575"/>
      <c r="K20" s="1575"/>
    </row>
    <row r="21" spans="1:11" ht="12.75" customHeight="1" x14ac:dyDescent="0.2">
      <c r="A21" s="427" t="s">
        <v>826</v>
      </c>
      <c r="B21" s="429">
        <v>1312</v>
      </c>
      <c r="C21" s="1632">
        <v>0</v>
      </c>
      <c r="D21" s="1575"/>
      <c r="E21" s="1575"/>
      <c r="F21" s="1575"/>
      <c r="G21" s="1575"/>
      <c r="H21" s="1575"/>
      <c r="I21" s="1575"/>
      <c r="J21" s="1575"/>
      <c r="K21" s="1575"/>
    </row>
    <row r="22" spans="1:11" ht="12.75" customHeight="1" x14ac:dyDescent="0.2">
      <c r="A22" s="427" t="s">
        <v>1064</v>
      </c>
      <c r="B22" s="429">
        <v>1313</v>
      </c>
      <c r="C22" s="1632">
        <v>0</v>
      </c>
      <c r="D22" s="1575"/>
      <c r="E22" s="1575"/>
      <c r="F22" s="1575"/>
      <c r="G22" s="1575"/>
      <c r="H22" s="1575"/>
      <c r="I22" s="1575"/>
      <c r="J22" s="1575"/>
      <c r="K22" s="1575"/>
    </row>
    <row r="23" spans="1:11" ht="12.75" customHeight="1" x14ac:dyDescent="0.2">
      <c r="A23" s="427" t="s">
        <v>1065</v>
      </c>
      <c r="B23" s="429">
        <v>1314</v>
      </c>
      <c r="C23" s="1598">
        <v>0</v>
      </c>
      <c r="D23" s="1575"/>
      <c r="E23" s="1575"/>
      <c r="F23" s="1575"/>
      <c r="G23" s="1575"/>
      <c r="H23" s="1575"/>
      <c r="I23" s="1575"/>
      <c r="J23" s="1575"/>
      <c r="K23" s="1575"/>
    </row>
    <row r="24" spans="1:11" ht="12.75" customHeight="1" x14ac:dyDescent="0.2">
      <c r="A24" s="427" t="s">
        <v>1019</v>
      </c>
      <c r="B24" s="429">
        <v>1321</v>
      </c>
      <c r="C24" s="1632">
        <v>0</v>
      </c>
      <c r="D24" s="1575"/>
      <c r="E24" s="1575"/>
      <c r="F24" s="1575"/>
      <c r="G24" s="1575"/>
      <c r="H24" s="1575"/>
      <c r="I24" s="1575"/>
      <c r="J24" s="1575"/>
      <c r="K24" s="1575"/>
    </row>
    <row r="25" spans="1:11" ht="12.75" customHeight="1" x14ac:dyDescent="0.2">
      <c r="A25" s="427" t="s">
        <v>827</v>
      </c>
      <c r="B25" s="429">
        <v>1322</v>
      </c>
      <c r="C25" s="1632">
        <v>0</v>
      </c>
      <c r="D25" s="1575"/>
      <c r="E25" s="1575"/>
      <c r="F25" s="1575"/>
      <c r="G25" s="1575"/>
      <c r="H25" s="1575"/>
      <c r="I25" s="1575"/>
      <c r="J25" s="1575"/>
      <c r="K25" s="1575"/>
    </row>
    <row r="26" spans="1:11" ht="12.75" customHeight="1" x14ac:dyDescent="0.2">
      <c r="A26" s="427" t="s">
        <v>1091</v>
      </c>
      <c r="B26" s="429">
        <v>1323</v>
      </c>
      <c r="C26" s="1632">
        <v>0</v>
      </c>
      <c r="D26" s="1575"/>
      <c r="E26" s="1575"/>
      <c r="F26" s="1575"/>
      <c r="G26" s="1575"/>
      <c r="H26" s="1575"/>
      <c r="I26" s="1575"/>
      <c r="J26" s="1575"/>
      <c r="K26" s="1575"/>
    </row>
    <row r="27" spans="1:11" ht="12.75" customHeight="1" x14ac:dyDescent="0.2">
      <c r="A27" s="427" t="s">
        <v>1015</v>
      </c>
      <c r="B27" s="429">
        <v>1324</v>
      </c>
      <c r="C27" s="1598">
        <v>0</v>
      </c>
      <c r="D27" s="1575"/>
      <c r="E27" s="1575"/>
      <c r="F27" s="1575"/>
      <c r="G27" s="1575"/>
      <c r="H27" s="1575"/>
      <c r="I27" s="1575"/>
      <c r="J27" s="1575"/>
      <c r="K27" s="1575"/>
    </row>
    <row r="28" spans="1:11" ht="12.75" customHeight="1" x14ac:dyDescent="0.2">
      <c r="A28" s="427" t="s">
        <v>1016</v>
      </c>
      <c r="B28" s="429">
        <v>1331</v>
      </c>
      <c r="C28" s="1632">
        <v>0</v>
      </c>
      <c r="D28" s="1575"/>
      <c r="E28" s="1575"/>
      <c r="F28" s="1575"/>
      <c r="G28" s="1575"/>
      <c r="H28" s="1575"/>
      <c r="I28" s="1575"/>
      <c r="J28" s="1575"/>
      <c r="K28" s="1575"/>
    </row>
    <row r="29" spans="1:11" ht="12.75" customHeight="1" x14ac:dyDescent="0.2">
      <c r="A29" s="427" t="s">
        <v>828</v>
      </c>
      <c r="B29" s="429">
        <v>1332</v>
      </c>
      <c r="C29" s="1632">
        <v>0</v>
      </c>
      <c r="D29" s="1575"/>
      <c r="E29" s="1575"/>
      <c r="F29" s="1575"/>
      <c r="G29" s="1575"/>
      <c r="H29" s="1575"/>
      <c r="I29" s="1575"/>
      <c r="J29" s="1575"/>
      <c r="K29" s="1575"/>
    </row>
    <row r="30" spans="1:11" ht="12.75" customHeight="1" x14ac:dyDescent="0.2">
      <c r="A30" s="427" t="s">
        <v>1018</v>
      </c>
      <c r="B30" s="429">
        <v>1333</v>
      </c>
      <c r="C30" s="1632">
        <v>0</v>
      </c>
      <c r="D30" s="1575"/>
      <c r="E30" s="1575"/>
      <c r="F30" s="1575"/>
      <c r="G30" s="1575"/>
      <c r="H30" s="1575"/>
      <c r="I30" s="1575"/>
      <c r="J30" s="1575"/>
      <c r="K30" s="1575"/>
    </row>
    <row r="31" spans="1:11" ht="12.75" customHeight="1" x14ac:dyDescent="0.2">
      <c r="A31" s="427" t="s">
        <v>1017</v>
      </c>
      <c r="B31" s="429">
        <v>1334</v>
      </c>
      <c r="C31" s="1598">
        <v>0</v>
      </c>
      <c r="D31" s="1575"/>
      <c r="E31" s="1575"/>
      <c r="F31" s="1575"/>
      <c r="G31" s="1575"/>
      <c r="H31" s="1575"/>
      <c r="I31" s="1575"/>
      <c r="J31" s="1575"/>
      <c r="K31" s="1575"/>
    </row>
    <row r="32" spans="1:11" ht="12.75" customHeight="1" x14ac:dyDescent="0.2">
      <c r="A32" s="427" t="s">
        <v>490</v>
      </c>
      <c r="B32" s="429">
        <v>1341</v>
      </c>
      <c r="C32" s="1632">
        <v>0</v>
      </c>
      <c r="D32" s="1575"/>
      <c r="E32" s="1575"/>
      <c r="F32" s="1575"/>
      <c r="G32" s="1575"/>
      <c r="H32" s="1575"/>
      <c r="I32" s="1575"/>
      <c r="J32" s="1575"/>
      <c r="K32" s="1575"/>
    </row>
    <row r="33" spans="1:11" ht="12.75" customHeight="1" x14ac:dyDescent="0.2">
      <c r="A33" s="427" t="s">
        <v>829</v>
      </c>
      <c r="B33" s="429">
        <v>1342</v>
      </c>
      <c r="C33" s="1632">
        <v>0</v>
      </c>
      <c r="D33" s="1575"/>
      <c r="E33" s="1575"/>
      <c r="F33" s="1575"/>
      <c r="G33" s="1575"/>
      <c r="H33" s="1575"/>
      <c r="I33" s="1575"/>
      <c r="J33" s="1575"/>
      <c r="K33" s="1575"/>
    </row>
    <row r="34" spans="1:11" ht="12.75" customHeight="1" x14ac:dyDescent="0.2">
      <c r="A34" s="427" t="s">
        <v>491</v>
      </c>
      <c r="B34" s="429">
        <v>1343</v>
      </c>
      <c r="C34" s="1632">
        <v>0</v>
      </c>
      <c r="D34" s="1575"/>
      <c r="E34" s="1575"/>
      <c r="F34" s="1575"/>
      <c r="G34" s="1575"/>
      <c r="H34" s="1575"/>
      <c r="I34" s="1575"/>
      <c r="J34" s="1575"/>
      <c r="K34" s="1575"/>
    </row>
    <row r="35" spans="1:11" ht="12.75" customHeight="1" x14ac:dyDescent="0.2">
      <c r="A35" s="427" t="s">
        <v>489</v>
      </c>
      <c r="B35" s="429">
        <v>1344</v>
      </c>
      <c r="C35" s="1598">
        <v>0</v>
      </c>
      <c r="D35" s="1575"/>
      <c r="E35" s="1575"/>
      <c r="F35" s="1575"/>
      <c r="G35" s="1575"/>
      <c r="H35" s="1575"/>
      <c r="I35" s="1575"/>
      <c r="J35" s="1575"/>
      <c r="K35" s="1575"/>
    </row>
    <row r="36" spans="1:11" ht="12.75" customHeight="1" x14ac:dyDescent="0.2">
      <c r="A36" s="427" t="s">
        <v>825</v>
      </c>
      <c r="B36" s="429">
        <v>1351</v>
      </c>
      <c r="C36" s="1632">
        <v>0</v>
      </c>
      <c r="D36" s="1575"/>
      <c r="E36" s="1575"/>
      <c r="F36" s="1575"/>
      <c r="G36" s="1575"/>
      <c r="H36" s="1575"/>
      <c r="I36" s="1575"/>
      <c r="J36" s="1575"/>
      <c r="K36" s="1575"/>
    </row>
    <row r="37" spans="1:11" ht="12.75" customHeight="1" x14ac:dyDescent="0.2">
      <c r="A37" s="427" t="s">
        <v>830</v>
      </c>
      <c r="B37" s="429">
        <v>1352</v>
      </c>
      <c r="C37" s="1632">
        <v>0</v>
      </c>
      <c r="D37" s="1575"/>
      <c r="E37" s="1575"/>
      <c r="F37" s="1575"/>
      <c r="G37" s="1575"/>
      <c r="H37" s="1575"/>
      <c r="I37" s="1575"/>
      <c r="J37" s="1575"/>
      <c r="K37" s="1575"/>
    </row>
    <row r="38" spans="1:11" ht="12.75" customHeight="1" x14ac:dyDescent="0.2">
      <c r="A38" s="427" t="s">
        <v>588</v>
      </c>
      <c r="B38" s="429">
        <v>1353</v>
      </c>
      <c r="C38" s="1632">
        <v>0</v>
      </c>
      <c r="D38" s="1575"/>
      <c r="E38" s="1575"/>
      <c r="F38" s="1575"/>
      <c r="G38" s="1575"/>
      <c r="H38" s="1575"/>
      <c r="I38" s="1575"/>
      <c r="J38" s="1575"/>
      <c r="K38" s="1575"/>
    </row>
    <row r="39" spans="1:11" ht="12.75" customHeight="1" x14ac:dyDescent="0.2">
      <c r="A39" s="1265" t="s">
        <v>589</v>
      </c>
      <c r="B39" s="474">
        <v>1354</v>
      </c>
      <c r="C39" s="1598">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1163</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1096</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1097</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1098</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9362</v>
      </c>
      <c r="D65" s="1573">
        <v>3814</v>
      </c>
      <c r="E65" s="1573">
        <v>10965</v>
      </c>
      <c r="F65" s="1574">
        <v>296</v>
      </c>
      <c r="G65" s="1573">
        <v>250</v>
      </c>
      <c r="H65" s="1573">
        <v>74</v>
      </c>
      <c r="I65" s="1573">
        <v>241</v>
      </c>
      <c r="J65" s="1574">
        <v>71</v>
      </c>
      <c r="K65" s="1573">
        <v>43</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9362</v>
      </c>
      <c r="D67" s="1594">
        <f t="shared" ref="D67:K67" si="2">SUM(D65:D66)</f>
        <v>3814</v>
      </c>
      <c r="E67" s="1594">
        <f t="shared" si="2"/>
        <v>10965</v>
      </c>
      <c r="F67" s="1594">
        <f t="shared" si="2"/>
        <v>296</v>
      </c>
      <c r="G67" s="1594">
        <f t="shared" si="2"/>
        <v>250</v>
      </c>
      <c r="H67" s="1594">
        <f t="shared" si="2"/>
        <v>74</v>
      </c>
      <c r="I67" s="1594">
        <f t="shared" si="2"/>
        <v>241</v>
      </c>
      <c r="J67" s="1594">
        <f t="shared" si="2"/>
        <v>71</v>
      </c>
      <c r="K67" s="1594">
        <f t="shared" si="2"/>
        <v>43</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64507</v>
      </c>
      <c r="D69" s="1575"/>
      <c r="E69" s="1575"/>
      <c r="F69" s="1575"/>
      <c r="G69" s="1575"/>
      <c r="H69" s="1575"/>
      <c r="I69" s="1575"/>
      <c r="J69" s="1575"/>
      <c r="K69" s="1575"/>
    </row>
    <row r="70" spans="1:11" ht="12.75" customHeight="1" x14ac:dyDescent="0.2">
      <c r="A70" s="427" t="s">
        <v>989</v>
      </c>
      <c r="B70" s="429">
        <v>1612</v>
      </c>
      <c r="C70" s="1632">
        <v>0</v>
      </c>
      <c r="D70" s="1575"/>
      <c r="E70" s="1575"/>
      <c r="F70" s="1575"/>
      <c r="G70" s="1575"/>
      <c r="H70" s="1575"/>
      <c r="I70" s="1575"/>
      <c r="J70" s="1575"/>
      <c r="K70" s="1575"/>
    </row>
    <row r="71" spans="1:11" ht="12.75" customHeight="1" x14ac:dyDescent="0.2">
      <c r="A71" s="427" t="s">
        <v>270</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990</v>
      </c>
      <c r="B73" s="429">
        <v>1620</v>
      </c>
      <c r="C73" s="1632">
        <v>5383</v>
      </c>
      <c r="D73" s="1575"/>
      <c r="E73" s="1575"/>
      <c r="F73" s="1575"/>
      <c r="G73" s="1575"/>
      <c r="H73" s="1575"/>
      <c r="I73" s="1575"/>
      <c r="J73" s="1575"/>
      <c r="K73" s="1575"/>
    </row>
    <row r="74" spans="1:11" ht="12.75" customHeight="1" x14ac:dyDescent="0.2">
      <c r="A74" s="427" t="s">
        <v>25</v>
      </c>
      <c r="B74" s="429">
        <v>1690</v>
      </c>
      <c r="C74" s="1632">
        <v>1248</v>
      </c>
      <c r="D74" s="1575"/>
      <c r="E74" s="1575"/>
      <c r="F74" s="1575"/>
      <c r="G74" s="1575"/>
      <c r="H74" s="1575"/>
      <c r="I74" s="1575"/>
      <c r="J74" s="1575"/>
      <c r="K74" s="1575"/>
    </row>
    <row r="75" spans="1:11" ht="12.75" customHeight="1" thickBot="1" x14ac:dyDescent="0.25">
      <c r="A75" s="1406" t="s">
        <v>543</v>
      </c>
      <c r="B75" s="1407"/>
      <c r="C75" s="1594">
        <f>SUM(C69:C74)</f>
        <v>71138</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13838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545</v>
      </c>
      <c r="B79" s="429">
        <v>1720</v>
      </c>
      <c r="C79" s="1632">
        <v>700</v>
      </c>
      <c r="D79" s="1573">
        <v>0</v>
      </c>
      <c r="E79" s="1575"/>
      <c r="F79" s="1575"/>
      <c r="G79" s="1575"/>
      <c r="H79" s="1575"/>
      <c r="I79" s="1575"/>
      <c r="J79" s="1575"/>
      <c r="K79" s="1575"/>
    </row>
    <row r="80" spans="1:11" ht="12.75" customHeight="1" x14ac:dyDescent="0.2">
      <c r="A80" s="427" t="s">
        <v>546</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14538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23682</v>
      </c>
      <c r="D84" s="1575"/>
      <c r="E84" s="1575"/>
      <c r="F84" s="1575"/>
      <c r="G84" s="1575"/>
      <c r="H84" s="1575"/>
      <c r="I84" s="1575"/>
      <c r="J84" s="1575"/>
      <c r="K84" s="1575"/>
    </row>
    <row r="85" spans="1:11" ht="12.75" customHeight="1" x14ac:dyDescent="0.2">
      <c r="A85" s="427" t="s">
        <v>548</v>
      </c>
      <c r="B85" s="429">
        <v>1812</v>
      </c>
      <c r="C85" s="1632">
        <v>0</v>
      </c>
      <c r="D85" s="1575"/>
      <c r="E85" s="1575"/>
      <c r="F85" s="1575"/>
      <c r="G85" s="1575"/>
      <c r="H85" s="1575"/>
      <c r="I85" s="1575"/>
      <c r="J85" s="1575"/>
      <c r="K85" s="1575"/>
    </row>
    <row r="86" spans="1:11" ht="12.75" customHeight="1" x14ac:dyDescent="0.2">
      <c r="A86" s="427" t="s">
        <v>991</v>
      </c>
      <c r="B86" s="429">
        <v>1813</v>
      </c>
      <c r="C86" s="1632">
        <v>0</v>
      </c>
      <c r="D86" s="1575"/>
      <c r="E86" s="1575"/>
      <c r="F86" s="1575"/>
      <c r="G86" s="1575"/>
      <c r="H86" s="1575"/>
      <c r="I86" s="1575"/>
      <c r="J86" s="1575"/>
      <c r="K86" s="1575"/>
    </row>
    <row r="87" spans="1:11" ht="12.75" customHeight="1" x14ac:dyDescent="0.2">
      <c r="A87" s="427" t="s">
        <v>77</v>
      </c>
      <c r="B87" s="429">
        <v>1819</v>
      </c>
      <c r="C87" s="1632">
        <v>6425</v>
      </c>
      <c r="D87" s="1575"/>
      <c r="E87" s="1575"/>
      <c r="F87" s="1575"/>
      <c r="G87" s="1575"/>
      <c r="H87" s="1575"/>
      <c r="I87" s="1575"/>
      <c r="J87" s="1575"/>
      <c r="K87" s="1575"/>
    </row>
    <row r="88" spans="1:11" ht="12.75" customHeight="1" x14ac:dyDescent="0.2">
      <c r="A88" s="427" t="s">
        <v>549</v>
      </c>
      <c r="B88" s="429">
        <v>1821</v>
      </c>
      <c r="C88" s="1632">
        <v>0</v>
      </c>
      <c r="D88" s="1575"/>
      <c r="E88" s="1575"/>
      <c r="F88" s="1575"/>
      <c r="G88" s="1575"/>
      <c r="H88" s="1575"/>
      <c r="I88" s="1575"/>
      <c r="J88" s="1575"/>
      <c r="K88" s="1575"/>
    </row>
    <row r="89" spans="1:11" ht="12.75" customHeight="1" x14ac:dyDescent="0.2">
      <c r="A89" s="427" t="s">
        <v>708</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756</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30107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0</v>
      </c>
      <c r="D95" s="1632">
        <v>0</v>
      </c>
      <c r="E95" s="1617"/>
      <c r="F95" s="1617"/>
      <c r="G95" s="1617"/>
      <c r="H95" s="1617"/>
      <c r="I95" s="1617"/>
      <c r="J95" s="1617"/>
      <c r="K95" s="1617"/>
    </row>
    <row r="96" spans="1:11" ht="12.75" customHeight="1" x14ac:dyDescent="0.2">
      <c r="A96" s="427" t="s">
        <v>387</v>
      </c>
      <c r="B96" s="429">
        <v>1920</v>
      </c>
      <c r="C96" s="1632">
        <v>0</v>
      </c>
      <c r="D96" s="1632">
        <v>250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11658</v>
      </c>
      <c r="D98" s="1573">
        <v>0</v>
      </c>
      <c r="E98" s="1612"/>
      <c r="F98" s="1573">
        <v>400</v>
      </c>
      <c r="G98" s="1612"/>
      <c r="H98" s="1612"/>
      <c r="I98" s="1610"/>
      <c r="J98" s="1612"/>
      <c r="K98" s="1612"/>
    </row>
    <row r="99" spans="1:12" ht="12.75" customHeight="1" x14ac:dyDescent="0.2">
      <c r="A99" s="427" t="s">
        <v>815</v>
      </c>
      <c r="B99" s="429">
        <v>1950</v>
      </c>
      <c r="C99" s="1598">
        <v>15425</v>
      </c>
      <c r="D99" s="1573">
        <v>0</v>
      </c>
      <c r="E99" s="1573">
        <v>0</v>
      </c>
      <c r="F99" s="1573">
        <v>0</v>
      </c>
      <c r="G99" s="1573">
        <v>0</v>
      </c>
      <c r="H99" s="1573">
        <v>0</v>
      </c>
      <c r="I99" s="1575"/>
      <c r="J99" s="1574">
        <v>0</v>
      </c>
      <c r="K99" s="1573">
        <v>0</v>
      </c>
    </row>
    <row r="100" spans="1:12" ht="12.75" customHeight="1" x14ac:dyDescent="0.2">
      <c r="A100" s="427" t="s">
        <v>243</v>
      </c>
      <c r="B100" s="429">
        <v>1960</v>
      </c>
      <c r="C100" s="1598">
        <v>12000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1453</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341</v>
      </c>
      <c r="B103" s="429">
        <v>1983</v>
      </c>
      <c r="C103" s="1575"/>
      <c r="D103" s="1575"/>
      <c r="E103" s="1639">
        <v>145551</v>
      </c>
      <c r="F103" s="1575"/>
      <c r="G103" s="1575"/>
      <c r="H103" s="1598">
        <v>66437</v>
      </c>
      <c r="I103" s="1575"/>
      <c r="J103" s="1610"/>
      <c r="K103" s="1610"/>
    </row>
    <row r="104" spans="1:12" ht="12.75" customHeight="1" x14ac:dyDescent="0.2">
      <c r="A104" s="427" t="s">
        <v>824</v>
      </c>
      <c r="B104" s="429">
        <v>1991</v>
      </c>
      <c r="C104" s="1598">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40"/>
      <c r="E105" s="1575"/>
      <c r="F105" s="1575"/>
      <c r="G105" s="1575"/>
      <c r="H105" s="1610"/>
      <c r="I105" s="1575"/>
      <c r="J105" s="1575"/>
      <c r="K105" s="1575"/>
    </row>
    <row r="106" spans="1:12" ht="12.75" customHeight="1" x14ac:dyDescent="0.2">
      <c r="A106" s="427" t="s">
        <v>1412</v>
      </c>
      <c r="B106" s="429">
        <v>1993</v>
      </c>
      <c r="C106" s="1573">
        <v>0</v>
      </c>
      <c r="D106" s="1598">
        <v>0</v>
      </c>
      <c r="E106" s="1574">
        <v>0</v>
      </c>
      <c r="F106" s="1574">
        <v>8000</v>
      </c>
      <c r="G106" s="1574">
        <v>0</v>
      </c>
      <c r="H106" s="1574">
        <v>0</v>
      </c>
      <c r="I106" s="1617"/>
      <c r="J106" s="1574">
        <v>0</v>
      </c>
      <c r="K106" s="1574">
        <v>0</v>
      </c>
    </row>
    <row r="107" spans="1:12" ht="12.75" customHeight="1" x14ac:dyDescent="0.2">
      <c r="A107" s="427" t="s">
        <v>78</v>
      </c>
      <c r="B107" s="429">
        <v>1999</v>
      </c>
      <c r="C107" s="1632">
        <v>942</v>
      </c>
      <c r="D107" s="1573">
        <v>0</v>
      </c>
      <c r="E107" s="1573">
        <v>0</v>
      </c>
      <c r="F107" s="1573">
        <v>0</v>
      </c>
      <c r="G107" s="1573">
        <v>0</v>
      </c>
      <c r="H107" s="1573">
        <v>0</v>
      </c>
      <c r="I107" s="1573">
        <v>0</v>
      </c>
      <c r="J107" s="1574">
        <v>0</v>
      </c>
      <c r="K107" s="1573">
        <v>0</v>
      </c>
    </row>
    <row r="108" spans="1:12" ht="12.75" customHeight="1" thickBot="1" x14ac:dyDescent="0.25">
      <c r="A108" s="1406" t="s">
        <v>483</v>
      </c>
      <c r="B108" s="1408"/>
      <c r="C108" s="1633">
        <f>SUM(C95:C107)</f>
        <v>41478</v>
      </c>
      <c r="D108" s="1633">
        <f t="shared" ref="D108:K108" si="3">SUM(D95:D107)</f>
        <v>250</v>
      </c>
      <c r="E108" s="1633">
        <f t="shared" si="3"/>
        <v>145551</v>
      </c>
      <c r="F108" s="1633">
        <f t="shared" si="3"/>
        <v>8400</v>
      </c>
      <c r="G108" s="1633">
        <f t="shared" si="3"/>
        <v>0</v>
      </c>
      <c r="H108" s="1633">
        <f t="shared" si="3"/>
        <v>66437</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1965418</v>
      </c>
      <c r="D109" s="1641">
        <f t="shared" si="4"/>
        <v>308307</v>
      </c>
      <c r="E109" s="1641">
        <f t="shared" si="4"/>
        <v>358254</v>
      </c>
      <c r="F109" s="1641">
        <f t="shared" si="4"/>
        <v>130393</v>
      </c>
      <c r="G109" s="1641">
        <f t="shared" si="4"/>
        <v>190363</v>
      </c>
      <c r="H109" s="1641">
        <f t="shared" si="4"/>
        <v>66511</v>
      </c>
      <c r="I109" s="1641">
        <f t="shared" si="4"/>
        <v>30600</v>
      </c>
      <c r="J109" s="1641">
        <f t="shared" si="4"/>
        <v>263377</v>
      </c>
      <c r="K109" s="1629">
        <f t="shared" si="4"/>
        <v>43</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v>0</v>
      </c>
      <c r="D111" s="1586">
        <v>0</v>
      </c>
      <c r="E111" s="1640"/>
      <c r="F111" s="1586">
        <v>0</v>
      </c>
      <c r="G111" s="1586">
        <v>0</v>
      </c>
      <c r="H111" s="1640"/>
      <c r="I111" s="1575"/>
      <c r="J111" s="1575"/>
      <c r="K111" s="1575"/>
    </row>
    <row r="112" spans="1:12" ht="12.75" customHeight="1" x14ac:dyDescent="0.2">
      <c r="A112" s="427" t="s">
        <v>818</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2094247</v>
      </c>
      <c r="D117" s="1586">
        <v>137072</v>
      </c>
      <c r="E117" s="1573">
        <v>0</v>
      </c>
      <c r="F117" s="1586">
        <v>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3">
        <f t="shared" ref="C122:H122" si="5">SUM(C117:C121)</f>
        <v>2094247</v>
      </c>
      <c r="D122" s="1633">
        <f t="shared" si="5"/>
        <v>137072</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0</v>
      </c>
      <c r="D125" s="1640"/>
      <c r="E125" s="1575"/>
      <c r="F125" s="1631">
        <v>0</v>
      </c>
      <c r="G125" s="1575"/>
      <c r="H125" s="1575"/>
      <c r="I125" s="1575"/>
      <c r="J125" s="1575"/>
      <c r="K125" s="1575"/>
    </row>
    <row r="126" spans="1:11" ht="12.75" customHeight="1" x14ac:dyDescent="0.2">
      <c r="A126" s="427" t="s">
        <v>1428</v>
      </c>
      <c r="B126" s="478">
        <v>3105</v>
      </c>
      <c r="C126" s="1573">
        <v>0</v>
      </c>
      <c r="D126" s="1640"/>
      <c r="E126" s="1575"/>
      <c r="F126" s="1573">
        <v>0</v>
      </c>
      <c r="G126" s="1575"/>
      <c r="H126" s="1575"/>
      <c r="I126" s="1575"/>
      <c r="J126" s="1575"/>
      <c r="K126" s="1575"/>
    </row>
    <row r="127" spans="1:11" ht="12.75" customHeight="1" x14ac:dyDescent="0.2">
      <c r="A127" s="427" t="s">
        <v>861</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1429</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1024</v>
      </c>
      <c r="B132" s="1414"/>
      <c r="C132" s="1633">
        <f>SUM(C125:C131)</f>
        <v>0</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v>0</v>
      </c>
      <c r="D134" s="1573">
        <v>0</v>
      </c>
      <c r="E134" s="1640"/>
      <c r="F134" s="1575"/>
      <c r="G134" s="1573">
        <v>0</v>
      </c>
      <c r="H134" s="1575"/>
      <c r="I134" s="1575"/>
      <c r="J134" s="1575"/>
      <c r="K134" s="1575"/>
    </row>
    <row r="135" spans="1:11" ht="12.75" customHeight="1" x14ac:dyDescent="0.2">
      <c r="A135" s="427" t="s">
        <v>663</v>
      </c>
      <c r="B135" s="478">
        <v>3220</v>
      </c>
      <c r="C135" s="1632">
        <v>10468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595</v>
      </c>
      <c r="B137" s="478">
        <v>3235</v>
      </c>
      <c r="C137" s="1598">
        <v>14065</v>
      </c>
      <c r="D137" s="1574">
        <v>0</v>
      </c>
      <c r="E137" s="1640"/>
      <c r="F137" s="1575"/>
      <c r="G137" s="1574">
        <v>0</v>
      </c>
      <c r="H137" s="1575"/>
      <c r="I137" s="1575"/>
      <c r="J137" s="1575"/>
      <c r="K137" s="1575"/>
    </row>
    <row r="138" spans="1:11" ht="12.75" customHeight="1" x14ac:dyDescent="0.2">
      <c r="A138" s="427" t="s">
        <v>596</v>
      </c>
      <c r="B138" s="478">
        <v>3240</v>
      </c>
      <c r="C138" s="1598">
        <v>0</v>
      </c>
      <c r="D138" s="1574">
        <v>0</v>
      </c>
      <c r="E138" s="1640"/>
      <c r="F138" s="1575"/>
      <c r="G138" s="1574">
        <v>0</v>
      </c>
      <c r="H138" s="1575"/>
      <c r="I138" s="1575"/>
      <c r="J138" s="1575"/>
      <c r="K138" s="1575"/>
    </row>
    <row r="139" spans="1:11" ht="12.75" customHeight="1" x14ac:dyDescent="0.2">
      <c r="A139" s="427" t="s">
        <v>597</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598</v>
      </c>
      <c r="B141" s="1414"/>
      <c r="C141" s="1633">
        <f>SUM(C134:C140)</f>
        <v>24533</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v>0</v>
      </c>
      <c r="D143" s="1575"/>
      <c r="E143" s="1640"/>
      <c r="F143" s="1575"/>
      <c r="G143" s="1573">
        <v>0</v>
      </c>
      <c r="H143" s="1575"/>
      <c r="I143" s="1575"/>
      <c r="J143" s="1575"/>
      <c r="K143" s="1575"/>
    </row>
    <row r="144" spans="1:11" ht="12.75" customHeight="1" x14ac:dyDescent="0.2">
      <c r="A144" s="427" t="s">
        <v>343</v>
      </c>
      <c r="B144" s="478">
        <v>3310</v>
      </c>
      <c r="C144" s="1632">
        <v>0</v>
      </c>
      <c r="D144" s="1575"/>
      <c r="E144" s="1640"/>
      <c r="F144" s="1575"/>
      <c r="G144" s="1573">
        <v>0</v>
      </c>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1574</v>
      </c>
      <c r="D146" s="1647"/>
      <c r="E146" s="1609"/>
      <c r="F146" s="1575"/>
      <c r="G146" s="1648"/>
      <c r="H146" s="1575"/>
      <c r="I146" s="1575"/>
      <c r="J146" s="1575"/>
      <c r="K146" s="1575"/>
    </row>
    <row r="147" spans="1:11" ht="12.75" customHeight="1" thickBot="1" x14ac:dyDescent="0.25">
      <c r="A147" s="1269" t="s">
        <v>915</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4524</v>
      </c>
      <c r="D148" s="1649">
        <v>0</v>
      </c>
      <c r="E148" s="1609"/>
      <c r="F148" s="1575"/>
      <c r="G148" s="1575"/>
      <c r="H148" s="1575"/>
      <c r="I148" s="1575"/>
      <c r="J148" s="1575"/>
      <c r="K148" s="1575"/>
    </row>
    <row r="149" spans="1:11" ht="12.75" customHeight="1" thickTop="1" thickBot="1" x14ac:dyDescent="0.25">
      <c r="A149" s="1270" t="s">
        <v>761</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v>0</v>
      </c>
      <c r="D152" s="1573">
        <v>0</v>
      </c>
      <c r="E152" s="1640"/>
      <c r="F152" s="1573">
        <v>54909</v>
      </c>
      <c r="G152" s="1574">
        <v>0</v>
      </c>
      <c r="H152" s="1575"/>
      <c r="I152" s="1575"/>
      <c r="J152" s="1575"/>
      <c r="K152" s="1575"/>
    </row>
    <row r="153" spans="1:11" ht="12.75" customHeight="1" x14ac:dyDescent="0.2">
      <c r="A153" s="427" t="s">
        <v>1047</v>
      </c>
      <c r="B153" s="478">
        <v>3510</v>
      </c>
      <c r="C153" s="1632">
        <v>0</v>
      </c>
      <c r="D153" s="1573">
        <v>0</v>
      </c>
      <c r="E153" s="1640"/>
      <c r="F153" s="1573">
        <v>63603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118512</v>
      </c>
      <c r="G155" s="1633">
        <f>SUM(G152:G154)</f>
        <v>0</v>
      </c>
      <c r="H155" s="1575"/>
      <c r="I155" s="1575"/>
      <c r="J155" s="1575"/>
      <c r="K155" s="1575"/>
    </row>
    <row r="156" spans="1:11" ht="12.75" customHeight="1" thickTop="1" thickBot="1" x14ac:dyDescent="0.25">
      <c r="A156" s="1270" t="s">
        <v>376</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992</v>
      </c>
      <c r="B158" s="484">
        <v>3695</v>
      </c>
      <c r="C158" s="1651">
        <v>0</v>
      </c>
      <c r="D158" s="1575"/>
      <c r="E158" s="1640"/>
      <c r="F158" s="1651">
        <v>0</v>
      </c>
      <c r="G158" s="1651">
        <v>0</v>
      </c>
      <c r="H158" s="1575"/>
      <c r="I158" s="1575"/>
      <c r="J158" s="1575"/>
      <c r="K158" s="1575"/>
    </row>
    <row r="159" spans="1:11" ht="12.75" customHeight="1" thickTop="1" thickBot="1" x14ac:dyDescent="0.25">
      <c r="A159" s="1270" t="s">
        <v>1041</v>
      </c>
      <c r="B159" s="484">
        <v>3705</v>
      </c>
      <c r="C159" s="1651">
        <v>141623</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1431</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852</v>
      </c>
      <c r="B164" s="484">
        <v>3815</v>
      </c>
      <c r="C164" s="1651">
        <v>0</v>
      </c>
      <c r="D164" s="1575"/>
      <c r="E164" s="1640"/>
      <c r="F164" s="1651">
        <v>0</v>
      </c>
      <c r="G164" s="1575"/>
      <c r="H164" s="1575"/>
      <c r="I164" s="1575"/>
      <c r="J164" s="1575"/>
      <c r="K164" s="1575"/>
    </row>
    <row r="165" spans="1:11" ht="12.75" customHeight="1" thickTop="1" thickBot="1" x14ac:dyDescent="0.25">
      <c r="A165" s="1270" t="s">
        <v>393</v>
      </c>
      <c r="B165" s="484">
        <v>3825</v>
      </c>
      <c r="C165" s="1651">
        <v>0</v>
      </c>
      <c r="D165" s="1575"/>
      <c r="E165" s="1640"/>
      <c r="F165" s="1651">
        <v>0</v>
      </c>
      <c r="G165" s="1575"/>
      <c r="H165" s="1575"/>
      <c r="I165" s="1575"/>
      <c r="J165" s="1575"/>
      <c r="K165" s="1575"/>
    </row>
    <row r="166" spans="1:11" ht="12.75" customHeight="1" thickTop="1" thickBot="1" x14ac:dyDescent="0.25">
      <c r="A166" s="1270" t="s">
        <v>344</v>
      </c>
      <c r="B166" s="484">
        <v>3920</v>
      </c>
      <c r="C166" s="1645"/>
      <c r="D166" s="1653">
        <v>0</v>
      </c>
      <c r="E166" s="1575"/>
      <c r="F166" s="1645"/>
      <c r="G166" s="1575"/>
      <c r="H166" s="1626">
        <v>0</v>
      </c>
      <c r="I166" s="1575"/>
      <c r="J166" s="1575"/>
      <c r="K166" s="1575"/>
    </row>
    <row r="167" spans="1:11" ht="12.75" customHeight="1" thickTop="1" thickBot="1" x14ac:dyDescent="0.25">
      <c r="A167" s="1270" t="s">
        <v>345</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74" t="s">
        <v>394</v>
      </c>
      <c r="B169" s="2275"/>
      <c r="C169" s="1658">
        <f t="shared" ref="C169:K169" si="6">SUM(C132,C141,C145,C146:C150,C155,C156:C167,C168)</f>
        <v>173004</v>
      </c>
      <c r="D169" s="1658">
        <f t="shared" si="6"/>
        <v>0</v>
      </c>
      <c r="E169" s="1658">
        <f t="shared" si="6"/>
        <v>0</v>
      </c>
      <c r="F169" s="1658">
        <f t="shared" si="6"/>
        <v>118512</v>
      </c>
      <c r="G169" s="1658">
        <f t="shared" si="6"/>
        <v>0</v>
      </c>
      <c r="H169" s="1658">
        <f t="shared" si="6"/>
        <v>50000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2267251</v>
      </c>
      <c r="D170" s="1641">
        <f t="shared" si="7"/>
        <v>137072</v>
      </c>
      <c r="E170" s="1641">
        <f t="shared" si="7"/>
        <v>0</v>
      </c>
      <c r="F170" s="1641">
        <f t="shared" si="7"/>
        <v>118512</v>
      </c>
      <c r="G170" s="1641">
        <f t="shared" si="7"/>
        <v>0</v>
      </c>
      <c r="H170" s="1641">
        <f t="shared" si="7"/>
        <v>50000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76" t="s">
        <v>1474</v>
      </c>
      <c r="B172" s="2277"/>
      <c r="C172" s="1616"/>
      <c r="D172" s="1616"/>
      <c r="E172" s="1609"/>
      <c r="F172" s="1575"/>
      <c r="G172" s="1575"/>
      <c r="H172" s="1575"/>
      <c r="I172" s="1575"/>
      <c r="J172" s="1575"/>
      <c r="K172" s="1575"/>
    </row>
    <row r="173" spans="1:11" ht="12.6" customHeight="1" x14ac:dyDescent="0.2">
      <c r="A173" s="436" t="s">
        <v>1034</v>
      </c>
      <c r="B173" s="435">
        <v>4001</v>
      </c>
      <c r="C173" s="1613">
        <v>0</v>
      </c>
      <c r="D173" s="1586">
        <v>0</v>
      </c>
      <c r="E173" s="1574">
        <v>0</v>
      </c>
      <c r="F173" s="1573">
        <v>0</v>
      </c>
      <c r="G173" s="1573">
        <v>0</v>
      </c>
      <c r="H173" s="1574">
        <v>0</v>
      </c>
      <c r="I173" s="1574"/>
      <c r="J173" s="1574">
        <v>0</v>
      </c>
      <c r="K173" s="1574">
        <v>0</v>
      </c>
    </row>
    <row r="174" spans="1:11" ht="22.5" x14ac:dyDescent="0.2">
      <c r="A174" s="479" t="s">
        <v>799</v>
      </c>
      <c r="B174" s="485">
        <v>4009</v>
      </c>
      <c r="C174" s="1632">
        <v>0</v>
      </c>
      <c r="D174" s="1573">
        <v>0</v>
      </c>
      <c r="E174" s="1574">
        <v>0</v>
      </c>
      <c r="F174" s="1573">
        <v>0</v>
      </c>
      <c r="G174" s="1573">
        <v>0</v>
      </c>
      <c r="H174" s="1574">
        <v>0</v>
      </c>
      <c r="I174" s="1574"/>
      <c r="J174" s="1574">
        <v>0</v>
      </c>
      <c r="K174" s="1574">
        <v>0</v>
      </c>
    </row>
    <row r="175" spans="1:11" ht="13.5" thickBot="1" x14ac:dyDescent="0.25">
      <c r="A175" s="2280" t="s">
        <v>1645</v>
      </c>
      <c r="B175" s="228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4" t="s">
        <v>1644</v>
      </c>
      <c r="B176" s="2285"/>
      <c r="C176" s="1659"/>
      <c r="D176" s="1660"/>
      <c r="E176" s="1661"/>
      <c r="F176" s="1662"/>
      <c r="G176" s="1662"/>
      <c r="H176" s="1662"/>
      <c r="I176" s="1662"/>
      <c r="J176" s="1662"/>
      <c r="K176" s="1662"/>
    </row>
    <row r="177" spans="1:11" ht="12.75" customHeight="1" x14ac:dyDescent="0.2">
      <c r="A177" s="427" t="s">
        <v>1035</v>
      </c>
      <c r="B177" s="429">
        <v>4045</v>
      </c>
      <c r="C177" s="1632">
        <v>0</v>
      </c>
      <c r="D177" s="1575"/>
      <c r="E177" s="1640"/>
      <c r="F177" s="1575"/>
      <c r="G177" s="1575"/>
      <c r="H177" s="1575"/>
      <c r="I177" s="1575"/>
      <c r="J177" s="1575"/>
      <c r="K177" s="1575"/>
    </row>
    <row r="178" spans="1:11" ht="12.75" customHeight="1" x14ac:dyDescent="0.2">
      <c r="A178" s="427" t="s">
        <v>1036</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780</v>
      </c>
      <c r="B180" s="485">
        <v>4090</v>
      </c>
      <c r="C180" s="1632">
        <v>0</v>
      </c>
      <c r="D180" s="1573">
        <v>0</v>
      </c>
      <c r="E180" s="1575"/>
      <c r="F180" s="1573">
        <v>0</v>
      </c>
      <c r="G180" s="1573">
        <v>0</v>
      </c>
      <c r="H180" s="1573">
        <v>0</v>
      </c>
      <c r="I180" s="1575"/>
      <c r="J180" s="1575"/>
      <c r="K180" s="1573">
        <v>0</v>
      </c>
    </row>
    <row r="181" spans="1:11" ht="13.5" thickBot="1" x14ac:dyDescent="0.25">
      <c r="A181" s="2282" t="s">
        <v>779</v>
      </c>
      <c r="B181" s="228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8" t="s">
        <v>1779</v>
      </c>
      <c r="B182" s="2279"/>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v>0</v>
      </c>
      <c r="D190" s="1575"/>
      <c r="E190" s="1640"/>
      <c r="F190" s="1634"/>
      <c r="G190" s="1664">
        <v>0</v>
      </c>
      <c r="H190" s="1575"/>
      <c r="I190" s="1575"/>
      <c r="J190" s="1575"/>
      <c r="K190" s="1575"/>
    </row>
    <row r="191" spans="1:11" ht="12.75" customHeight="1" x14ac:dyDescent="0.2">
      <c r="A191" s="427" t="s">
        <v>1048</v>
      </c>
      <c r="B191" s="429">
        <v>4210</v>
      </c>
      <c r="C191" s="1573">
        <v>88331</v>
      </c>
      <c r="D191" s="1575"/>
      <c r="E191" s="1640"/>
      <c r="F191" s="1575"/>
      <c r="G191" s="1664">
        <v>0</v>
      </c>
      <c r="H191" s="1575"/>
      <c r="I191" s="1575"/>
      <c r="J191" s="1575"/>
      <c r="K191" s="1575"/>
    </row>
    <row r="192" spans="1:11" ht="12.75" customHeight="1" x14ac:dyDescent="0.2">
      <c r="A192" s="427" t="s">
        <v>1037</v>
      </c>
      <c r="B192" s="429">
        <v>4215</v>
      </c>
      <c r="C192" s="1632">
        <v>0</v>
      </c>
      <c r="D192" s="1575"/>
      <c r="E192" s="1640"/>
      <c r="F192" s="1575"/>
      <c r="G192" s="1664">
        <v>0</v>
      </c>
      <c r="H192" s="1575"/>
      <c r="I192" s="1575"/>
      <c r="J192" s="1575"/>
      <c r="K192" s="1575"/>
    </row>
    <row r="193" spans="1:11" ht="12.75" customHeight="1" x14ac:dyDescent="0.2">
      <c r="A193" s="427" t="s">
        <v>1049</v>
      </c>
      <c r="B193" s="429">
        <v>4220</v>
      </c>
      <c r="C193" s="1632">
        <v>19903</v>
      </c>
      <c r="D193" s="1575"/>
      <c r="E193" s="1640"/>
      <c r="F193" s="1575"/>
      <c r="G193" s="1664">
        <v>0</v>
      </c>
      <c r="H193" s="1575"/>
      <c r="I193" s="1575"/>
      <c r="J193" s="1575"/>
      <c r="K193" s="1575"/>
    </row>
    <row r="194" spans="1:11" ht="12.75" customHeight="1" x14ac:dyDescent="0.2">
      <c r="A194" s="427" t="s">
        <v>1433</v>
      </c>
      <c r="B194" s="429">
        <v>4225</v>
      </c>
      <c r="C194" s="1632">
        <v>155845</v>
      </c>
      <c r="D194" s="1575"/>
      <c r="E194" s="1640"/>
      <c r="F194" s="1575"/>
      <c r="G194" s="1664">
        <v>0</v>
      </c>
      <c r="H194" s="1575"/>
      <c r="I194" s="1575"/>
      <c r="J194" s="1575"/>
      <c r="K194" s="1575"/>
    </row>
    <row r="195" spans="1:11" ht="12.75" customHeight="1" x14ac:dyDescent="0.2">
      <c r="A195" s="427" t="s">
        <v>1434</v>
      </c>
      <c r="B195" s="429">
        <v>4226</v>
      </c>
      <c r="C195" s="1632">
        <v>0</v>
      </c>
      <c r="D195" s="1575"/>
      <c r="E195" s="1640"/>
      <c r="F195" s="1575"/>
      <c r="G195" s="1664">
        <v>0</v>
      </c>
      <c r="H195" s="1575"/>
      <c r="I195" s="1575"/>
      <c r="J195" s="1575"/>
      <c r="K195" s="1575"/>
    </row>
    <row r="196" spans="1:11" ht="12.75" customHeight="1" x14ac:dyDescent="0.2">
      <c r="A196" s="427" t="s">
        <v>786</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543</v>
      </c>
      <c r="B198" s="1407"/>
      <c r="C198" s="1594">
        <f>SUM(C190:C197)</f>
        <v>264079</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226206</v>
      </c>
      <c r="D200" s="1573">
        <v>0</v>
      </c>
      <c r="E200" s="1575"/>
      <c r="F200" s="1573">
        <v>0</v>
      </c>
      <c r="G200" s="1573">
        <v>0</v>
      </c>
      <c r="H200" s="1575"/>
      <c r="I200" s="1575"/>
      <c r="J200" s="1575"/>
      <c r="K200" s="1575"/>
    </row>
    <row r="201" spans="1:11" ht="12.75" customHeight="1" x14ac:dyDescent="0.2">
      <c r="A201" s="427" t="s">
        <v>912</v>
      </c>
      <c r="B201" s="429">
        <v>4305</v>
      </c>
      <c r="C201" s="1632">
        <v>0</v>
      </c>
      <c r="D201" s="1573">
        <v>0</v>
      </c>
      <c r="E201" s="1575"/>
      <c r="F201" s="1573">
        <v>0</v>
      </c>
      <c r="G201" s="1573">
        <v>0</v>
      </c>
      <c r="H201" s="1575"/>
      <c r="I201" s="1575"/>
      <c r="J201" s="1575"/>
      <c r="K201" s="1575"/>
    </row>
    <row r="202" spans="1:11" ht="12.75" customHeight="1" x14ac:dyDescent="0.2">
      <c r="A202" s="427" t="s">
        <v>1023</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396</v>
      </c>
      <c r="B204" s="1407"/>
      <c r="C204" s="1633">
        <f>SUM(C200:C203)</f>
        <v>226206</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0</v>
      </c>
      <c r="D206" s="1573">
        <v>0</v>
      </c>
      <c r="E206" s="1575"/>
      <c r="F206" s="1573">
        <v>0</v>
      </c>
      <c r="G206" s="1573">
        <v>0</v>
      </c>
      <c r="H206" s="1575"/>
      <c r="I206" s="1575"/>
      <c r="J206" s="1575"/>
      <c r="K206" s="1575"/>
    </row>
    <row r="207" spans="1:11" ht="12.75" customHeight="1" x14ac:dyDescent="0.2">
      <c r="A207" s="427" t="s">
        <v>1435</v>
      </c>
      <c r="B207" s="429">
        <v>4421</v>
      </c>
      <c r="C207" s="1632">
        <v>57959</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882</v>
      </c>
      <c r="B209" s="1407"/>
      <c r="C209" s="1633">
        <f>SUM(C206:C208)</f>
        <v>57959</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7573</v>
      </c>
      <c r="D211" s="1573">
        <v>0</v>
      </c>
      <c r="E211" s="1575"/>
      <c r="F211" s="1573">
        <v>0</v>
      </c>
      <c r="G211" s="1573">
        <v>0</v>
      </c>
      <c r="H211" s="1575"/>
      <c r="I211" s="1575"/>
      <c r="J211" s="1575"/>
      <c r="K211" s="1575"/>
    </row>
    <row r="212" spans="1:11" ht="12.75" customHeight="1" x14ac:dyDescent="0.2">
      <c r="A212" s="427" t="s">
        <v>1043</v>
      </c>
      <c r="B212" s="429">
        <v>4605</v>
      </c>
      <c r="C212" s="1632">
        <v>0</v>
      </c>
      <c r="D212" s="1573">
        <v>0</v>
      </c>
      <c r="E212" s="1575"/>
      <c r="F212" s="1573">
        <v>0</v>
      </c>
      <c r="G212" s="1573">
        <v>0</v>
      </c>
      <c r="H212" s="1575"/>
      <c r="I212" s="1575"/>
      <c r="J212" s="1575"/>
      <c r="K212" s="1575"/>
    </row>
    <row r="213" spans="1:11" ht="12.75" customHeight="1" x14ac:dyDescent="0.2">
      <c r="A213" s="427" t="s">
        <v>1436</v>
      </c>
      <c r="B213" s="475">
        <v>4620</v>
      </c>
      <c r="C213" s="1632">
        <v>124320</v>
      </c>
      <c r="D213" s="1573">
        <v>0</v>
      </c>
      <c r="E213" s="1575"/>
      <c r="F213" s="1573">
        <v>0</v>
      </c>
      <c r="G213" s="1573">
        <v>0</v>
      </c>
      <c r="H213" s="1575"/>
      <c r="I213" s="1575"/>
      <c r="J213" s="1575"/>
      <c r="K213" s="1575"/>
    </row>
    <row r="214" spans="1:11" ht="12.75" customHeight="1" x14ac:dyDescent="0.2">
      <c r="A214" s="427" t="s">
        <v>1044</v>
      </c>
      <c r="B214" s="429">
        <v>4625</v>
      </c>
      <c r="C214" s="1632">
        <v>0</v>
      </c>
      <c r="D214" s="1573">
        <v>0</v>
      </c>
      <c r="E214" s="1575"/>
      <c r="F214" s="1573">
        <v>0</v>
      </c>
      <c r="G214" s="1573">
        <v>0</v>
      </c>
      <c r="H214" s="1575"/>
      <c r="I214" s="1575"/>
      <c r="J214" s="1575"/>
      <c r="K214" s="1575"/>
    </row>
    <row r="215" spans="1:11" ht="12.75" customHeight="1" x14ac:dyDescent="0.2">
      <c r="A215" s="427" t="s">
        <v>1045</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443</v>
      </c>
      <c r="B217" s="1407"/>
      <c r="C217" s="1633">
        <f>SUM(C211:C216)</f>
        <v>131893</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v>0</v>
      </c>
      <c r="D222" s="1651">
        <v>0</v>
      </c>
      <c r="E222" s="1575"/>
      <c r="F222" s="1575"/>
      <c r="G222" s="1651">
        <v>0</v>
      </c>
      <c r="H222" s="1575"/>
      <c r="I222" s="1575"/>
      <c r="J222" s="1575"/>
      <c r="K222" s="1575"/>
    </row>
    <row r="223" spans="1:11" ht="12.75" customHeight="1" thickTop="1" x14ac:dyDescent="0.2">
      <c r="A223" s="436" t="s">
        <v>346</v>
      </c>
      <c r="B223" s="435">
        <v>4850</v>
      </c>
      <c r="C223" s="1598">
        <v>0</v>
      </c>
      <c r="D223" s="1574">
        <v>0</v>
      </c>
      <c r="E223" s="1574"/>
      <c r="F223" s="1574">
        <v>0</v>
      </c>
      <c r="G223" s="1574">
        <v>0</v>
      </c>
      <c r="H223" s="1574">
        <v>0</v>
      </c>
      <c r="I223" s="1575"/>
      <c r="J223" s="1574"/>
      <c r="K223" s="1574"/>
    </row>
    <row r="224" spans="1:11" ht="12.75" customHeight="1" x14ac:dyDescent="0.2">
      <c r="A224" s="436" t="s">
        <v>347</v>
      </c>
      <c r="B224" s="435">
        <v>4851</v>
      </c>
      <c r="C224" s="1598">
        <v>0</v>
      </c>
      <c r="D224" s="1574">
        <v>0</v>
      </c>
      <c r="E224" s="1575"/>
      <c r="F224" s="1579">
        <v>0</v>
      </c>
      <c r="G224" s="1574">
        <v>0</v>
      </c>
      <c r="H224" s="1575"/>
      <c r="I224" s="1575"/>
      <c r="J224" s="1575"/>
      <c r="K224" s="1575"/>
    </row>
    <row r="225" spans="1:11" ht="12.75" customHeight="1" x14ac:dyDescent="0.2">
      <c r="A225" s="436" t="s">
        <v>348</v>
      </c>
      <c r="B225" s="435">
        <v>4852</v>
      </c>
      <c r="C225" s="1598">
        <v>0</v>
      </c>
      <c r="D225" s="1574">
        <v>0</v>
      </c>
      <c r="E225" s="1574"/>
      <c r="F225" s="1574">
        <v>0</v>
      </c>
      <c r="G225" s="1574">
        <v>0</v>
      </c>
      <c r="H225" s="1574">
        <v>0</v>
      </c>
      <c r="I225" s="1575"/>
      <c r="J225" s="1574"/>
      <c r="K225" s="1574"/>
    </row>
    <row r="226" spans="1:11" ht="12.75" customHeight="1" x14ac:dyDescent="0.2">
      <c r="A226" s="436" t="s">
        <v>349</v>
      </c>
      <c r="B226" s="435">
        <v>4853</v>
      </c>
      <c r="C226" s="1598">
        <v>0</v>
      </c>
      <c r="D226" s="1574">
        <v>0</v>
      </c>
      <c r="E226" s="1574"/>
      <c r="F226" s="1574">
        <v>0</v>
      </c>
      <c r="G226" s="1574">
        <v>0</v>
      </c>
      <c r="H226" s="1574">
        <v>0</v>
      </c>
      <c r="I226" s="1575"/>
      <c r="J226" s="1574"/>
      <c r="K226" s="1574"/>
    </row>
    <row r="227" spans="1:11" ht="12.75" customHeight="1" x14ac:dyDescent="0.2">
      <c r="A227" s="436" t="s">
        <v>350</v>
      </c>
      <c r="B227" s="435">
        <v>4854</v>
      </c>
      <c r="C227" s="1598">
        <v>0</v>
      </c>
      <c r="D227" s="1574">
        <v>0</v>
      </c>
      <c r="E227" s="1574"/>
      <c r="F227" s="1574">
        <v>0</v>
      </c>
      <c r="G227" s="1574">
        <v>0</v>
      </c>
      <c r="H227" s="1574">
        <v>0</v>
      </c>
      <c r="I227" s="1575"/>
      <c r="J227" s="1574"/>
      <c r="K227" s="1574"/>
    </row>
    <row r="228" spans="1:11" ht="12.75" customHeight="1" x14ac:dyDescent="0.2">
      <c r="A228" s="436" t="s">
        <v>460</v>
      </c>
      <c r="B228" s="435">
        <v>4855</v>
      </c>
      <c r="C228" s="1598">
        <v>0</v>
      </c>
      <c r="D228" s="1574">
        <v>0</v>
      </c>
      <c r="E228" s="1574"/>
      <c r="F228" s="1574">
        <v>0</v>
      </c>
      <c r="G228" s="1574">
        <v>0</v>
      </c>
      <c r="H228" s="1574">
        <v>0</v>
      </c>
      <c r="I228" s="1575"/>
      <c r="J228" s="1574"/>
      <c r="K228" s="1574"/>
    </row>
    <row r="229" spans="1:11" ht="12.75" customHeight="1" x14ac:dyDescent="0.2">
      <c r="A229" s="436" t="s">
        <v>351</v>
      </c>
      <c r="B229" s="435">
        <v>4856</v>
      </c>
      <c r="C229" s="1598">
        <v>0</v>
      </c>
      <c r="D229" s="1574">
        <v>0</v>
      </c>
      <c r="E229" s="1574"/>
      <c r="F229" s="1574">
        <v>0</v>
      </c>
      <c r="G229" s="1574">
        <v>0</v>
      </c>
      <c r="H229" s="1574">
        <v>0</v>
      </c>
      <c r="I229" s="1575"/>
      <c r="J229" s="1574"/>
      <c r="K229" s="1574"/>
    </row>
    <row r="230" spans="1:11" ht="12.75" customHeight="1" x14ac:dyDescent="0.2">
      <c r="A230" s="436" t="s">
        <v>352</v>
      </c>
      <c r="B230" s="435">
        <v>4857</v>
      </c>
      <c r="C230" s="1598">
        <v>0</v>
      </c>
      <c r="D230" s="1574">
        <v>0</v>
      </c>
      <c r="E230" s="1574"/>
      <c r="F230" s="1574">
        <v>0</v>
      </c>
      <c r="G230" s="1574">
        <v>0</v>
      </c>
      <c r="H230" s="1574">
        <v>0</v>
      </c>
      <c r="I230" s="1575"/>
      <c r="J230" s="1574"/>
      <c r="K230" s="1574"/>
    </row>
    <row r="231" spans="1:11" ht="12.75" customHeight="1" x14ac:dyDescent="0.2">
      <c r="A231" s="436" t="s">
        <v>353</v>
      </c>
      <c r="B231" s="435">
        <v>4860</v>
      </c>
      <c r="C231" s="1598">
        <v>0</v>
      </c>
      <c r="D231" s="1574">
        <v>0</v>
      </c>
      <c r="E231" s="1574"/>
      <c r="F231" s="1574">
        <v>0</v>
      </c>
      <c r="G231" s="1574">
        <v>0</v>
      </c>
      <c r="H231" s="1574">
        <v>0</v>
      </c>
      <c r="I231" s="1575"/>
      <c r="J231" s="1574"/>
      <c r="K231" s="1574"/>
    </row>
    <row r="232" spans="1:11" ht="12.75" customHeight="1" x14ac:dyDescent="0.2">
      <c r="A232" s="436" t="s">
        <v>354</v>
      </c>
      <c r="B232" s="435">
        <v>4861</v>
      </c>
      <c r="C232" s="1598">
        <v>0</v>
      </c>
      <c r="D232" s="1574">
        <v>0</v>
      </c>
      <c r="E232" s="1574"/>
      <c r="F232" s="1574">
        <v>0</v>
      </c>
      <c r="G232" s="1574">
        <v>0</v>
      </c>
      <c r="H232" s="1574">
        <v>0</v>
      </c>
      <c r="I232" s="1575"/>
      <c r="J232" s="1574"/>
      <c r="K232" s="1574"/>
    </row>
    <row r="233" spans="1:11" ht="12.75" customHeight="1" x14ac:dyDescent="0.2">
      <c r="A233" s="436" t="s">
        <v>355</v>
      </c>
      <c r="B233" s="435">
        <v>4862</v>
      </c>
      <c r="C233" s="1598">
        <v>0</v>
      </c>
      <c r="D233" s="1574">
        <v>0</v>
      </c>
      <c r="E233" s="1580"/>
      <c r="F233" s="1574">
        <v>0</v>
      </c>
      <c r="G233" s="1574">
        <v>0</v>
      </c>
      <c r="H233" s="1580"/>
      <c r="I233" s="1575"/>
      <c r="J233" s="1580"/>
      <c r="K233" s="1580"/>
    </row>
    <row r="234" spans="1:11" ht="12.75" customHeight="1" x14ac:dyDescent="0.2">
      <c r="A234" s="436" t="s">
        <v>356</v>
      </c>
      <c r="B234" s="435">
        <v>4863</v>
      </c>
      <c r="C234" s="1598">
        <v>0</v>
      </c>
      <c r="D234" s="1574">
        <v>0</v>
      </c>
      <c r="E234" s="1575"/>
      <c r="F234" s="1580"/>
      <c r="G234" s="1623"/>
      <c r="H234" s="1575"/>
      <c r="I234" s="1575"/>
      <c r="J234" s="1575"/>
      <c r="K234" s="1575"/>
    </row>
    <row r="235" spans="1:11" ht="12.75" customHeight="1" x14ac:dyDescent="0.2">
      <c r="A235" s="436" t="s">
        <v>465</v>
      </c>
      <c r="B235" s="435">
        <v>4864</v>
      </c>
      <c r="C235" s="1598">
        <v>0</v>
      </c>
      <c r="D235" s="1574">
        <v>0</v>
      </c>
      <c r="E235" s="1574"/>
      <c r="F235" s="1574">
        <v>0</v>
      </c>
      <c r="G235" s="1574">
        <v>0</v>
      </c>
      <c r="H235" s="1574">
        <v>0</v>
      </c>
      <c r="I235" s="1575"/>
      <c r="J235" s="1574"/>
      <c r="K235" s="1574"/>
    </row>
    <row r="236" spans="1:11" ht="12.75" customHeight="1" x14ac:dyDescent="0.2">
      <c r="A236" s="436" t="s">
        <v>466</v>
      </c>
      <c r="B236" s="435">
        <v>4865</v>
      </c>
      <c r="C236" s="1598">
        <v>0</v>
      </c>
      <c r="D236" s="1574">
        <v>0</v>
      </c>
      <c r="E236" s="1574"/>
      <c r="F236" s="1574">
        <v>0</v>
      </c>
      <c r="G236" s="1574">
        <v>0</v>
      </c>
      <c r="H236" s="1574">
        <v>0</v>
      </c>
      <c r="I236" s="1575"/>
      <c r="J236" s="1574"/>
      <c r="K236" s="1574"/>
    </row>
    <row r="237" spans="1:11" ht="12.75" customHeight="1" x14ac:dyDescent="0.2">
      <c r="A237" s="436" t="s">
        <v>464</v>
      </c>
      <c r="B237" s="435">
        <v>4866</v>
      </c>
      <c r="C237" s="1598">
        <v>0</v>
      </c>
      <c r="D237" s="1574">
        <v>0</v>
      </c>
      <c r="E237" s="1574">
        <v>0</v>
      </c>
      <c r="F237" s="1574">
        <v>0</v>
      </c>
      <c r="G237" s="1574">
        <v>0</v>
      </c>
      <c r="H237" s="1574">
        <v>0</v>
      </c>
      <c r="I237" s="1575"/>
      <c r="J237" s="1574"/>
      <c r="K237" s="1574"/>
    </row>
    <row r="238" spans="1:11" ht="12.75" customHeight="1" x14ac:dyDescent="0.2">
      <c r="A238" s="436" t="s">
        <v>463</v>
      </c>
      <c r="B238" s="435">
        <v>4867</v>
      </c>
      <c r="C238" s="1598">
        <v>0</v>
      </c>
      <c r="D238" s="1574">
        <v>0</v>
      </c>
      <c r="E238" s="1574">
        <v>0</v>
      </c>
      <c r="F238" s="1574">
        <v>0</v>
      </c>
      <c r="G238" s="1574">
        <v>0</v>
      </c>
      <c r="H238" s="1574">
        <v>0</v>
      </c>
      <c r="I238" s="1575"/>
      <c r="J238" s="1574"/>
      <c r="K238" s="1574"/>
    </row>
    <row r="239" spans="1:11" ht="12.75" customHeight="1" x14ac:dyDescent="0.2">
      <c r="A239" s="436" t="s">
        <v>462</v>
      </c>
      <c r="B239" s="435">
        <v>4868</v>
      </c>
      <c r="C239" s="1598">
        <v>0</v>
      </c>
      <c r="D239" s="1574">
        <v>0</v>
      </c>
      <c r="E239" s="1574">
        <v>0</v>
      </c>
      <c r="F239" s="1574">
        <v>0</v>
      </c>
      <c r="G239" s="1574">
        <v>0</v>
      </c>
      <c r="H239" s="1574">
        <v>0</v>
      </c>
      <c r="I239" s="1575"/>
      <c r="J239" s="1574"/>
      <c r="K239" s="1574"/>
    </row>
    <row r="240" spans="1:11" ht="12.75" customHeight="1" x14ac:dyDescent="0.2">
      <c r="A240" s="436" t="s">
        <v>461</v>
      </c>
      <c r="B240" s="435">
        <v>4869</v>
      </c>
      <c r="C240" s="1598">
        <v>0</v>
      </c>
      <c r="D240" s="1574">
        <v>0</v>
      </c>
      <c r="E240" s="1574">
        <v>0</v>
      </c>
      <c r="F240" s="1574">
        <v>0</v>
      </c>
      <c r="G240" s="1574">
        <v>0</v>
      </c>
      <c r="H240" s="1574">
        <v>0</v>
      </c>
      <c r="I240" s="1575"/>
      <c r="J240" s="1574"/>
      <c r="K240" s="1574"/>
    </row>
    <row r="241" spans="1:11" ht="12.75" customHeight="1" x14ac:dyDescent="0.2">
      <c r="A241" s="436" t="s">
        <v>1117</v>
      </c>
      <c r="B241" s="435">
        <v>4870</v>
      </c>
      <c r="C241" s="1598">
        <v>0</v>
      </c>
      <c r="D241" s="1574">
        <v>0</v>
      </c>
      <c r="E241" s="1574"/>
      <c r="F241" s="1574">
        <v>0</v>
      </c>
      <c r="G241" s="1574">
        <v>0</v>
      </c>
      <c r="H241" s="1574">
        <v>0</v>
      </c>
      <c r="I241" s="1575"/>
      <c r="J241" s="1574"/>
      <c r="K241" s="1574"/>
    </row>
    <row r="242" spans="1:11" ht="12.75" customHeight="1" x14ac:dyDescent="0.2">
      <c r="A242" s="436" t="s">
        <v>782</v>
      </c>
      <c r="B242" s="435">
        <v>4871</v>
      </c>
      <c r="C242" s="1598">
        <v>0</v>
      </c>
      <c r="D242" s="1574">
        <v>0</v>
      </c>
      <c r="E242" s="1574"/>
      <c r="F242" s="1574">
        <v>0</v>
      </c>
      <c r="G242" s="1574">
        <v>0</v>
      </c>
      <c r="H242" s="1574">
        <v>0</v>
      </c>
      <c r="I242" s="1575"/>
      <c r="J242" s="1574"/>
      <c r="K242" s="1574"/>
    </row>
    <row r="243" spans="1:11" ht="12.75" customHeight="1" x14ac:dyDescent="0.2">
      <c r="A243" s="436" t="s">
        <v>783</v>
      </c>
      <c r="B243" s="435">
        <v>4872</v>
      </c>
      <c r="C243" s="1598">
        <v>0</v>
      </c>
      <c r="D243" s="1574">
        <v>0</v>
      </c>
      <c r="E243" s="1574"/>
      <c r="F243" s="1574">
        <v>0</v>
      </c>
      <c r="G243" s="1574">
        <v>0</v>
      </c>
      <c r="H243" s="1574">
        <v>0</v>
      </c>
      <c r="I243" s="1575"/>
      <c r="J243" s="1574"/>
      <c r="K243" s="1574"/>
    </row>
    <row r="244" spans="1:11" ht="12.75" customHeight="1" x14ac:dyDescent="0.2">
      <c r="A244" s="436" t="s">
        <v>784</v>
      </c>
      <c r="B244" s="435">
        <v>4873</v>
      </c>
      <c r="C244" s="1598">
        <v>0</v>
      </c>
      <c r="D244" s="1574">
        <v>0</v>
      </c>
      <c r="E244" s="1574"/>
      <c r="F244" s="1574">
        <v>0</v>
      </c>
      <c r="G244" s="1574">
        <v>0</v>
      </c>
      <c r="H244" s="1574">
        <v>0</v>
      </c>
      <c r="I244" s="1575"/>
      <c r="J244" s="1574"/>
      <c r="K244" s="1574"/>
    </row>
    <row r="245" spans="1:11" ht="12.75" customHeight="1" x14ac:dyDescent="0.2">
      <c r="A245" s="436" t="s">
        <v>785</v>
      </c>
      <c r="B245" s="435">
        <v>4874</v>
      </c>
      <c r="C245" s="1598">
        <v>0</v>
      </c>
      <c r="D245" s="1574">
        <v>0</v>
      </c>
      <c r="E245" s="1574"/>
      <c r="F245" s="1574">
        <v>0</v>
      </c>
      <c r="G245" s="1574">
        <v>0</v>
      </c>
      <c r="H245" s="1574">
        <v>0</v>
      </c>
      <c r="I245" s="1575"/>
      <c r="J245" s="1574"/>
      <c r="K245" s="1574"/>
    </row>
    <row r="246" spans="1:11" ht="12.75" customHeight="1" x14ac:dyDescent="0.2">
      <c r="A246" s="436" t="s">
        <v>467</v>
      </c>
      <c r="B246" s="435">
        <v>4875</v>
      </c>
      <c r="C246" s="1598">
        <v>0</v>
      </c>
      <c r="D246" s="1574">
        <v>0</v>
      </c>
      <c r="E246" s="1574"/>
      <c r="F246" s="1574">
        <v>0</v>
      </c>
      <c r="G246" s="1574">
        <v>0</v>
      </c>
      <c r="H246" s="1574">
        <v>0</v>
      </c>
      <c r="I246" s="1575"/>
      <c r="J246" s="1574"/>
      <c r="K246" s="1574"/>
    </row>
    <row r="247" spans="1:11" ht="12.75" customHeight="1" x14ac:dyDescent="0.2">
      <c r="A247" s="436" t="s">
        <v>764</v>
      </c>
      <c r="B247" s="435">
        <v>4876</v>
      </c>
      <c r="C247" s="1598">
        <v>0</v>
      </c>
      <c r="D247" s="1574">
        <v>0</v>
      </c>
      <c r="E247" s="1574"/>
      <c r="F247" s="1574">
        <v>0</v>
      </c>
      <c r="G247" s="1574">
        <v>0</v>
      </c>
      <c r="H247" s="1574">
        <v>0</v>
      </c>
      <c r="I247" s="1575"/>
      <c r="J247" s="1574"/>
      <c r="K247" s="1574"/>
    </row>
    <row r="248" spans="1:11" ht="12.75" customHeight="1" x14ac:dyDescent="0.2">
      <c r="A248" s="436" t="s">
        <v>765</v>
      </c>
      <c r="B248" s="435">
        <v>4877</v>
      </c>
      <c r="C248" s="1598">
        <v>0</v>
      </c>
      <c r="D248" s="1574">
        <v>0</v>
      </c>
      <c r="E248" s="1574"/>
      <c r="F248" s="1574">
        <v>0</v>
      </c>
      <c r="G248" s="1574">
        <v>0</v>
      </c>
      <c r="H248" s="1574">
        <v>0</v>
      </c>
      <c r="I248" s="1575"/>
      <c r="J248" s="1574"/>
      <c r="K248" s="1574"/>
    </row>
    <row r="249" spans="1:11" ht="12.75" customHeight="1" x14ac:dyDescent="0.2">
      <c r="A249" s="436" t="s">
        <v>766</v>
      </c>
      <c r="B249" s="435">
        <v>4878</v>
      </c>
      <c r="C249" s="1598">
        <v>0</v>
      </c>
      <c r="D249" s="1574">
        <v>0</v>
      </c>
      <c r="E249" s="1574"/>
      <c r="F249" s="1574">
        <v>0</v>
      </c>
      <c r="G249" s="1574">
        <v>0</v>
      </c>
      <c r="H249" s="1574">
        <v>0</v>
      </c>
      <c r="I249" s="1575"/>
      <c r="J249" s="1574"/>
      <c r="K249" s="1574"/>
    </row>
    <row r="250" spans="1:11" ht="12.75" customHeight="1" x14ac:dyDescent="0.2">
      <c r="A250" s="436" t="s">
        <v>767</v>
      </c>
      <c r="B250" s="435">
        <v>4879</v>
      </c>
      <c r="C250" s="1598">
        <v>0</v>
      </c>
      <c r="D250" s="1574">
        <v>0</v>
      </c>
      <c r="E250" s="1574"/>
      <c r="F250" s="1574">
        <v>0</v>
      </c>
      <c r="G250" s="1574">
        <v>0</v>
      </c>
      <c r="H250" s="1574">
        <v>0</v>
      </c>
      <c r="I250" s="1575"/>
      <c r="J250" s="1574"/>
      <c r="K250" s="1574"/>
    </row>
    <row r="251" spans="1:11" ht="12.75" customHeight="1" x14ac:dyDescent="0.2">
      <c r="A251" s="220" t="s">
        <v>1437</v>
      </c>
      <c r="B251" s="486">
        <v>4880</v>
      </c>
      <c r="C251" s="1598">
        <v>0</v>
      </c>
      <c r="D251" s="1574">
        <v>0</v>
      </c>
      <c r="E251" s="1574"/>
      <c r="F251" s="1574">
        <v>0</v>
      </c>
      <c r="G251" s="1574">
        <v>0</v>
      </c>
      <c r="H251" s="1574">
        <v>0</v>
      </c>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v>0</v>
      </c>
      <c r="D253" s="1576"/>
      <c r="E253" s="1575"/>
      <c r="F253" s="1575"/>
      <c r="G253" s="1575"/>
      <c r="H253" s="1575"/>
      <c r="I253" s="1575"/>
      <c r="J253" s="1575"/>
      <c r="K253" s="1575"/>
    </row>
    <row r="254" spans="1:11" ht="12.75" customHeight="1" thickTop="1" thickBot="1" x14ac:dyDescent="0.25">
      <c r="A254" s="1273" t="s">
        <v>1445</v>
      </c>
      <c r="B254" s="488">
        <v>4902</v>
      </c>
      <c r="C254" s="1667">
        <v>0</v>
      </c>
      <c r="D254" s="1668">
        <v>0</v>
      </c>
      <c r="E254" s="1576"/>
      <c r="F254" s="1668">
        <v>0</v>
      </c>
      <c r="G254" s="1668">
        <v>0</v>
      </c>
      <c r="H254" s="1576"/>
      <c r="I254" s="1575"/>
      <c r="J254" s="1576"/>
      <c r="K254" s="1576"/>
    </row>
    <row r="255" spans="1:11" ht="12.75" customHeight="1" thickTop="1" thickBot="1" x14ac:dyDescent="0.25">
      <c r="A255" s="427" t="s">
        <v>1438</v>
      </c>
      <c r="B255" s="429">
        <v>4905</v>
      </c>
      <c r="C255" s="1649">
        <v>0</v>
      </c>
      <c r="D255" s="1575"/>
      <c r="E255" s="1575"/>
      <c r="F255" s="1653">
        <v>0</v>
      </c>
      <c r="G255" s="1649">
        <v>0</v>
      </c>
      <c r="H255" s="1575"/>
      <c r="I255" s="1575"/>
      <c r="J255" s="1575"/>
      <c r="K255" s="1575"/>
    </row>
    <row r="256" spans="1:11" ht="12.75" customHeight="1" thickTop="1" thickBot="1" x14ac:dyDescent="0.25">
      <c r="A256" s="427" t="s">
        <v>1439</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417</v>
      </c>
      <c r="B258" s="429">
        <v>4930</v>
      </c>
      <c r="C258" s="1651">
        <v>0</v>
      </c>
      <c r="D258" s="1651">
        <v>0</v>
      </c>
      <c r="E258" s="1575"/>
      <c r="F258" s="1651">
        <v>0</v>
      </c>
      <c r="G258" s="1651">
        <v>0</v>
      </c>
      <c r="H258" s="1575"/>
      <c r="I258" s="1575"/>
      <c r="J258" s="1575"/>
      <c r="K258" s="1575"/>
    </row>
    <row r="259" spans="1:11" ht="12.75" customHeight="1" thickTop="1" thickBot="1" x14ac:dyDescent="0.25">
      <c r="A259" s="427" t="s">
        <v>752</v>
      </c>
      <c r="B259" s="429">
        <v>4932</v>
      </c>
      <c r="C259" s="1651">
        <v>0</v>
      </c>
      <c r="D259" s="1651">
        <v>0</v>
      </c>
      <c r="E259" s="1575"/>
      <c r="F259" s="1651">
        <v>0</v>
      </c>
      <c r="G259" s="1651">
        <v>0</v>
      </c>
      <c r="H259" s="1575"/>
      <c r="I259" s="1575"/>
      <c r="J259" s="1575"/>
      <c r="K259" s="1575"/>
    </row>
    <row r="260" spans="1:11" ht="12.75" customHeight="1" thickTop="1" thickBot="1" x14ac:dyDescent="0.25">
      <c r="A260" s="427" t="s">
        <v>883</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563</v>
      </c>
      <c r="B263" s="429">
        <v>4991</v>
      </c>
      <c r="C263" s="1650">
        <v>4396</v>
      </c>
      <c r="D263" s="1651">
        <v>0</v>
      </c>
      <c r="E263" s="1575"/>
      <c r="F263" s="1651">
        <v>0</v>
      </c>
      <c r="G263" s="1651">
        <v>0</v>
      </c>
      <c r="H263" s="1575"/>
      <c r="I263" s="1575"/>
      <c r="J263" s="1575"/>
      <c r="K263" s="1575"/>
    </row>
    <row r="264" spans="1:11" ht="12.75" customHeight="1" thickTop="1" thickBot="1" x14ac:dyDescent="0.25">
      <c r="A264" s="427" t="s">
        <v>373</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684533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684533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4917202</v>
      </c>
      <c r="D268" s="1641">
        <f t="shared" si="12"/>
        <v>445379</v>
      </c>
      <c r="E268" s="1641">
        <f t="shared" si="12"/>
        <v>358254</v>
      </c>
      <c r="F268" s="1641">
        <f t="shared" si="12"/>
        <v>248905</v>
      </c>
      <c r="G268" s="1641">
        <f t="shared" si="12"/>
        <v>190363</v>
      </c>
      <c r="H268" s="1641">
        <f t="shared" si="12"/>
        <v>116511</v>
      </c>
      <c r="I268" s="1641">
        <f t="shared" si="12"/>
        <v>30600</v>
      </c>
      <c r="J268" s="1641">
        <f t="shared" si="12"/>
        <v>263377</v>
      </c>
      <c r="K268" s="1629">
        <f t="shared" si="12"/>
        <v>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D57" sqref="D5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2" t="s">
        <v>293</v>
      </c>
      <c r="B3" s="2293"/>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1770997</v>
      </c>
      <c r="D5" s="1573">
        <v>460506</v>
      </c>
      <c r="E5" s="1573">
        <v>34857</v>
      </c>
      <c r="F5" s="1573">
        <v>58858</v>
      </c>
      <c r="G5" s="1573">
        <v>799</v>
      </c>
      <c r="H5" s="1573">
        <v>8038</v>
      </c>
      <c r="I5" s="1574">
        <v>0</v>
      </c>
      <c r="J5" s="1574">
        <v>0</v>
      </c>
      <c r="K5" s="1672">
        <f>SUM(C5:J5)</f>
        <v>2334055</v>
      </c>
      <c r="L5" s="1573">
        <v>2446964</v>
      </c>
    </row>
    <row r="6" spans="1:14" x14ac:dyDescent="0.2">
      <c r="A6" s="1274" t="s">
        <v>1415</v>
      </c>
      <c r="B6" s="503" t="s">
        <v>1413</v>
      </c>
      <c r="C6" s="1582"/>
      <c r="D6" s="1582"/>
      <c r="E6" s="1573">
        <v>0</v>
      </c>
      <c r="F6" s="1582"/>
      <c r="G6" s="1582"/>
      <c r="H6" s="1582"/>
      <c r="I6" s="1582"/>
      <c r="J6" s="1582"/>
      <c r="K6" s="1672">
        <f>SUM(C6,E6)</f>
        <v>0</v>
      </c>
      <c r="L6" s="1573">
        <v>0</v>
      </c>
    </row>
    <row r="7" spans="1:14" x14ac:dyDescent="0.2">
      <c r="A7" s="1274" t="s">
        <v>162</v>
      </c>
      <c r="B7" s="503" t="s">
        <v>960</v>
      </c>
      <c r="C7" s="1574">
        <v>75323</v>
      </c>
      <c r="D7" s="1574">
        <v>20356</v>
      </c>
      <c r="E7" s="1574">
        <v>5815</v>
      </c>
      <c r="F7" s="1574">
        <v>11294</v>
      </c>
      <c r="G7" s="1574">
        <v>5550</v>
      </c>
      <c r="H7" s="1574">
        <v>0</v>
      </c>
      <c r="I7" s="1574">
        <v>0</v>
      </c>
      <c r="J7" s="1574">
        <v>0</v>
      </c>
      <c r="K7" s="1672">
        <f t="shared" ref="K7:K32" si="0">SUM(C7:J7)</f>
        <v>118338</v>
      </c>
      <c r="L7" s="1573">
        <v>120850</v>
      </c>
    </row>
    <row r="8" spans="1:14" x14ac:dyDescent="0.2">
      <c r="A8" s="1274" t="s">
        <v>163</v>
      </c>
      <c r="B8" s="503">
        <v>1200</v>
      </c>
      <c r="C8" s="1573">
        <v>129935</v>
      </c>
      <c r="D8" s="1573">
        <v>42083</v>
      </c>
      <c r="E8" s="1573">
        <v>0</v>
      </c>
      <c r="F8" s="1573">
        <v>0</v>
      </c>
      <c r="G8" s="1573">
        <v>0</v>
      </c>
      <c r="H8" s="1573">
        <v>0</v>
      </c>
      <c r="I8" s="1574">
        <v>0</v>
      </c>
      <c r="J8" s="1574">
        <v>0</v>
      </c>
      <c r="K8" s="1672">
        <f t="shared" si="0"/>
        <v>172018</v>
      </c>
      <c r="L8" s="1573">
        <v>176700</v>
      </c>
    </row>
    <row r="9" spans="1:14" x14ac:dyDescent="0.2">
      <c r="A9" s="1274" t="s">
        <v>715</v>
      </c>
      <c r="B9" s="503" t="s">
        <v>961</v>
      </c>
      <c r="C9" s="1574">
        <v>0</v>
      </c>
      <c r="D9" s="1574">
        <v>0</v>
      </c>
      <c r="E9" s="1574">
        <v>0</v>
      </c>
      <c r="F9" s="1574">
        <v>0</v>
      </c>
      <c r="G9" s="1574">
        <v>0</v>
      </c>
      <c r="H9" s="1574">
        <v>0</v>
      </c>
      <c r="I9" s="1574">
        <v>0</v>
      </c>
      <c r="J9" s="1574">
        <v>0</v>
      </c>
      <c r="K9" s="1672">
        <f t="shared" si="0"/>
        <v>0</v>
      </c>
      <c r="L9" s="1573">
        <v>0</v>
      </c>
    </row>
    <row r="10" spans="1:14" x14ac:dyDescent="0.2">
      <c r="A10" s="1274" t="s">
        <v>716</v>
      </c>
      <c r="B10" s="503">
        <v>1250</v>
      </c>
      <c r="C10" s="1573">
        <v>91555</v>
      </c>
      <c r="D10" s="1573">
        <v>28736</v>
      </c>
      <c r="E10" s="1573">
        <v>37193</v>
      </c>
      <c r="F10" s="1573">
        <v>11110</v>
      </c>
      <c r="G10" s="1573">
        <v>0</v>
      </c>
      <c r="H10" s="1573">
        <v>0</v>
      </c>
      <c r="I10" s="1574">
        <v>0</v>
      </c>
      <c r="J10" s="1574">
        <v>0</v>
      </c>
      <c r="K10" s="1672">
        <f t="shared" si="0"/>
        <v>168594</v>
      </c>
      <c r="L10" s="1573">
        <v>170255</v>
      </c>
    </row>
    <row r="11" spans="1:14" x14ac:dyDescent="0.2">
      <c r="A11" s="1274" t="s">
        <v>1119</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717</v>
      </c>
      <c r="B13" s="503">
        <v>1400</v>
      </c>
      <c r="C13" s="1573">
        <v>83373</v>
      </c>
      <c r="D13" s="1573">
        <v>25237</v>
      </c>
      <c r="E13" s="1573">
        <v>0</v>
      </c>
      <c r="F13" s="1573">
        <v>16290</v>
      </c>
      <c r="G13" s="1573">
        <v>0</v>
      </c>
      <c r="H13" s="1573">
        <v>20</v>
      </c>
      <c r="I13" s="1574">
        <v>0</v>
      </c>
      <c r="J13" s="1574">
        <v>0</v>
      </c>
      <c r="K13" s="1672">
        <f t="shared" si="0"/>
        <v>124920</v>
      </c>
      <c r="L13" s="1573">
        <v>132333</v>
      </c>
    </row>
    <row r="14" spans="1:14" x14ac:dyDescent="0.2">
      <c r="A14" s="1274" t="s">
        <v>956</v>
      </c>
      <c r="B14" s="503">
        <v>1500</v>
      </c>
      <c r="C14" s="1573">
        <v>106102</v>
      </c>
      <c r="D14" s="1573">
        <v>1532</v>
      </c>
      <c r="E14" s="1573">
        <v>24491</v>
      </c>
      <c r="F14" s="1573">
        <v>20219</v>
      </c>
      <c r="G14" s="1573">
        <v>9101</v>
      </c>
      <c r="H14" s="1573">
        <v>12073</v>
      </c>
      <c r="I14" s="1574">
        <v>0</v>
      </c>
      <c r="J14" s="1574">
        <v>0</v>
      </c>
      <c r="K14" s="1672">
        <f t="shared" si="0"/>
        <v>173518</v>
      </c>
      <c r="L14" s="1573">
        <v>199635</v>
      </c>
    </row>
    <row r="15" spans="1:14" x14ac:dyDescent="0.2">
      <c r="A15" s="1274" t="s">
        <v>957</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979</v>
      </c>
      <c r="B16" s="503" t="s">
        <v>420</v>
      </c>
      <c r="C16" s="1573">
        <v>0</v>
      </c>
      <c r="D16" s="1573">
        <v>0</v>
      </c>
      <c r="E16" s="1573">
        <v>0</v>
      </c>
      <c r="F16" s="1573">
        <v>0</v>
      </c>
      <c r="G16" s="1573">
        <v>0</v>
      </c>
      <c r="H16" s="1573">
        <v>0</v>
      </c>
      <c r="I16" s="1574">
        <v>0</v>
      </c>
      <c r="J16" s="1574">
        <v>0</v>
      </c>
      <c r="K16" s="1672">
        <f t="shared" si="0"/>
        <v>0</v>
      </c>
      <c r="L16" s="1573">
        <v>0</v>
      </c>
    </row>
    <row r="17" spans="1:12" x14ac:dyDescent="0.2">
      <c r="A17" s="1274" t="s">
        <v>718</v>
      </c>
      <c r="B17" s="503" t="s">
        <v>161</v>
      </c>
      <c r="C17" s="1574">
        <v>22852</v>
      </c>
      <c r="D17" s="1574">
        <v>0</v>
      </c>
      <c r="E17" s="1574">
        <v>0</v>
      </c>
      <c r="F17" s="1574">
        <v>0</v>
      </c>
      <c r="G17" s="1574">
        <v>0</v>
      </c>
      <c r="H17" s="1574">
        <v>0</v>
      </c>
      <c r="I17" s="1574">
        <v>0</v>
      </c>
      <c r="J17" s="1574">
        <v>0</v>
      </c>
      <c r="K17" s="1672">
        <f t="shared" si="0"/>
        <v>22852</v>
      </c>
      <c r="L17" s="1573">
        <v>24300</v>
      </c>
    </row>
    <row r="18" spans="1:12" x14ac:dyDescent="0.2">
      <c r="A18" s="1274" t="s">
        <v>1077</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732</v>
      </c>
      <c r="B20" s="494" t="s">
        <v>719</v>
      </c>
      <c r="C20" s="1582"/>
      <c r="D20" s="1582"/>
      <c r="E20" s="1582"/>
      <c r="F20" s="1582"/>
      <c r="G20" s="1582"/>
      <c r="H20" s="1579">
        <v>0</v>
      </c>
      <c r="I20" s="1673"/>
      <c r="J20" s="1580"/>
      <c r="K20" s="1672">
        <f t="shared" si="0"/>
        <v>0</v>
      </c>
      <c r="L20" s="1577">
        <v>0</v>
      </c>
    </row>
    <row r="21" spans="1:12" x14ac:dyDescent="0.2">
      <c r="A21" s="1275" t="s">
        <v>733</v>
      </c>
      <c r="B21" s="494" t="s">
        <v>720</v>
      </c>
      <c r="C21" s="1582"/>
      <c r="D21" s="1582"/>
      <c r="E21" s="1582"/>
      <c r="F21" s="1582"/>
      <c r="G21" s="1582"/>
      <c r="H21" s="1579">
        <v>0</v>
      </c>
      <c r="I21" s="1673"/>
      <c r="J21" s="1582"/>
      <c r="K21" s="1672">
        <f t="shared" si="0"/>
        <v>0</v>
      </c>
      <c r="L21" s="1577">
        <v>0</v>
      </c>
    </row>
    <row r="22" spans="1:12" x14ac:dyDescent="0.2">
      <c r="A22" s="1275" t="s">
        <v>734</v>
      </c>
      <c r="B22" s="494" t="s">
        <v>721</v>
      </c>
      <c r="C22" s="1582"/>
      <c r="D22" s="1582"/>
      <c r="E22" s="1582"/>
      <c r="F22" s="1582"/>
      <c r="G22" s="1582"/>
      <c r="H22" s="1579">
        <v>0</v>
      </c>
      <c r="I22" s="1673"/>
      <c r="J22" s="1582"/>
      <c r="K22" s="1672">
        <f t="shared" si="0"/>
        <v>0</v>
      </c>
      <c r="L22" s="1577">
        <v>0</v>
      </c>
    </row>
    <row r="23" spans="1:12" x14ac:dyDescent="0.2">
      <c r="A23" s="1275" t="s">
        <v>735</v>
      </c>
      <c r="B23" s="494" t="s">
        <v>722</v>
      </c>
      <c r="C23" s="1582"/>
      <c r="D23" s="1582"/>
      <c r="E23" s="1582"/>
      <c r="F23" s="1582"/>
      <c r="G23" s="1582"/>
      <c r="H23" s="1579">
        <v>0</v>
      </c>
      <c r="I23" s="1673"/>
      <c r="J23" s="1582"/>
      <c r="K23" s="1672">
        <f t="shared" si="0"/>
        <v>0</v>
      </c>
      <c r="L23" s="1577">
        <v>0</v>
      </c>
    </row>
    <row r="24" spans="1:12" ht="12.75" customHeight="1" x14ac:dyDescent="0.2">
      <c r="A24" s="1275" t="s">
        <v>736</v>
      </c>
      <c r="B24" s="494" t="s">
        <v>723</v>
      </c>
      <c r="C24" s="1582"/>
      <c r="D24" s="1582"/>
      <c r="E24" s="1582"/>
      <c r="F24" s="1582"/>
      <c r="G24" s="1582"/>
      <c r="H24" s="1579">
        <v>0</v>
      </c>
      <c r="I24" s="1673"/>
      <c r="J24" s="1582"/>
      <c r="K24" s="1672">
        <f t="shared" si="0"/>
        <v>0</v>
      </c>
      <c r="L24" s="1577">
        <v>0</v>
      </c>
    </row>
    <row r="25" spans="1:12" ht="12.75" customHeight="1" x14ac:dyDescent="0.2">
      <c r="A25" s="1275" t="s">
        <v>796</v>
      </c>
      <c r="B25" s="494" t="s">
        <v>724</v>
      </c>
      <c r="C25" s="1582"/>
      <c r="D25" s="1582"/>
      <c r="E25" s="1582"/>
      <c r="F25" s="1582"/>
      <c r="G25" s="1582"/>
      <c r="H25" s="1579">
        <v>0</v>
      </c>
      <c r="I25" s="1673"/>
      <c r="J25" s="1582"/>
      <c r="K25" s="1672">
        <f t="shared" si="0"/>
        <v>0</v>
      </c>
      <c r="L25" s="1577">
        <v>0</v>
      </c>
    </row>
    <row r="26" spans="1:12" x14ac:dyDescent="0.2">
      <c r="A26" s="1275" t="s">
        <v>617</v>
      </c>
      <c r="B26" s="494" t="s">
        <v>725</v>
      </c>
      <c r="C26" s="1582"/>
      <c r="D26" s="1582"/>
      <c r="E26" s="1582"/>
      <c r="F26" s="1582"/>
      <c r="G26" s="1582"/>
      <c r="H26" s="1579">
        <v>0</v>
      </c>
      <c r="I26" s="1673"/>
      <c r="J26" s="1582"/>
      <c r="K26" s="1672">
        <f t="shared" si="0"/>
        <v>0</v>
      </c>
      <c r="L26" s="1577">
        <v>0</v>
      </c>
    </row>
    <row r="27" spans="1:12" x14ac:dyDescent="0.2">
      <c r="A27" s="1275" t="s">
        <v>618</v>
      </c>
      <c r="B27" s="494" t="s">
        <v>726</v>
      </c>
      <c r="C27" s="1582"/>
      <c r="D27" s="1582"/>
      <c r="E27" s="1582"/>
      <c r="F27" s="1582"/>
      <c r="G27" s="1582"/>
      <c r="H27" s="1579">
        <v>0</v>
      </c>
      <c r="I27" s="1673"/>
      <c r="J27" s="1582"/>
      <c r="K27" s="1672">
        <f t="shared" si="0"/>
        <v>0</v>
      </c>
      <c r="L27" s="1577">
        <v>0</v>
      </c>
    </row>
    <row r="28" spans="1:12" x14ac:dyDescent="0.2">
      <c r="A28" s="1275" t="s">
        <v>149</v>
      </c>
      <c r="B28" s="494" t="s">
        <v>727</v>
      </c>
      <c r="C28" s="1582"/>
      <c r="D28" s="1582"/>
      <c r="E28" s="1582"/>
      <c r="F28" s="1582"/>
      <c r="G28" s="1582"/>
      <c r="H28" s="1579">
        <v>0</v>
      </c>
      <c r="I28" s="1673"/>
      <c r="J28" s="1582"/>
      <c r="K28" s="1672">
        <f t="shared" si="0"/>
        <v>0</v>
      </c>
      <c r="L28" s="1577">
        <v>0</v>
      </c>
    </row>
    <row r="29" spans="1:12" x14ac:dyDescent="0.2">
      <c r="A29" s="1275" t="s">
        <v>150</v>
      </c>
      <c r="B29" s="494" t="s">
        <v>728</v>
      </c>
      <c r="C29" s="1582"/>
      <c r="D29" s="1582"/>
      <c r="E29" s="1582"/>
      <c r="F29" s="1582"/>
      <c r="G29" s="1582"/>
      <c r="H29" s="1579">
        <v>0</v>
      </c>
      <c r="I29" s="1673"/>
      <c r="J29" s="1582"/>
      <c r="K29" s="1672">
        <f t="shared" si="0"/>
        <v>0</v>
      </c>
      <c r="L29" s="1577">
        <v>0</v>
      </c>
    </row>
    <row r="30" spans="1:12" x14ac:dyDescent="0.2">
      <c r="A30" s="1275" t="s">
        <v>151</v>
      </c>
      <c r="B30" s="494" t="s">
        <v>729</v>
      </c>
      <c r="C30" s="1582"/>
      <c r="D30" s="1582"/>
      <c r="E30" s="1582"/>
      <c r="F30" s="1582"/>
      <c r="G30" s="1582"/>
      <c r="H30" s="1579">
        <v>0</v>
      </c>
      <c r="I30" s="1673"/>
      <c r="J30" s="1582"/>
      <c r="K30" s="1672">
        <f t="shared" si="0"/>
        <v>0</v>
      </c>
      <c r="L30" s="1577">
        <v>0</v>
      </c>
    </row>
    <row r="31" spans="1:12" x14ac:dyDescent="0.2">
      <c r="A31" s="1275" t="s">
        <v>152</v>
      </c>
      <c r="B31" s="494" t="s">
        <v>730</v>
      </c>
      <c r="C31" s="1582"/>
      <c r="D31" s="1582"/>
      <c r="E31" s="1582"/>
      <c r="F31" s="1582"/>
      <c r="G31" s="1582"/>
      <c r="H31" s="1579">
        <v>0</v>
      </c>
      <c r="I31" s="1673"/>
      <c r="J31" s="1582"/>
      <c r="K31" s="1672">
        <f t="shared" si="0"/>
        <v>0</v>
      </c>
      <c r="L31" s="1577">
        <v>0</v>
      </c>
    </row>
    <row r="32" spans="1:12" x14ac:dyDescent="0.2">
      <c r="A32" s="1276" t="s">
        <v>1118</v>
      </c>
      <c r="B32" s="503" t="s">
        <v>731</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565</v>
      </c>
      <c r="C33" s="1674">
        <f>SUM(C5:C32)</f>
        <v>2280137</v>
      </c>
      <c r="D33" s="1674">
        <f t="shared" ref="D33:L33" si="1">SUM(D5:D32)</f>
        <v>578450</v>
      </c>
      <c r="E33" s="1674">
        <f t="shared" si="1"/>
        <v>102356</v>
      </c>
      <c r="F33" s="1674">
        <f t="shared" si="1"/>
        <v>117771</v>
      </c>
      <c r="G33" s="1674">
        <f t="shared" si="1"/>
        <v>15450</v>
      </c>
      <c r="H33" s="1674">
        <f t="shared" si="1"/>
        <v>20131</v>
      </c>
      <c r="I33" s="1674">
        <f t="shared" si="1"/>
        <v>0</v>
      </c>
      <c r="J33" s="1674">
        <f t="shared" si="1"/>
        <v>0</v>
      </c>
      <c r="K33" s="1674">
        <f t="shared" si="1"/>
        <v>3114295</v>
      </c>
      <c r="L33" s="1674">
        <f t="shared" si="1"/>
        <v>3271037</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1080</v>
      </c>
      <c r="B37" s="503">
        <v>2120</v>
      </c>
      <c r="C37" s="1573">
        <v>45202</v>
      </c>
      <c r="D37" s="1573">
        <v>12623</v>
      </c>
      <c r="E37" s="1573">
        <v>0</v>
      </c>
      <c r="F37" s="1573">
        <v>0</v>
      </c>
      <c r="G37" s="1573">
        <v>0</v>
      </c>
      <c r="H37" s="1573">
        <v>0</v>
      </c>
      <c r="I37" s="1574">
        <v>0</v>
      </c>
      <c r="J37" s="1574">
        <v>0</v>
      </c>
      <c r="K37" s="1672">
        <f t="shared" si="2"/>
        <v>57825</v>
      </c>
      <c r="L37" s="1573">
        <v>59040</v>
      </c>
    </row>
    <row r="38" spans="1:14" x14ac:dyDescent="0.2">
      <c r="A38" s="1274" t="s">
        <v>196</v>
      </c>
      <c r="B38" s="503">
        <v>2130</v>
      </c>
      <c r="C38" s="1573">
        <v>0</v>
      </c>
      <c r="D38" s="1573">
        <v>0</v>
      </c>
      <c r="E38" s="1573">
        <v>130</v>
      </c>
      <c r="F38" s="1573">
        <v>1337</v>
      </c>
      <c r="G38" s="1573">
        <v>0</v>
      </c>
      <c r="H38" s="1573">
        <v>0</v>
      </c>
      <c r="I38" s="1573">
        <v>0</v>
      </c>
      <c r="J38" s="1573">
        <v>0</v>
      </c>
      <c r="K38" s="1672">
        <f t="shared" si="2"/>
        <v>1467</v>
      </c>
      <c r="L38" s="1573">
        <v>1600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555</v>
      </c>
      <c r="B42" s="1381" t="s">
        <v>710</v>
      </c>
      <c r="C42" s="1674">
        <f>SUM(C36:C41)</f>
        <v>45202</v>
      </c>
      <c r="D42" s="1674">
        <f t="shared" ref="D42:L42" si="3">SUM(D36:D41)</f>
        <v>12623</v>
      </c>
      <c r="E42" s="1674">
        <f t="shared" si="3"/>
        <v>130</v>
      </c>
      <c r="F42" s="1674">
        <f t="shared" si="3"/>
        <v>1337</v>
      </c>
      <c r="G42" s="1674">
        <f t="shared" si="3"/>
        <v>0</v>
      </c>
      <c r="H42" s="1674">
        <f t="shared" si="3"/>
        <v>0</v>
      </c>
      <c r="I42" s="1674">
        <f t="shared" si="3"/>
        <v>0</v>
      </c>
      <c r="J42" s="1674">
        <f t="shared" si="3"/>
        <v>0</v>
      </c>
      <c r="K42" s="1674">
        <f t="shared" si="3"/>
        <v>59292</v>
      </c>
      <c r="L42" s="1674">
        <f t="shared" si="3"/>
        <v>60640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2451</v>
      </c>
      <c r="D44" s="1586">
        <v>516</v>
      </c>
      <c r="E44" s="1586">
        <v>0</v>
      </c>
      <c r="F44" s="1586">
        <v>0</v>
      </c>
      <c r="G44" s="1586">
        <v>0</v>
      </c>
      <c r="H44" s="1586">
        <v>0</v>
      </c>
      <c r="I44" s="1574">
        <v>0</v>
      </c>
      <c r="J44" s="1574">
        <v>0</v>
      </c>
      <c r="K44" s="1678">
        <f>SUM(C44:J44)</f>
        <v>2967</v>
      </c>
      <c r="L44" s="1586">
        <v>3400</v>
      </c>
    </row>
    <row r="45" spans="1:14" x14ac:dyDescent="0.2">
      <c r="A45" s="1274" t="s">
        <v>809</v>
      </c>
      <c r="B45" s="503">
        <v>2220</v>
      </c>
      <c r="C45" s="1573">
        <v>125958</v>
      </c>
      <c r="D45" s="1573">
        <v>25174</v>
      </c>
      <c r="E45" s="1573">
        <v>36942</v>
      </c>
      <c r="F45" s="1573">
        <v>22795</v>
      </c>
      <c r="G45" s="1573">
        <v>106749</v>
      </c>
      <c r="H45" s="1573">
        <v>154</v>
      </c>
      <c r="I45" s="1574">
        <v>0</v>
      </c>
      <c r="J45" s="1574">
        <v>0</v>
      </c>
      <c r="K45" s="1678">
        <f>SUM(C45:J45)</f>
        <v>317772</v>
      </c>
      <c r="L45" s="1573">
        <v>327650</v>
      </c>
    </row>
    <row r="46" spans="1:14" x14ac:dyDescent="0.2">
      <c r="A46" s="1274" t="s">
        <v>810</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556</v>
      </c>
      <c r="B47" s="1381" t="s">
        <v>32</v>
      </c>
      <c r="C47" s="1674">
        <f>SUM(C44:C46)</f>
        <v>128409</v>
      </c>
      <c r="D47" s="1674">
        <f t="shared" ref="D47:K47" si="4">SUM(D44:D46)</f>
        <v>25690</v>
      </c>
      <c r="E47" s="1674">
        <f t="shared" si="4"/>
        <v>36942</v>
      </c>
      <c r="F47" s="1674">
        <f t="shared" si="4"/>
        <v>22795</v>
      </c>
      <c r="G47" s="1674">
        <f t="shared" si="4"/>
        <v>106749</v>
      </c>
      <c r="H47" s="1674">
        <f t="shared" si="4"/>
        <v>154</v>
      </c>
      <c r="I47" s="1674">
        <f t="shared" si="4"/>
        <v>0</v>
      </c>
      <c r="J47" s="1674">
        <f t="shared" si="4"/>
        <v>0</v>
      </c>
      <c r="K47" s="1674">
        <f t="shared" si="4"/>
        <v>320739</v>
      </c>
      <c r="L47" s="1674">
        <f>SUM(L44:L46)</f>
        <v>331050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0</v>
      </c>
      <c r="D49" s="1586">
        <v>0</v>
      </c>
      <c r="E49" s="1586">
        <v>15630</v>
      </c>
      <c r="F49" s="1586">
        <v>280</v>
      </c>
      <c r="G49" s="1586">
        <v>0</v>
      </c>
      <c r="H49" s="1586">
        <v>4957</v>
      </c>
      <c r="I49" s="1574">
        <v>0</v>
      </c>
      <c r="J49" s="1574">
        <v>0</v>
      </c>
      <c r="K49" s="1678">
        <f>SUM(C49:J49)</f>
        <v>20867</v>
      </c>
      <c r="L49" s="1586">
        <v>24500</v>
      </c>
    </row>
    <row r="50" spans="1:14" x14ac:dyDescent="0.2">
      <c r="A50" s="1274" t="s">
        <v>812</v>
      </c>
      <c r="B50" s="503">
        <v>2320</v>
      </c>
      <c r="C50" s="1574">
        <v>144776</v>
      </c>
      <c r="D50" s="1573">
        <v>52999</v>
      </c>
      <c r="E50" s="1573">
        <v>2092</v>
      </c>
      <c r="F50" s="1573">
        <v>328</v>
      </c>
      <c r="G50" s="1573">
        <v>0</v>
      </c>
      <c r="H50" s="1573">
        <v>490</v>
      </c>
      <c r="I50" s="1574">
        <v>0</v>
      </c>
      <c r="J50" s="1574">
        <v>0</v>
      </c>
      <c r="K50" s="1678">
        <f>SUM(C50:J50)</f>
        <v>200685</v>
      </c>
      <c r="L50" s="1573">
        <v>202350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711</v>
      </c>
      <c r="B53" s="1381" t="s">
        <v>33</v>
      </c>
      <c r="C53" s="1674">
        <f>SUM(C49:C52)</f>
        <v>144776</v>
      </c>
      <c r="D53" s="1674">
        <f t="shared" ref="D53:L53" si="5">SUM(D49:D52)</f>
        <v>52999</v>
      </c>
      <c r="E53" s="1674">
        <f t="shared" si="5"/>
        <v>17722</v>
      </c>
      <c r="F53" s="1674">
        <f t="shared" si="5"/>
        <v>608</v>
      </c>
      <c r="G53" s="1674">
        <f t="shared" si="5"/>
        <v>0</v>
      </c>
      <c r="H53" s="1674">
        <f t="shared" si="5"/>
        <v>5447</v>
      </c>
      <c r="I53" s="1674">
        <f t="shared" si="5"/>
        <v>0</v>
      </c>
      <c r="J53" s="1674">
        <f t="shared" si="5"/>
        <v>0</v>
      </c>
      <c r="K53" s="1674">
        <f t="shared" si="5"/>
        <v>221552</v>
      </c>
      <c r="L53" s="1674">
        <f t="shared" si="5"/>
        <v>226850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192453</v>
      </c>
      <c r="D55" s="1586">
        <v>47589</v>
      </c>
      <c r="E55" s="1586">
        <v>494</v>
      </c>
      <c r="F55" s="1586">
        <v>4270</v>
      </c>
      <c r="G55" s="1586">
        <v>0</v>
      </c>
      <c r="H55" s="1586">
        <v>0</v>
      </c>
      <c r="I55" s="1574">
        <v>0</v>
      </c>
      <c r="J55" s="1574">
        <v>0</v>
      </c>
      <c r="K55" s="1678">
        <f>SUM(C55:J55)</f>
        <v>244806</v>
      </c>
      <c r="L55" s="1586">
        <v>248010</v>
      </c>
    </row>
    <row r="56" spans="1:14" ht="12.75" customHeight="1" x14ac:dyDescent="0.2">
      <c r="A56" s="1278" t="s">
        <v>372</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192453</v>
      </c>
      <c r="D57" s="1679">
        <f t="shared" ref="D57:K57" si="6">SUM(D55:D56)</f>
        <v>47589</v>
      </c>
      <c r="E57" s="1679">
        <f t="shared" si="6"/>
        <v>494</v>
      </c>
      <c r="F57" s="1679">
        <f t="shared" si="6"/>
        <v>4270</v>
      </c>
      <c r="G57" s="1679">
        <f t="shared" si="6"/>
        <v>0</v>
      </c>
      <c r="H57" s="1679">
        <f t="shared" si="6"/>
        <v>0</v>
      </c>
      <c r="I57" s="1679">
        <f t="shared" si="6"/>
        <v>0</v>
      </c>
      <c r="J57" s="1679">
        <f t="shared" si="6"/>
        <v>0</v>
      </c>
      <c r="K57" s="1679">
        <f t="shared" si="6"/>
        <v>244806</v>
      </c>
      <c r="L57" s="1674">
        <f>SUM(L55:L56)</f>
        <v>248010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459</v>
      </c>
      <c r="B60" s="503">
        <v>2520</v>
      </c>
      <c r="C60" s="1573">
        <v>50966</v>
      </c>
      <c r="D60" s="1573">
        <v>8718</v>
      </c>
      <c r="E60" s="1573">
        <v>6404</v>
      </c>
      <c r="F60" s="1573">
        <v>2463</v>
      </c>
      <c r="G60" s="1573">
        <v>0</v>
      </c>
      <c r="H60" s="1573">
        <v>295</v>
      </c>
      <c r="I60" s="1574">
        <v>0</v>
      </c>
      <c r="J60" s="1574">
        <v>0</v>
      </c>
      <c r="K60" s="1678">
        <f t="shared" si="7"/>
        <v>68846</v>
      </c>
      <c r="L60" s="1573">
        <v>69926</v>
      </c>
      <c r="M60" s="501"/>
      <c r="N60" s="501"/>
    </row>
    <row r="61" spans="1:14" s="321" customFormat="1" x14ac:dyDescent="0.2">
      <c r="A61" s="1274" t="s">
        <v>195</v>
      </c>
      <c r="B61" s="503">
        <v>2540</v>
      </c>
      <c r="C61" s="1573">
        <v>0</v>
      </c>
      <c r="D61" s="1573">
        <v>0</v>
      </c>
      <c r="E61" s="1573">
        <v>0</v>
      </c>
      <c r="F61" s="1573">
        <v>219</v>
      </c>
      <c r="G61" s="1573">
        <v>0</v>
      </c>
      <c r="H61" s="1573">
        <v>0</v>
      </c>
      <c r="I61" s="1574">
        <v>0</v>
      </c>
      <c r="J61" s="1574">
        <v>0</v>
      </c>
      <c r="K61" s="1678">
        <f t="shared" si="7"/>
        <v>219</v>
      </c>
      <c r="L61" s="1573">
        <v>300</v>
      </c>
      <c r="M61" s="501"/>
      <c r="N61" s="501"/>
    </row>
    <row r="62" spans="1:14" s="321" customFormat="1" x14ac:dyDescent="0.2">
      <c r="A62" s="1274" t="s">
        <v>946</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108772</v>
      </c>
      <c r="D63" s="1573">
        <v>16820</v>
      </c>
      <c r="E63" s="1573">
        <v>2994</v>
      </c>
      <c r="F63" s="1573">
        <v>81194</v>
      </c>
      <c r="G63" s="1573">
        <v>0</v>
      </c>
      <c r="H63" s="1573">
        <v>39935</v>
      </c>
      <c r="I63" s="1574">
        <v>0</v>
      </c>
      <c r="J63" s="1574">
        <v>0</v>
      </c>
      <c r="K63" s="1678">
        <f t="shared" si="7"/>
        <v>249715</v>
      </c>
      <c r="L63" s="1573">
        <v>279400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713</v>
      </c>
      <c r="B65" s="1381" t="s">
        <v>35</v>
      </c>
      <c r="C65" s="1674">
        <f>SUM(C59:C64)</f>
        <v>159738</v>
      </c>
      <c r="D65" s="1674">
        <f t="shared" ref="D65:L65" si="8">SUM(D59:D64)</f>
        <v>25538</v>
      </c>
      <c r="E65" s="1674">
        <f t="shared" si="8"/>
        <v>9398</v>
      </c>
      <c r="F65" s="1674">
        <f t="shared" si="8"/>
        <v>83876</v>
      </c>
      <c r="G65" s="1674">
        <f t="shared" si="8"/>
        <v>0</v>
      </c>
      <c r="H65" s="1674">
        <f t="shared" si="8"/>
        <v>40230</v>
      </c>
      <c r="I65" s="1674">
        <f t="shared" si="8"/>
        <v>0</v>
      </c>
      <c r="J65" s="1674">
        <f t="shared" si="8"/>
        <v>0</v>
      </c>
      <c r="K65" s="1674">
        <f t="shared" si="8"/>
        <v>318780</v>
      </c>
      <c r="L65" s="1674">
        <f t="shared" si="8"/>
        <v>349626</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805</v>
      </c>
      <c r="B74" s="1384">
        <v>2000</v>
      </c>
      <c r="C74" s="1681">
        <f>SUM(C42,C47,C53,C57,C65,C72,C73)</f>
        <v>670578</v>
      </c>
      <c r="D74" s="1681">
        <f t="shared" ref="D74:K74" si="10">SUM(D42,D47,D53,D57,D65,D72,D73)</f>
        <v>164439</v>
      </c>
      <c r="E74" s="1681">
        <f t="shared" si="10"/>
        <v>64686</v>
      </c>
      <c r="F74" s="1681">
        <f t="shared" si="10"/>
        <v>112886</v>
      </c>
      <c r="G74" s="1681">
        <f t="shared" si="10"/>
        <v>106749</v>
      </c>
      <c r="H74" s="1681">
        <f t="shared" si="10"/>
        <v>45831</v>
      </c>
      <c r="I74" s="1681">
        <f t="shared" si="10"/>
        <v>0</v>
      </c>
      <c r="J74" s="1681">
        <f t="shared" si="10"/>
        <v>0</v>
      </c>
      <c r="K74" s="1681">
        <f t="shared" si="10"/>
        <v>1165169</v>
      </c>
      <c r="L74" s="1681">
        <f>SUM(L42,L47,L53,L57,L65,L72,L73)</f>
        <v>1216176</v>
      </c>
    </row>
    <row r="75" spans="1:14" s="254" customFormat="1" ht="15.75" customHeight="1" thickTop="1" thickBot="1" x14ac:dyDescent="0.25">
      <c r="A75" s="1348" t="s">
        <v>47</v>
      </c>
      <c r="B75" s="1349" t="s">
        <v>570</v>
      </c>
      <c r="C75" s="1649">
        <v>0</v>
      </c>
      <c r="D75" s="1649">
        <v>0</v>
      </c>
      <c r="E75" s="1649">
        <v>0</v>
      </c>
      <c r="F75" s="1649">
        <v>0</v>
      </c>
      <c r="G75" s="1649">
        <v>0</v>
      </c>
      <c r="H75" s="1649">
        <v>0</v>
      </c>
      <c r="I75" s="1627">
        <v>0</v>
      </c>
      <c r="J75" s="1627">
        <v>0</v>
      </c>
      <c r="K75" s="1674">
        <f>SUM(C75:J75)</f>
        <v>0</v>
      </c>
      <c r="L75" s="1651">
        <v>3500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0</v>
      </c>
      <c r="F78" s="1673"/>
      <c r="G78" s="1673"/>
      <c r="H78" s="1682">
        <v>0</v>
      </c>
      <c r="I78" s="1582"/>
      <c r="J78" s="1582"/>
      <c r="K78" s="1672">
        <f t="shared" ref="K78:K83" si="11">SUM(C78:J78)</f>
        <v>0</v>
      </c>
      <c r="L78" s="1586">
        <v>0</v>
      </c>
    </row>
    <row r="79" spans="1:14" x14ac:dyDescent="0.2">
      <c r="A79" s="1274" t="s">
        <v>300</v>
      </c>
      <c r="B79" s="503">
        <v>4120</v>
      </c>
      <c r="C79" s="1673"/>
      <c r="D79" s="1673"/>
      <c r="E79" s="1573">
        <v>0</v>
      </c>
      <c r="F79" s="1673"/>
      <c r="G79" s="1673"/>
      <c r="H79" s="1573">
        <v>0</v>
      </c>
      <c r="I79" s="1582"/>
      <c r="J79" s="1582"/>
      <c r="K79" s="1672">
        <f t="shared" si="11"/>
        <v>0</v>
      </c>
      <c r="L79" s="1573">
        <v>0</v>
      </c>
    </row>
    <row r="80" spans="1:14" x14ac:dyDescent="0.2">
      <c r="A80" s="1274" t="s">
        <v>301</v>
      </c>
      <c r="B80" s="503">
        <v>4130</v>
      </c>
      <c r="C80" s="1673"/>
      <c r="D80" s="1673"/>
      <c r="E80" s="1573">
        <v>0</v>
      </c>
      <c r="F80" s="1673"/>
      <c r="G80" s="1673"/>
      <c r="H80" s="1573">
        <v>0</v>
      </c>
      <c r="I80" s="1582"/>
      <c r="J80" s="1582"/>
      <c r="K80" s="1672">
        <f t="shared" si="11"/>
        <v>0</v>
      </c>
      <c r="L80" s="1573">
        <v>0</v>
      </c>
    </row>
    <row r="81" spans="1:12" x14ac:dyDescent="0.2">
      <c r="A81" s="1274" t="s">
        <v>691</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692</v>
      </c>
      <c r="B83" s="512">
        <v>4190</v>
      </c>
      <c r="C83" s="1673"/>
      <c r="D83" s="1673"/>
      <c r="E83" s="1573">
        <v>0</v>
      </c>
      <c r="F83" s="1673"/>
      <c r="G83" s="1673"/>
      <c r="H83" s="1573">
        <v>0</v>
      </c>
      <c r="I83" s="1582"/>
      <c r="J83" s="1582"/>
      <c r="K83" s="1672">
        <f t="shared" si="11"/>
        <v>0</v>
      </c>
      <c r="L83" s="1573">
        <v>0</v>
      </c>
    </row>
    <row r="84" spans="1:12" ht="13.5" thickBot="1" x14ac:dyDescent="0.25">
      <c r="A84" s="1380" t="s">
        <v>1467</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36752</v>
      </c>
      <c r="I85" s="1582"/>
      <c r="J85" s="1582"/>
      <c r="K85" s="1681">
        <f>H85</f>
        <v>36752</v>
      </c>
      <c r="L85" s="1626">
        <v>38000</v>
      </c>
    </row>
    <row r="86" spans="1:12" ht="12.75" customHeight="1" thickTop="1" thickBot="1" x14ac:dyDescent="0.25">
      <c r="A86" s="1282" t="s">
        <v>693</v>
      </c>
      <c r="B86" s="518">
        <v>4220</v>
      </c>
      <c r="C86" s="1673"/>
      <c r="D86" s="1673"/>
      <c r="E86" s="1684"/>
      <c r="F86" s="1673"/>
      <c r="G86" s="1673"/>
      <c r="H86" s="1574">
        <v>475563</v>
      </c>
      <c r="I86" s="1582"/>
      <c r="J86" s="1582"/>
      <c r="K86" s="1681">
        <f t="shared" ref="K86:K98" si="12">H86</f>
        <v>475563</v>
      </c>
      <c r="L86" s="1626">
        <v>477000</v>
      </c>
    </row>
    <row r="87" spans="1:12" ht="14.25" thickTop="1" thickBot="1" x14ac:dyDescent="0.25">
      <c r="A87" s="1283" t="s">
        <v>694</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695</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681</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512315</v>
      </c>
      <c r="I92" s="1582"/>
      <c r="J92" s="1582"/>
      <c r="K92" s="1681">
        <f t="shared" si="12"/>
        <v>512315</v>
      </c>
      <c r="L92" s="1674">
        <f>SUM(L85:L91)</f>
        <v>515000</v>
      </c>
    </row>
    <row r="93" spans="1:12" ht="14.25" thickTop="1" thickBot="1" x14ac:dyDescent="0.25">
      <c r="A93" s="1282" t="s">
        <v>682</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v>0</v>
      </c>
      <c r="I95" s="1582"/>
      <c r="J95" s="1582"/>
      <c r="K95" s="1681">
        <f t="shared" si="12"/>
        <v>0</v>
      </c>
      <c r="L95" s="1626">
        <v>0</v>
      </c>
    </row>
    <row r="96" spans="1:12" ht="14.25" thickTop="1" thickBot="1" x14ac:dyDescent="0.25">
      <c r="A96" s="1283" t="s">
        <v>684</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v>0</v>
      </c>
      <c r="I97" s="1582"/>
      <c r="J97" s="1582"/>
      <c r="K97" s="1681">
        <f t="shared" si="12"/>
        <v>0</v>
      </c>
      <c r="L97" s="1626">
        <v>0</v>
      </c>
    </row>
    <row r="98" spans="1:14" ht="14.25" thickTop="1" thickBot="1" x14ac:dyDescent="0.25">
      <c r="A98" s="1283" t="s">
        <v>758</v>
      </c>
      <c r="B98" s="519">
        <v>4380</v>
      </c>
      <c r="C98" s="1673"/>
      <c r="D98" s="1673"/>
      <c r="E98" s="1686"/>
      <c r="F98" s="1673"/>
      <c r="G98" s="1673"/>
      <c r="H98" s="1574">
        <v>0</v>
      </c>
      <c r="I98" s="1582"/>
      <c r="J98" s="1582"/>
      <c r="K98" s="1681">
        <f t="shared" si="12"/>
        <v>0</v>
      </c>
      <c r="L98" s="1626">
        <v>0</v>
      </c>
    </row>
    <row r="99" spans="1:14" ht="14.25" thickTop="1" thickBot="1" x14ac:dyDescent="0.25">
      <c r="A99" s="1283" t="s">
        <v>363</v>
      </c>
      <c r="B99" s="519">
        <v>4390</v>
      </c>
      <c r="C99" s="1673"/>
      <c r="D99" s="1673"/>
      <c r="E99" s="1628">
        <v>0</v>
      </c>
      <c r="F99" s="1673"/>
      <c r="G99" s="1673"/>
      <c r="H99" s="1574">
        <v>0</v>
      </c>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1469</v>
      </c>
      <c r="B102" s="1385">
        <v>4000</v>
      </c>
      <c r="C102" s="1673"/>
      <c r="D102" s="1673"/>
      <c r="E102" s="1681">
        <f>SUM(E84,E92,E100,E101)</f>
        <v>0</v>
      </c>
      <c r="F102" s="1673"/>
      <c r="G102" s="1673"/>
      <c r="H102" s="1681">
        <f>SUM(H84,H92,H100,H101)</f>
        <v>512315</v>
      </c>
      <c r="I102" s="1582"/>
      <c r="J102" s="1582"/>
      <c r="K102" s="1681">
        <f>SUM(K84,K92,K100,K101)</f>
        <v>512315</v>
      </c>
      <c r="L102" s="1681">
        <f>SUM(L84,L92,L100,L101)</f>
        <v>515000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100</v>
      </c>
      <c r="M113" s="502"/>
      <c r="N113" s="502"/>
    </row>
    <row r="114" spans="1:14" ht="12.75" customHeight="1" thickTop="1" thickBot="1" x14ac:dyDescent="0.25">
      <c r="A114" s="1380" t="s">
        <v>48</v>
      </c>
      <c r="B114" s="1388"/>
      <c r="C114" s="1674">
        <f>SUM(C33,C74,C75,C102,C112,C113)</f>
        <v>2950715</v>
      </c>
      <c r="D114" s="1674">
        <f t="shared" ref="D114:K114" si="13">SUM(D33,D74,D75,D102,D112,D113)</f>
        <v>742889</v>
      </c>
      <c r="E114" s="1674">
        <f t="shared" si="13"/>
        <v>167042</v>
      </c>
      <c r="F114" s="1674">
        <f t="shared" si="13"/>
        <v>230657</v>
      </c>
      <c r="G114" s="1674">
        <f t="shared" si="13"/>
        <v>122199</v>
      </c>
      <c r="H114" s="1674">
        <f>SUM(H33,H74,H75,H102,H112,H113)</f>
        <v>578277</v>
      </c>
      <c r="I114" s="1674">
        <f t="shared" si="13"/>
        <v>0</v>
      </c>
      <c r="J114" s="1674">
        <f t="shared" si="13"/>
        <v>0</v>
      </c>
      <c r="K114" s="1674">
        <f t="shared" si="13"/>
        <v>4791779</v>
      </c>
      <c r="L114" s="1674">
        <f>SUM(L33,L74,L75,L102,L112,L113)</f>
        <v>5005813</v>
      </c>
    </row>
    <row r="115" spans="1:14" ht="13.5" thickTop="1" x14ac:dyDescent="0.2">
      <c r="A115" s="2311" t="s">
        <v>988</v>
      </c>
      <c r="B115" s="2312"/>
      <c r="C115" s="1675"/>
      <c r="D115" s="1675"/>
      <c r="E115" s="1675"/>
      <c r="F115" s="1675"/>
      <c r="G115" s="1675"/>
      <c r="H115" s="1675"/>
      <c r="I115" s="1675"/>
      <c r="J115" s="1675"/>
      <c r="K115" s="1689">
        <f>'Revenues 9-14'!C268-'Expenditures 15-22'!K114</f>
        <v>125423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9" t="s">
        <v>292</v>
      </c>
      <c r="B117" s="2290"/>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194538</v>
      </c>
      <c r="D124" s="1573">
        <v>42378</v>
      </c>
      <c r="E124" s="1573">
        <v>165993</v>
      </c>
      <c r="F124" s="1573">
        <v>29319</v>
      </c>
      <c r="G124" s="1573">
        <v>2975</v>
      </c>
      <c r="H124" s="1573">
        <v>0</v>
      </c>
      <c r="I124" s="1574">
        <v>0</v>
      </c>
      <c r="J124" s="1574">
        <v>0</v>
      </c>
      <c r="K124" s="1674">
        <f>SUM(C124:J124)</f>
        <v>435203</v>
      </c>
      <c r="L124" s="1573">
        <v>463100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713</v>
      </c>
      <c r="B127" s="1381" t="s">
        <v>35</v>
      </c>
      <c r="C127" s="1674">
        <f>SUM(C122:C126)</f>
        <v>194538</v>
      </c>
      <c r="D127" s="1674">
        <f t="shared" ref="D127:L127" si="14">SUM(D122:D126)</f>
        <v>42378</v>
      </c>
      <c r="E127" s="1674">
        <f t="shared" si="14"/>
        <v>165993</v>
      </c>
      <c r="F127" s="1674">
        <f t="shared" si="14"/>
        <v>29319</v>
      </c>
      <c r="G127" s="1674">
        <f t="shared" si="14"/>
        <v>2975</v>
      </c>
      <c r="H127" s="1674">
        <f t="shared" si="14"/>
        <v>0</v>
      </c>
      <c r="I127" s="1674">
        <f t="shared" si="14"/>
        <v>0</v>
      </c>
      <c r="J127" s="1674">
        <f t="shared" si="14"/>
        <v>0</v>
      </c>
      <c r="K127" s="1674">
        <f t="shared" si="14"/>
        <v>435203</v>
      </c>
      <c r="L127" s="1674">
        <f t="shared" si="14"/>
        <v>463100</v>
      </c>
    </row>
    <row r="128" spans="1:14" ht="12.75" customHeight="1" thickTop="1" x14ac:dyDescent="0.2">
      <c r="A128" s="1281" t="s">
        <v>972</v>
      </c>
      <c r="B128" s="531" t="s">
        <v>569</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805</v>
      </c>
      <c r="B129" s="1390" t="s">
        <v>564</v>
      </c>
      <c r="C129" s="1681">
        <f>SUM(C120,C127,C128)</f>
        <v>194538</v>
      </c>
      <c r="D129" s="1681">
        <f t="shared" ref="D129:L129" si="15">SUM(D120,D127,D128)</f>
        <v>42378</v>
      </c>
      <c r="E129" s="1681">
        <f t="shared" si="15"/>
        <v>165993</v>
      </c>
      <c r="F129" s="1681">
        <f t="shared" si="15"/>
        <v>29319</v>
      </c>
      <c r="G129" s="1681">
        <f t="shared" si="15"/>
        <v>2975</v>
      </c>
      <c r="H129" s="1681">
        <f t="shared" si="15"/>
        <v>0</v>
      </c>
      <c r="I129" s="1681">
        <f t="shared" si="15"/>
        <v>0</v>
      </c>
      <c r="J129" s="1681">
        <f t="shared" si="15"/>
        <v>0</v>
      </c>
      <c r="K129" s="1681">
        <f t="shared" si="15"/>
        <v>435203</v>
      </c>
      <c r="L129" s="1681">
        <f t="shared" si="15"/>
        <v>463100</v>
      </c>
    </row>
    <row r="130" spans="1:14" ht="15.75" customHeight="1" thickTop="1" thickBot="1" x14ac:dyDescent="0.25">
      <c r="A130" s="1348" t="s">
        <v>1028</v>
      </c>
      <c r="B130" s="1349" t="s">
        <v>570</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300</v>
      </c>
      <c r="B134" s="503">
        <v>4120</v>
      </c>
      <c r="C134" s="1673"/>
      <c r="D134" s="1673"/>
      <c r="E134" s="1583">
        <v>0</v>
      </c>
      <c r="F134" s="1673"/>
      <c r="G134" s="1673"/>
      <c r="H134" s="1586">
        <v>0</v>
      </c>
      <c r="I134" s="1582"/>
      <c r="J134" s="1673"/>
      <c r="K134" s="1678">
        <f>SUM(E134,H134)</f>
        <v>0</v>
      </c>
      <c r="L134" s="1586">
        <v>0</v>
      </c>
    </row>
    <row r="135" spans="1:14" x14ac:dyDescent="0.2">
      <c r="A135" s="1274" t="s">
        <v>691</v>
      </c>
      <c r="B135" s="503">
        <v>4140</v>
      </c>
      <c r="C135" s="1673"/>
      <c r="D135" s="1673"/>
      <c r="E135" s="1574">
        <v>0</v>
      </c>
      <c r="F135" s="1673"/>
      <c r="G135" s="1673"/>
      <c r="H135" s="1573">
        <v>0</v>
      </c>
      <c r="I135" s="1582"/>
      <c r="J135" s="1673"/>
      <c r="K135" s="1678">
        <f>SUM(E135,H135)</f>
        <v>0</v>
      </c>
      <c r="L135" s="1573">
        <v>0</v>
      </c>
    </row>
    <row r="136" spans="1:14" x14ac:dyDescent="0.2">
      <c r="A136" s="1278" t="s">
        <v>692</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v>0</v>
      </c>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1159</v>
      </c>
      <c r="B144" s="512" t="s">
        <v>612</v>
      </c>
      <c r="C144" s="1673"/>
      <c r="D144" s="1673"/>
      <c r="E144" s="1673"/>
      <c r="F144" s="1673"/>
      <c r="G144" s="1673"/>
      <c r="H144" s="1573">
        <v>0</v>
      </c>
      <c r="I144" s="1575"/>
      <c r="J144" s="1673"/>
      <c r="K144" s="1678">
        <f>SUM(H144)</f>
        <v>0</v>
      </c>
      <c r="L144" s="1573">
        <v>0</v>
      </c>
    </row>
    <row r="145" spans="1:14" x14ac:dyDescent="0.2">
      <c r="A145" s="1274" t="s">
        <v>89</v>
      </c>
      <c r="B145" s="503" t="s">
        <v>584</v>
      </c>
      <c r="C145" s="1673"/>
      <c r="D145" s="1673"/>
      <c r="E145" s="1673"/>
      <c r="F145" s="1673"/>
      <c r="G145" s="1673"/>
      <c r="H145" s="1573">
        <v>0</v>
      </c>
      <c r="I145" s="1575"/>
      <c r="J145" s="1673"/>
      <c r="K145" s="1678">
        <f>SUM(H145)</f>
        <v>0</v>
      </c>
      <c r="L145" s="1573">
        <v>0</v>
      </c>
    </row>
    <row r="146" spans="1:14" ht="12.75" customHeight="1" x14ac:dyDescent="0.2">
      <c r="A146" s="1274" t="s">
        <v>614</v>
      </c>
      <c r="B146" s="503" t="s">
        <v>613</v>
      </c>
      <c r="C146" s="1673"/>
      <c r="D146" s="1673"/>
      <c r="E146" s="1673"/>
      <c r="F146" s="1673"/>
      <c r="G146" s="1673"/>
      <c r="H146" s="1573">
        <v>0</v>
      </c>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100</v>
      </c>
    </row>
    <row r="151" spans="1:14" ht="12.75" customHeight="1" thickTop="1" thickBot="1" x14ac:dyDescent="0.25">
      <c r="A151" s="2301" t="s">
        <v>615</v>
      </c>
      <c r="B151" s="2283"/>
      <c r="C151" s="1674">
        <f>SUM(C129,C130,C139,C149,C150)</f>
        <v>194538</v>
      </c>
      <c r="D151" s="1674">
        <f t="shared" ref="D151:K151" si="16">SUM(D129,D130,D139,D149,D150)</f>
        <v>42378</v>
      </c>
      <c r="E151" s="1674">
        <f t="shared" si="16"/>
        <v>165993</v>
      </c>
      <c r="F151" s="1674">
        <f t="shared" si="16"/>
        <v>29319</v>
      </c>
      <c r="G151" s="1674">
        <f t="shared" si="16"/>
        <v>2975</v>
      </c>
      <c r="H151" s="1674">
        <f t="shared" si="16"/>
        <v>0</v>
      </c>
      <c r="I151" s="1674">
        <f t="shared" si="16"/>
        <v>0</v>
      </c>
      <c r="J151" s="1674">
        <f t="shared" si="16"/>
        <v>0</v>
      </c>
      <c r="K151" s="1674">
        <f t="shared" si="16"/>
        <v>435203</v>
      </c>
      <c r="L151" s="1674">
        <f>SUM(L129,L130,L139,L149,L150)</f>
        <v>463200</v>
      </c>
    </row>
    <row r="152" spans="1:14" ht="12.75" customHeight="1" thickTop="1" x14ac:dyDescent="0.2">
      <c r="A152" s="2304" t="s">
        <v>1167</v>
      </c>
      <c r="B152" s="2305"/>
      <c r="C152" s="1675"/>
      <c r="D152" s="1675"/>
      <c r="E152" s="1675"/>
      <c r="F152" s="1675"/>
      <c r="G152" s="1675"/>
      <c r="H152" s="1675"/>
      <c r="I152" s="1675"/>
      <c r="J152" s="1673"/>
      <c r="K152" s="1689">
        <f>'Revenues 9-14'!D268-'Expenditures 15-22'!K151</f>
        <v>10176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9" t="s">
        <v>616</v>
      </c>
      <c r="B154" s="229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300</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553</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1159</v>
      </c>
      <c r="B165" s="503" t="s">
        <v>612</v>
      </c>
      <c r="C165" s="1673"/>
      <c r="D165" s="1673"/>
      <c r="E165" s="1673"/>
      <c r="F165" s="1673"/>
      <c r="G165" s="1673"/>
      <c r="H165" s="1573">
        <v>0</v>
      </c>
      <c r="I165" s="1673"/>
      <c r="J165" s="1673"/>
      <c r="K165" s="1672">
        <f>SUM(C165:J165)</f>
        <v>0</v>
      </c>
      <c r="L165" s="1573">
        <v>0</v>
      </c>
    </row>
    <row r="166" spans="1:14" x14ac:dyDescent="0.2">
      <c r="A166" s="1274" t="s">
        <v>89</v>
      </c>
      <c r="B166" s="512" t="s">
        <v>584</v>
      </c>
      <c r="C166" s="1673"/>
      <c r="D166" s="1673"/>
      <c r="E166" s="1673"/>
      <c r="F166" s="1673"/>
      <c r="G166" s="1673"/>
      <c r="H166" s="1573">
        <v>0</v>
      </c>
      <c r="I166" s="1673"/>
      <c r="J166" s="1673"/>
      <c r="K166" s="1672">
        <f>SUM(C166:J166)</f>
        <v>0</v>
      </c>
      <c r="L166" s="1573">
        <v>0</v>
      </c>
    </row>
    <row r="167" spans="1:14" ht="12.75" customHeight="1" x14ac:dyDescent="0.2">
      <c r="A167" s="1274" t="s">
        <v>614</v>
      </c>
      <c r="B167" s="503" t="s">
        <v>613</v>
      </c>
      <c r="C167" s="1673"/>
      <c r="D167" s="1673"/>
      <c r="E167" s="1673"/>
      <c r="F167" s="1673"/>
      <c r="G167" s="1673"/>
      <c r="H167" s="1573">
        <v>0</v>
      </c>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28581</v>
      </c>
      <c r="I169" s="1673"/>
      <c r="J169" s="1673"/>
      <c r="K169" s="1672">
        <f>SUM(C169:H169)</f>
        <v>28581</v>
      </c>
      <c r="L169" s="1695">
        <v>28708</v>
      </c>
    </row>
    <row r="170" spans="1:14" ht="33.75" customHeight="1" x14ac:dyDescent="0.2">
      <c r="A170" s="543" t="s">
        <v>1650</v>
      </c>
      <c r="B170" s="545" t="s">
        <v>31</v>
      </c>
      <c r="C170" s="1673"/>
      <c r="D170" s="1673"/>
      <c r="E170" s="1673"/>
      <c r="F170" s="1673"/>
      <c r="G170" s="1673"/>
      <c r="H170" s="1646">
        <v>332182</v>
      </c>
      <c r="I170" s="1673"/>
      <c r="J170" s="1673"/>
      <c r="K170" s="1672">
        <f>SUM(C170:J170)</f>
        <v>332182</v>
      </c>
      <c r="L170" s="1646">
        <v>332182</v>
      </c>
    </row>
    <row r="171" spans="1:14" ht="15.75" customHeight="1" x14ac:dyDescent="0.2">
      <c r="A171" s="507" t="s">
        <v>760</v>
      </c>
      <c r="B171" s="546" t="s">
        <v>84</v>
      </c>
      <c r="C171" s="1673"/>
      <c r="D171" s="1673"/>
      <c r="E171" s="1573">
        <v>500</v>
      </c>
      <c r="F171" s="1673"/>
      <c r="G171" s="1673"/>
      <c r="H171" s="1646">
        <v>0</v>
      </c>
      <c r="I171" s="1582"/>
      <c r="J171" s="1673"/>
      <c r="K171" s="1672">
        <f>SUM(C171:J171)</f>
        <v>500</v>
      </c>
      <c r="L171" s="1646">
        <v>3000</v>
      </c>
    </row>
    <row r="172" spans="1:14" ht="12.75" customHeight="1" thickBot="1" x14ac:dyDescent="0.25">
      <c r="A172" s="1380" t="s">
        <v>632</v>
      </c>
      <c r="B172" s="1381" t="s">
        <v>488</v>
      </c>
      <c r="C172" s="1673"/>
      <c r="D172" s="1673"/>
      <c r="E172" s="1681">
        <f>SUM(E168,E169,E170,E171)</f>
        <v>500</v>
      </c>
      <c r="F172" s="1673"/>
      <c r="G172" s="1673"/>
      <c r="H172" s="1681">
        <f>SUM(H168,H169,H170,H171)</f>
        <v>360763</v>
      </c>
      <c r="I172" s="1684"/>
      <c r="J172" s="1673"/>
      <c r="K172" s="1681">
        <f>SUM(K168,K169,K170,K171)</f>
        <v>361263</v>
      </c>
      <c r="L172" s="1681">
        <f>SUM(L168,L169,L170,L171)</f>
        <v>363890</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500</v>
      </c>
      <c r="F174" s="1673"/>
      <c r="G174" s="1673"/>
      <c r="H174" s="1681">
        <f>SUM(H160,H172,H173)</f>
        <v>360763</v>
      </c>
      <c r="I174" s="1684"/>
      <c r="J174" s="1673"/>
      <c r="K174" s="1681">
        <f>SUM(K160,K172,K173)</f>
        <v>361263</v>
      </c>
      <c r="L174" s="1681">
        <f>SUM(L160,L172,L173)</f>
        <v>363890</v>
      </c>
    </row>
    <row r="175" spans="1:14" ht="13.5" thickTop="1" x14ac:dyDescent="0.2">
      <c r="A175" s="2311" t="s">
        <v>988</v>
      </c>
      <c r="B175" s="2312"/>
      <c r="C175" s="1673"/>
      <c r="D175" s="1673"/>
      <c r="E175" s="1673"/>
      <c r="F175" s="1673"/>
      <c r="G175" s="1673"/>
      <c r="H175" s="1675"/>
      <c r="I175" s="1673"/>
      <c r="J175" s="1673"/>
      <c r="K175" s="1689">
        <f>'Revenues 9-14'!E268-'Expenditures 15-22'!K174</f>
        <v>-3009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150274</v>
      </c>
      <c r="D182" s="1573">
        <v>1557</v>
      </c>
      <c r="E182" s="1573">
        <v>32185</v>
      </c>
      <c r="F182" s="1573">
        <v>24402</v>
      </c>
      <c r="G182" s="1573">
        <v>23723</v>
      </c>
      <c r="H182" s="1573">
        <v>435</v>
      </c>
      <c r="I182" s="1574">
        <v>0</v>
      </c>
      <c r="J182" s="1574">
        <v>0</v>
      </c>
      <c r="K182" s="1672">
        <f>SUM(C182:J182)</f>
        <v>232576</v>
      </c>
      <c r="L182" s="1573">
        <v>236576</v>
      </c>
    </row>
    <row r="183" spans="1:14" ht="12.75" customHeight="1" thickBot="1" x14ac:dyDescent="0.25">
      <c r="A183" s="1279" t="s">
        <v>972</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805</v>
      </c>
      <c r="B184" s="1381" t="s">
        <v>564</v>
      </c>
      <c r="C184" s="1681">
        <f>SUM(C180,C182,C183)</f>
        <v>150274</v>
      </c>
      <c r="D184" s="1681">
        <f t="shared" ref="D184:J184" si="17">SUM(D180,D182,D183)</f>
        <v>1557</v>
      </c>
      <c r="E184" s="1681">
        <f t="shared" si="17"/>
        <v>32185</v>
      </c>
      <c r="F184" s="1681">
        <f t="shared" si="17"/>
        <v>24402</v>
      </c>
      <c r="G184" s="1681">
        <f t="shared" si="17"/>
        <v>23723</v>
      </c>
      <c r="H184" s="1681">
        <f t="shared" si="17"/>
        <v>435</v>
      </c>
      <c r="I184" s="1681">
        <f t="shared" si="17"/>
        <v>0</v>
      </c>
      <c r="J184" s="1681">
        <f t="shared" si="17"/>
        <v>0</v>
      </c>
      <c r="K184" s="1681">
        <f>SUM(K180,K182,K183)</f>
        <v>232576</v>
      </c>
      <c r="L184" s="1681">
        <f>SUM(L180, L182:L183)</f>
        <v>236576</v>
      </c>
    </row>
    <row r="185" spans="1:14" ht="15.75" customHeight="1" thickTop="1" thickBot="1" x14ac:dyDescent="0.25">
      <c r="A185" s="1360" t="s">
        <v>932</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300</v>
      </c>
      <c r="B189" s="503">
        <v>4120</v>
      </c>
      <c r="C189" s="1673"/>
      <c r="D189" s="1673"/>
      <c r="E189" s="1573">
        <v>0</v>
      </c>
      <c r="F189" s="1673"/>
      <c r="G189" s="1673"/>
      <c r="H189" s="1573">
        <v>0</v>
      </c>
      <c r="I189" s="1582"/>
      <c r="J189" s="1673"/>
      <c r="K189" s="1672">
        <f t="shared" si="18"/>
        <v>0</v>
      </c>
      <c r="L189" s="1573">
        <v>0</v>
      </c>
    </row>
    <row r="190" spans="1:14" x14ac:dyDescent="0.2">
      <c r="A190" s="1274" t="s">
        <v>301</v>
      </c>
      <c r="B190" s="512">
        <v>4130</v>
      </c>
      <c r="C190" s="1673"/>
      <c r="D190" s="1673"/>
      <c r="E190" s="1573">
        <v>0</v>
      </c>
      <c r="F190" s="1673"/>
      <c r="G190" s="1673"/>
      <c r="H190" s="1573">
        <v>0</v>
      </c>
      <c r="I190" s="1582"/>
      <c r="J190" s="1673"/>
      <c r="K190" s="1672">
        <f t="shared" si="18"/>
        <v>0</v>
      </c>
      <c r="L190" s="1573">
        <v>0</v>
      </c>
    </row>
    <row r="191" spans="1:14" x14ac:dyDescent="0.2">
      <c r="A191" s="1274" t="s">
        <v>691</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692</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v>0</v>
      </c>
      <c r="F195" s="1673"/>
      <c r="G195" s="1673"/>
      <c r="H195" s="1695">
        <v>0</v>
      </c>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1159</v>
      </c>
      <c r="B201" s="512" t="s">
        <v>612</v>
      </c>
      <c r="C201" s="1673"/>
      <c r="D201" s="1673"/>
      <c r="E201" s="1673"/>
      <c r="F201" s="1673"/>
      <c r="G201" s="1673"/>
      <c r="H201" s="1573">
        <v>0</v>
      </c>
      <c r="I201" s="1673"/>
      <c r="J201" s="1673"/>
      <c r="K201" s="1672">
        <f>SUM(H201)</f>
        <v>0</v>
      </c>
      <c r="L201" s="1573">
        <v>0</v>
      </c>
    </row>
    <row r="202" spans="1:14" x14ac:dyDescent="0.2">
      <c r="A202" s="1274" t="s">
        <v>89</v>
      </c>
      <c r="B202" s="503" t="s">
        <v>584</v>
      </c>
      <c r="C202" s="1673"/>
      <c r="D202" s="1673"/>
      <c r="E202" s="1673"/>
      <c r="F202" s="1673"/>
      <c r="G202" s="1673"/>
      <c r="H202" s="1573">
        <v>0</v>
      </c>
      <c r="I202" s="1673"/>
      <c r="J202" s="1673"/>
      <c r="K202" s="1672">
        <f>SUM(H202)</f>
        <v>0</v>
      </c>
      <c r="L202" s="1573">
        <v>0</v>
      </c>
    </row>
    <row r="203" spans="1:14" x14ac:dyDescent="0.2">
      <c r="A203" s="1286" t="s">
        <v>614</v>
      </c>
      <c r="B203" s="503" t="s">
        <v>613</v>
      </c>
      <c r="C203" s="1673"/>
      <c r="D203" s="1673"/>
      <c r="E203" s="1673"/>
      <c r="F203" s="1673"/>
      <c r="G203" s="1673"/>
      <c r="H203" s="1577">
        <v>0</v>
      </c>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1788</v>
      </c>
      <c r="I205" s="1673"/>
      <c r="J205" s="1673"/>
      <c r="K205" s="1696">
        <f>SUM(H205)</f>
        <v>1788</v>
      </c>
      <c r="L205" s="1630">
        <v>1788</v>
      </c>
    </row>
    <row r="206" spans="1:14" ht="30" customHeight="1" x14ac:dyDescent="0.2">
      <c r="A206" s="555" t="s">
        <v>1651</v>
      </c>
      <c r="B206" s="546" t="s">
        <v>31</v>
      </c>
      <c r="C206" s="1673"/>
      <c r="D206" s="1673"/>
      <c r="E206" s="1673"/>
      <c r="F206" s="1673"/>
      <c r="G206" s="1673"/>
      <c r="H206" s="1573">
        <v>35692</v>
      </c>
      <c r="I206" s="1673"/>
      <c r="J206" s="1673"/>
      <c r="K206" s="1672">
        <f>SUM(H206)</f>
        <v>35692</v>
      </c>
      <c r="L206" s="1573">
        <v>35692</v>
      </c>
    </row>
    <row r="207" spans="1:14" ht="15.75" customHeight="1" x14ac:dyDescent="0.2">
      <c r="A207" s="507" t="s">
        <v>760</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37480</v>
      </c>
      <c r="I208" s="1673"/>
      <c r="J208" s="1673"/>
      <c r="K208" s="1681">
        <f>SUM(K204,K205,K206,K207)</f>
        <v>37480</v>
      </c>
      <c r="L208" s="1681">
        <f>SUM(L204,L205,L206,L207)</f>
        <v>37480</v>
      </c>
    </row>
    <row r="209" spans="1:14" ht="15.75" customHeight="1" thickTop="1" thickBot="1" x14ac:dyDescent="0.25">
      <c r="A209" s="1344" t="s">
        <v>866</v>
      </c>
      <c r="B209" s="1351" t="s">
        <v>855</v>
      </c>
      <c r="C209" s="1676"/>
      <c r="D209" s="1676"/>
      <c r="E209" s="1676"/>
      <c r="F209" s="1676"/>
      <c r="G209" s="1676"/>
      <c r="H209" s="1676"/>
      <c r="I209" s="1673"/>
      <c r="J209" s="1673"/>
      <c r="K209" s="1676"/>
      <c r="L209" s="1651">
        <v>100</v>
      </c>
    </row>
    <row r="210" spans="1:14" ht="12.75" customHeight="1" thickTop="1" thickBot="1" x14ac:dyDescent="0.25">
      <c r="A210" s="1394" t="s">
        <v>274</v>
      </c>
      <c r="B210" s="1395"/>
      <c r="C210" s="1674">
        <f>SUM(C184,C185)</f>
        <v>150274</v>
      </c>
      <c r="D210" s="1674">
        <f>SUM(D184,D185)</f>
        <v>1557</v>
      </c>
      <c r="E210" s="1674">
        <f>SUM(E184,E185,E196)</f>
        <v>32185</v>
      </c>
      <c r="F210" s="1674">
        <f>SUM(F184,F185)</f>
        <v>24402</v>
      </c>
      <c r="G210" s="1674">
        <f>SUM(G184,G185)</f>
        <v>23723</v>
      </c>
      <c r="H210" s="1674">
        <f>SUM(H184,H185,H196,H208,H209)</f>
        <v>37915</v>
      </c>
      <c r="I210" s="1674">
        <f>SUM(I184,I185)</f>
        <v>0</v>
      </c>
      <c r="J210" s="1674">
        <f>SUM(J184,J185)</f>
        <v>0</v>
      </c>
      <c r="K210" s="1672">
        <f>SUM(K184,K185,K196,K208,K209)</f>
        <v>270056</v>
      </c>
      <c r="L210" s="1674">
        <f>SUM(L184,L185,L196,L208,L209)</f>
        <v>274156</v>
      </c>
    </row>
    <row r="211" spans="1:14" ht="13.5" thickTop="1" x14ac:dyDescent="0.2">
      <c r="A211" s="2311" t="s">
        <v>988</v>
      </c>
      <c r="B211" s="2312"/>
      <c r="C211" s="1675"/>
      <c r="D211" s="1675"/>
      <c r="E211" s="1675"/>
      <c r="F211" s="1675"/>
      <c r="G211" s="1675"/>
      <c r="H211" s="1675"/>
      <c r="I211" s="1673"/>
      <c r="J211" s="1673"/>
      <c r="K211" s="1689">
        <f>'Revenues 9-14'!F268-'Expenditures 15-22'!K210</f>
        <v>-21151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6" t="s">
        <v>958</v>
      </c>
      <c r="B213" s="2307"/>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30250</v>
      </c>
      <c r="E215" s="1673"/>
      <c r="F215" s="1673"/>
      <c r="G215" s="1673"/>
      <c r="H215" s="1673"/>
      <c r="I215" s="1673"/>
      <c r="J215" s="1673"/>
      <c r="K215" s="1672">
        <f>D215</f>
        <v>30250</v>
      </c>
      <c r="L215" s="1573">
        <v>30750</v>
      </c>
    </row>
    <row r="216" spans="1:14" x14ac:dyDescent="0.2">
      <c r="A216" s="1274" t="s">
        <v>162</v>
      </c>
      <c r="B216" s="503" t="s">
        <v>960</v>
      </c>
      <c r="C216" s="1673"/>
      <c r="D216" s="1574">
        <v>6307</v>
      </c>
      <c r="E216" s="1673"/>
      <c r="F216" s="1673"/>
      <c r="G216" s="1673"/>
      <c r="H216" s="1673"/>
      <c r="I216" s="1673"/>
      <c r="J216" s="1673"/>
      <c r="K216" s="1672">
        <f t="shared" ref="K216:K228" si="19">D216</f>
        <v>6307</v>
      </c>
      <c r="L216" s="1573">
        <v>8100</v>
      </c>
    </row>
    <row r="217" spans="1:14" x14ac:dyDescent="0.2">
      <c r="A217" s="1274" t="s">
        <v>163</v>
      </c>
      <c r="B217" s="503">
        <v>1200</v>
      </c>
      <c r="C217" s="1673"/>
      <c r="D217" s="1573">
        <v>6356</v>
      </c>
      <c r="E217" s="1673"/>
      <c r="F217" s="1673"/>
      <c r="G217" s="1673"/>
      <c r="H217" s="1673"/>
      <c r="I217" s="1673"/>
      <c r="J217" s="1673"/>
      <c r="K217" s="1672">
        <f t="shared" si="19"/>
        <v>6356</v>
      </c>
      <c r="L217" s="1573">
        <v>6700</v>
      </c>
    </row>
    <row r="218" spans="1:14" x14ac:dyDescent="0.2">
      <c r="A218" s="1274" t="s">
        <v>275</v>
      </c>
      <c r="B218" s="503" t="s">
        <v>961</v>
      </c>
      <c r="C218" s="1673"/>
      <c r="D218" s="1574">
        <v>0</v>
      </c>
      <c r="E218" s="1673"/>
      <c r="F218" s="1673"/>
      <c r="G218" s="1673"/>
      <c r="H218" s="1673"/>
      <c r="I218" s="1673"/>
      <c r="J218" s="1673"/>
      <c r="K218" s="1672">
        <f t="shared" si="19"/>
        <v>0</v>
      </c>
      <c r="L218" s="1573">
        <v>0</v>
      </c>
    </row>
    <row r="219" spans="1:14" x14ac:dyDescent="0.2">
      <c r="A219" s="1274" t="s">
        <v>276</v>
      </c>
      <c r="B219" s="503">
        <v>1250</v>
      </c>
      <c r="C219" s="1673"/>
      <c r="D219" s="1573">
        <v>14821</v>
      </c>
      <c r="E219" s="1673"/>
      <c r="F219" s="1673"/>
      <c r="G219" s="1673"/>
      <c r="H219" s="1673"/>
      <c r="I219" s="1673"/>
      <c r="J219" s="1673"/>
      <c r="K219" s="1672">
        <f t="shared" si="19"/>
        <v>14821</v>
      </c>
      <c r="L219" s="1573">
        <v>16550</v>
      </c>
    </row>
    <row r="220" spans="1:14" x14ac:dyDescent="0.2">
      <c r="A220" s="1274" t="s">
        <v>277</v>
      </c>
      <c r="B220" s="503" t="s">
        <v>160</v>
      </c>
      <c r="C220" s="1673"/>
      <c r="D220" s="1574">
        <v>0</v>
      </c>
      <c r="E220" s="1673"/>
      <c r="F220" s="1673"/>
      <c r="G220" s="1673"/>
      <c r="H220" s="1673"/>
      <c r="I220" s="1673"/>
      <c r="J220" s="1673"/>
      <c r="K220" s="1672">
        <f t="shared" si="19"/>
        <v>0</v>
      </c>
      <c r="L220" s="1573">
        <v>0</v>
      </c>
    </row>
    <row r="221" spans="1:14" x14ac:dyDescent="0.2">
      <c r="A221" s="1274" t="s">
        <v>955</v>
      </c>
      <c r="B221" s="503">
        <v>1300</v>
      </c>
      <c r="C221" s="1673"/>
      <c r="D221" s="1573">
        <v>0</v>
      </c>
      <c r="E221" s="1673"/>
      <c r="F221" s="1673"/>
      <c r="G221" s="1673"/>
      <c r="H221" s="1673"/>
      <c r="I221" s="1673"/>
      <c r="J221" s="1673"/>
      <c r="K221" s="1672">
        <f t="shared" si="19"/>
        <v>0</v>
      </c>
      <c r="L221" s="1573">
        <v>0</v>
      </c>
    </row>
    <row r="222" spans="1:14" x14ac:dyDescent="0.2">
      <c r="A222" s="1274" t="s">
        <v>717</v>
      </c>
      <c r="B222" s="503">
        <v>1400</v>
      </c>
      <c r="C222" s="1673"/>
      <c r="D222" s="1573">
        <v>1072</v>
      </c>
      <c r="E222" s="1673"/>
      <c r="F222" s="1673"/>
      <c r="G222" s="1673"/>
      <c r="H222" s="1673"/>
      <c r="I222" s="1673"/>
      <c r="J222" s="1673"/>
      <c r="K222" s="1672">
        <f t="shared" si="19"/>
        <v>1072</v>
      </c>
      <c r="L222" s="1573">
        <v>1100</v>
      </c>
    </row>
    <row r="223" spans="1:14" x14ac:dyDescent="0.2">
      <c r="A223" s="1274" t="s">
        <v>956</v>
      </c>
      <c r="B223" s="503">
        <v>1500</v>
      </c>
      <c r="C223" s="1673"/>
      <c r="D223" s="1573">
        <v>1980</v>
      </c>
      <c r="E223" s="1673"/>
      <c r="F223" s="1673"/>
      <c r="G223" s="1673"/>
      <c r="H223" s="1673"/>
      <c r="I223" s="1673"/>
      <c r="J223" s="1673"/>
      <c r="K223" s="1672">
        <f t="shared" si="19"/>
        <v>1980</v>
      </c>
      <c r="L223" s="1573">
        <v>2250</v>
      </c>
    </row>
    <row r="224" spans="1:14" x14ac:dyDescent="0.2">
      <c r="A224" s="1274" t="s">
        <v>957</v>
      </c>
      <c r="B224" s="503">
        <v>1600</v>
      </c>
      <c r="C224" s="1673"/>
      <c r="D224" s="1573">
        <v>0</v>
      </c>
      <c r="E224" s="1673"/>
      <c r="F224" s="1673"/>
      <c r="G224" s="1673"/>
      <c r="H224" s="1673"/>
      <c r="I224" s="1673"/>
      <c r="J224" s="1673"/>
      <c r="K224" s="1672">
        <f t="shared" si="19"/>
        <v>0</v>
      </c>
      <c r="L224" s="1573">
        <v>0</v>
      </c>
    </row>
    <row r="225" spans="1:12" x14ac:dyDescent="0.2">
      <c r="A225" s="1274" t="s">
        <v>979</v>
      </c>
      <c r="B225" s="503">
        <v>1650</v>
      </c>
      <c r="C225" s="1673"/>
      <c r="D225" s="1573">
        <v>0</v>
      </c>
      <c r="E225" s="1673"/>
      <c r="F225" s="1673"/>
      <c r="G225" s="1673"/>
      <c r="H225" s="1673"/>
      <c r="I225" s="1673"/>
      <c r="J225" s="1673"/>
      <c r="K225" s="1672">
        <f t="shared" si="19"/>
        <v>0</v>
      </c>
      <c r="L225" s="1573">
        <v>0</v>
      </c>
    </row>
    <row r="226" spans="1:12" x14ac:dyDescent="0.2">
      <c r="A226" s="1274" t="s">
        <v>718</v>
      </c>
      <c r="B226" s="503" t="s">
        <v>161</v>
      </c>
      <c r="C226" s="1673"/>
      <c r="D226" s="1574">
        <v>327</v>
      </c>
      <c r="E226" s="1673"/>
      <c r="F226" s="1673"/>
      <c r="G226" s="1673"/>
      <c r="H226" s="1673"/>
      <c r="I226" s="1673"/>
      <c r="J226" s="1673"/>
      <c r="K226" s="1672">
        <f t="shared" si="19"/>
        <v>327</v>
      </c>
      <c r="L226" s="1573">
        <v>400</v>
      </c>
    </row>
    <row r="227" spans="1:12" x14ac:dyDescent="0.2">
      <c r="A227" s="1274" t="s">
        <v>1077</v>
      </c>
      <c r="B227" s="503">
        <v>1800</v>
      </c>
      <c r="C227" s="1673"/>
      <c r="D227" s="1573">
        <v>0</v>
      </c>
      <c r="E227" s="1673"/>
      <c r="F227" s="1673"/>
      <c r="G227" s="1673"/>
      <c r="H227" s="1673"/>
      <c r="I227" s="1673"/>
      <c r="J227" s="1673"/>
      <c r="K227" s="1672">
        <f t="shared" si="19"/>
        <v>0</v>
      </c>
      <c r="L227" s="1573">
        <v>0</v>
      </c>
    </row>
    <row r="228" spans="1:12" x14ac:dyDescent="0.2">
      <c r="A228" s="1274" t="s">
        <v>1078</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61113</v>
      </c>
      <c r="E229" s="1673"/>
      <c r="F229" s="1673"/>
      <c r="G229" s="1673"/>
      <c r="H229" s="1673"/>
      <c r="I229" s="1673"/>
      <c r="J229" s="1673"/>
      <c r="K229" s="1674">
        <f>SUM(K215:K228)</f>
        <v>61113</v>
      </c>
      <c r="L229" s="1674">
        <f>SUM(L215:L228)</f>
        <v>65850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0</v>
      </c>
      <c r="E232" s="1673"/>
      <c r="F232" s="1673"/>
      <c r="G232" s="1673"/>
      <c r="H232" s="1673"/>
      <c r="I232" s="1673"/>
      <c r="J232" s="1673"/>
      <c r="K232" s="1672">
        <f t="shared" ref="K232:K237" si="20">D232</f>
        <v>0</v>
      </c>
      <c r="L232" s="1573">
        <v>0</v>
      </c>
    </row>
    <row r="233" spans="1:12" x14ac:dyDescent="0.2">
      <c r="A233" s="1274" t="s">
        <v>1080</v>
      </c>
      <c r="B233" s="503">
        <v>2120</v>
      </c>
      <c r="C233" s="1673"/>
      <c r="D233" s="1573">
        <v>644</v>
      </c>
      <c r="E233" s="1673"/>
      <c r="F233" s="1673"/>
      <c r="G233" s="1673"/>
      <c r="H233" s="1673"/>
      <c r="I233" s="1673"/>
      <c r="J233" s="1673"/>
      <c r="K233" s="1672">
        <f t="shared" si="20"/>
        <v>644</v>
      </c>
      <c r="L233" s="1573">
        <v>600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555</v>
      </c>
      <c r="B238" s="1383" t="s">
        <v>710</v>
      </c>
      <c r="C238" s="1673"/>
      <c r="D238" s="1674">
        <f>SUM(D232:D237)</f>
        <v>644</v>
      </c>
      <c r="E238" s="1673"/>
      <c r="F238" s="1673"/>
      <c r="G238" s="1673"/>
      <c r="H238" s="1673"/>
      <c r="I238" s="1673"/>
      <c r="J238" s="1673"/>
      <c r="K238" s="1674">
        <f>SUM(K232:K237)</f>
        <v>644</v>
      </c>
      <c r="L238" s="1674">
        <f>SUM(L232:L237)</f>
        <v>600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34</v>
      </c>
      <c r="E240" s="1673"/>
      <c r="F240" s="1673"/>
      <c r="G240" s="1673"/>
      <c r="H240" s="1673"/>
      <c r="I240" s="1673"/>
      <c r="J240" s="1673"/>
      <c r="K240" s="1678">
        <f>D240</f>
        <v>34</v>
      </c>
      <c r="L240" s="1586">
        <v>100</v>
      </c>
    </row>
    <row r="241" spans="1:12" x14ac:dyDescent="0.2">
      <c r="A241" s="1274" t="s">
        <v>809</v>
      </c>
      <c r="B241" s="503">
        <v>2220</v>
      </c>
      <c r="C241" s="1673"/>
      <c r="D241" s="1573">
        <v>8702</v>
      </c>
      <c r="E241" s="1673"/>
      <c r="F241" s="1673"/>
      <c r="G241" s="1673"/>
      <c r="H241" s="1673"/>
      <c r="I241" s="1673"/>
      <c r="J241" s="1673"/>
      <c r="K241" s="1678">
        <f>D241</f>
        <v>8702</v>
      </c>
      <c r="L241" s="1573">
        <v>8900</v>
      </c>
    </row>
    <row r="242" spans="1:12" x14ac:dyDescent="0.2">
      <c r="A242" s="1274" t="s">
        <v>810</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556</v>
      </c>
      <c r="B243" s="1397">
        <v>2200</v>
      </c>
      <c r="C243" s="1673"/>
      <c r="D243" s="1674">
        <f>SUM(D240:D242)</f>
        <v>8736</v>
      </c>
      <c r="E243" s="1673"/>
      <c r="F243" s="1673"/>
      <c r="G243" s="1673"/>
      <c r="H243" s="1673"/>
      <c r="I243" s="1673"/>
      <c r="J243" s="1673"/>
      <c r="K243" s="1674">
        <f>SUM(K240:K242)</f>
        <v>8736</v>
      </c>
      <c r="L243" s="1674">
        <f>SUM(L240:L242)</f>
        <v>9000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0</v>
      </c>
      <c r="E245" s="1673"/>
      <c r="F245" s="1673"/>
      <c r="G245" s="1673"/>
      <c r="H245" s="1673"/>
      <c r="I245" s="1673"/>
      <c r="J245" s="1673"/>
      <c r="K245" s="1678">
        <f>D245</f>
        <v>0</v>
      </c>
      <c r="L245" s="1586">
        <v>0</v>
      </c>
    </row>
    <row r="246" spans="1:12" x14ac:dyDescent="0.2">
      <c r="A246" s="1274" t="s">
        <v>812</v>
      </c>
      <c r="B246" s="503">
        <v>2320</v>
      </c>
      <c r="C246" s="1673"/>
      <c r="D246" s="1573">
        <v>6935</v>
      </c>
      <c r="E246" s="1673"/>
      <c r="F246" s="1673"/>
      <c r="G246" s="1673"/>
      <c r="H246" s="1673"/>
      <c r="I246" s="1673"/>
      <c r="J246" s="1673"/>
      <c r="K246" s="1678">
        <f t="shared" ref="K246:K256" si="21">D246</f>
        <v>6935</v>
      </c>
      <c r="L246" s="1573">
        <v>8100</v>
      </c>
    </row>
    <row r="247" spans="1:12" x14ac:dyDescent="0.2">
      <c r="A247" s="1274" t="s">
        <v>813</v>
      </c>
      <c r="B247" s="503">
        <v>2330</v>
      </c>
      <c r="C247" s="1673"/>
      <c r="D247" s="1573">
        <v>0</v>
      </c>
      <c r="E247" s="1673"/>
      <c r="F247" s="1673"/>
      <c r="G247" s="1673"/>
      <c r="H247" s="1673"/>
      <c r="I247" s="1673"/>
      <c r="J247" s="1673"/>
      <c r="K247" s="1678">
        <f t="shared" si="21"/>
        <v>0</v>
      </c>
      <c r="L247" s="1573">
        <v>0</v>
      </c>
    </row>
    <row r="248" spans="1:12" x14ac:dyDescent="0.2">
      <c r="A248" s="1275" t="s">
        <v>295</v>
      </c>
      <c r="B248" s="494" t="s">
        <v>278</v>
      </c>
      <c r="C248" s="1673"/>
      <c r="D248" s="1579">
        <v>0</v>
      </c>
      <c r="E248" s="1673"/>
      <c r="F248" s="1673"/>
      <c r="G248" s="1673"/>
      <c r="H248" s="1673"/>
      <c r="I248" s="1673"/>
      <c r="J248" s="1673"/>
      <c r="K248" s="1678">
        <f t="shared" si="21"/>
        <v>0</v>
      </c>
      <c r="L248" s="1573">
        <v>0</v>
      </c>
    </row>
    <row r="249" spans="1:12" x14ac:dyDescent="0.2">
      <c r="A249" s="1276" t="s">
        <v>1781</v>
      </c>
      <c r="B249" s="557" t="s">
        <v>279</v>
      </c>
      <c r="C249" s="1673"/>
      <c r="D249" s="1579">
        <v>0</v>
      </c>
      <c r="E249" s="1673"/>
      <c r="F249" s="1673"/>
      <c r="G249" s="1673"/>
      <c r="H249" s="1673"/>
      <c r="I249" s="1673"/>
      <c r="J249" s="1673"/>
      <c r="K249" s="1678">
        <f t="shared" si="21"/>
        <v>0</v>
      </c>
      <c r="L249" s="1573">
        <v>0</v>
      </c>
    </row>
    <row r="250" spans="1:12" x14ac:dyDescent="0.2">
      <c r="A250" s="1275" t="s">
        <v>1782</v>
      </c>
      <c r="B250" s="494" t="s">
        <v>280</v>
      </c>
      <c r="C250" s="1673"/>
      <c r="D250" s="1579">
        <v>0</v>
      </c>
      <c r="E250" s="1673"/>
      <c r="F250" s="1673"/>
      <c r="G250" s="1673"/>
      <c r="H250" s="1673"/>
      <c r="I250" s="1673"/>
      <c r="J250" s="1673"/>
      <c r="K250" s="1678">
        <f t="shared" si="21"/>
        <v>0</v>
      </c>
      <c r="L250" s="1573">
        <v>0</v>
      </c>
    </row>
    <row r="251" spans="1:12" x14ac:dyDescent="0.2">
      <c r="A251" s="1275" t="s">
        <v>236</v>
      </c>
      <c r="B251" s="494" t="s">
        <v>281</v>
      </c>
      <c r="C251" s="1673"/>
      <c r="D251" s="1579">
        <v>0</v>
      </c>
      <c r="E251" s="1673"/>
      <c r="F251" s="1673"/>
      <c r="G251" s="1673"/>
      <c r="H251" s="1673"/>
      <c r="I251" s="1673"/>
      <c r="J251" s="1673"/>
      <c r="K251" s="1678">
        <f t="shared" si="21"/>
        <v>0</v>
      </c>
      <c r="L251" s="1573">
        <v>0</v>
      </c>
    </row>
    <row r="252" spans="1:12" x14ac:dyDescent="0.2">
      <c r="A252" s="1275" t="s">
        <v>696</v>
      </c>
      <c r="B252" s="494" t="s">
        <v>282</v>
      </c>
      <c r="C252" s="1673"/>
      <c r="D252" s="1579">
        <v>4190</v>
      </c>
      <c r="E252" s="1673"/>
      <c r="F252" s="1673"/>
      <c r="G252" s="1673"/>
      <c r="H252" s="1673"/>
      <c r="I252" s="1673"/>
      <c r="J252" s="1673"/>
      <c r="K252" s="1678">
        <f t="shared" si="21"/>
        <v>4190</v>
      </c>
      <c r="L252" s="1573">
        <v>4800</v>
      </c>
    </row>
    <row r="253" spans="1:12" x14ac:dyDescent="0.2">
      <c r="A253" s="1275" t="s">
        <v>237</v>
      </c>
      <c r="B253" s="494" t="s">
        <v>283</v>
      </c>
      <c r="C253" s="1673"/>
      <c r="D253" s="1579">
        <v>0</v>
      </c>
      <c r="E253" s="1673"/>
      <c r="F253" s="1673"/>
      <c r="G253" s="1673"/>
      <c r="H253" s="1673"/>
      <c r="I253" s="1673"/>
      <c r="J253" s="1673"/>
      <c r="K253" s="1678">
        <f t="shared" si="21"/>
        <v>0</v>
      </c>
      <c r="L253" s="1573">
        <v>0</v>
      </c>
    </row>
    <row r="254" spans="1:12" ht="22.5" x14ac:dyDescent="0.2">
      <c r="A254" s="1275" t="s">
        <v>1021</v>
      </c>
      <c r="B254" s="557" t="s">
        <v>284</v>
      </c>
      <c r="C254" s="1673"/>
      <c r="D254" s="1579">
        <v>1919</v>
      </c>
      <c r="E254" s="1673"/>
      <c r="F254" s="1673"/>
      <c r="G254" s="1673"/>
      <c r="H254" s="1673"/>
      <c r="I254" s="1673"/>
      <c r="J254" s="1673"/>
      <c r="K254" s="1678">
        <f t="shared" si="21"/>
        <v>1919</v>
      </c>
      <c r="L254" s="1573">
        <v>2750</v>
      </c>
    </row>
    <row r="255" spans="1:12" x14ac:dyDescent="0.2">
      <c r="A255" s="1275" t="s">
        <v>1022</v>
      </c>
      <c r="B255" s="494" t="s">
        <v>285</v>
      </c>
      <c r="C255" s="1673"/>
      <c r="D255" s="1579">
        <v>0</v>
      </c>
      <c r="E255" s="1673"/>
      <c r="F255" s="1673"/>
      <c r="G255" s="1673"/>
      <c r="H255" s="1673"/>
      <c r="I255" s="1673"/>
      <c r="J255" s="1673"/>
      <c r="K255" s="1678">
        <f t="shared" si="21"/>
        <v>0</v>
      </c>
      <c r="L255" s="1573">
        <v>0</v>
      </c>
    </row>
    <row r="256" spans="1:12" x14ac:dyDescent="0.2">
      <c r="A256" s="1275" t="s">
        <v>964</v>
      </c>
      <c r="B256" s="503" t="s">
        <v>286</v>
      </c>
      <c r="C256" s="1673"/>
      <c r="D256" s="1579">
        <v>0</v>
      </c>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13044</v>
      </c>
      <c r="E257" s="1673"/>
      <c r="F257" s="1673"/>
      <c r="G257" s="1673"/>
      <c r="H257" s="1673"/>
      <c r="I257" s="1673"/>
      <c r="J257" s="1673"/>
      <c r="K257" s="1674">
        <f>SUM(K245:K256)</f>
        <v>13044</v>
      </c>
      <c r="L257" s="1674">
        <f>SUM(L245:L256)</f>
        <v>15650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6550</v>
      </c>
      <c r="E259" s="1673"/>
      <c r="F259" s="1673"/>
      <c r="G259" s="1673"/>
      <c r="H259" s="1673"/>
      <c r="I259" s="1673"/>
      <c r="J259" s="1673"/>
      <c r="K259" s="1678">
        <f>D259</f>
        <v>6550</v>
      </c>
      <c r="L259" s="1586">
        <v>7100</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6550</v>
      </c>
      <c r="E261" s="1673"/>
      <c r="F261" s="1673"/>
      <c r="G261" s="1673"/>
      <c r="H261" s="1673"/>
      <c r="I261" s="1673"/>
      <c r="J261" s="1673"/>
      <c r="K261" s="1674">
        <f>SUM(K259:K260)</f>
        <v>6550</v>
      </c>
      <c r="L261" s="1674">
        <f>SUM(L259:L260)</f>
        <v>7100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0</v>
      </c>
      <c r="E263" s="1673"/>
      <c r="F263" s="1673"/>
      <c r="G263" s="1673"/>
      <c r="H263" s="1673"/>
      <c r="I263" s="1673"/>
      <c r="J263" s="1673"/>
      <c r="K263" s="1678">
        <f>D263</f>
        <v>0</v>
      </c>
      <c r="L263" s="1586">
        <v>0</v>
      </c>
    </row>
    <row r="264" spans="1:14" x14ac:dyDescent="0.2">
      <c r="A264" s="1274" t="s">
        <v>459</v>
      </c>
      <c r="B264" s="559">
        <v>2520</v>
      </c>
      <c r="C264" s="1673"/>
      <c r="D264" s="1573">
        <v>7345</v>
      </c>
      <c r="E264" s="1673"/>
      <c r="F264" s="1673"/>
      <c r="G264" s="1673"/>
      <c r="H264" s="1673"/>
      <c r="I264" s="1673"/>
      <c r="J264" s="1673"/>
      <c r="K264" s="1678">
        <f t="shared" ref="K264:K269" si="22">D264</f>
        <v>7345</v>
      </c>
      <c r="L264" s="1573">
        <v>6500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39253</v>
      </c>
      <c r="E266" s="1673"/>
      <c r="F266" s="1673"/>
      <c r="G266" s="1673"/>
      <c r="H266" s="1673"/>
      <c r="I266" s="1673"/>
      <c r="J266" s="1673"/>
      <c r="K266" s="1678">
        <f t="shared" si="22"/>
        <v>39253</v>
      </c>
      <c r="L266" s="1573">
        <v>41200</v>
      </c>
    </row>
    <row r="267" spans="1:14" x14ac:dyDescent="0.2">
      <c r="A267" s="1274" t="s">
        <v>946</v>
      </c>
      <c r="B267" s="503">
        <v>2550</v>
      </c>
      <c r="C267" s="1673"/>
      <c r="D267" s="1573">
        <v>8517</v>
      </c>
      <c r="E267" s="1673"/>
      <c r="F267" s="1673"/>
      <c r="G267" s="1673"/>
      <c r="H267" s="1673"/>
      <c r="I267" s="1673"/>
      <c r="J267" s="1673"/>
      <c r="K267" s="1678">
        <f t="shared" si="22"/>
        <v>8517</v>
      </c>
      <c r="L267" s="1573">
        <v>9600</v>
      </c>
    </row>
    <row r="268" spans="1:14" x14ac:dyDescent="0.2">
      <c r="A268" s="1274" t="s">
        <v>100</v>
      </c>
      <c r="B268" s="503">
        <v>2560</v>
      </c>
      <c r="C268" s="1673"/>
      <c r="D268" s="1573">
        <v>15407</v>
      </c>
      <c r="E268" s="1673"/>
      <c r="F268" s="1673"/>
      <c r="G268" s="1673"/>
      <c r="H268" s="1673"/>
      <c r="I268" s="1673"/>
      <c r="J268" s="1673"/>
      <c r="K268" s="1678">
        <f t="shared" si="22"/>
        <v>15407</v>
      </c>
      <c r="L268" s="1573">
        <v>17000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713</v>
      </c>
      <c r="B270" s="1383" t="s">
        <v>35</v>
      </c>
      <c r="C270" s="1673"/>
      <c r="D270" s="1674">
        <f>SUM(D263:D269)</f>
        <v>70522</v>
      </c>
      <c r="E270" s="1673"/>
      <c r="F270" s="1673"/>
      <c r="G270" s="1673"/>
      <c r="H270" s="1673"/>
      <c r="I270" s="1673"/>
      <c r="J270" s="1673"/>
      <c r="K270" s="1674">
        <f>SUM(K263:K269)</f>
        <v>70522</v>
      </c>
      <c r="L270" s="1674">
        <f>SUM(L263:L269)</f>
        <v>74300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v>0</v>
      </c>
      <c r="E272" s="1673"/>
      <c r="F272" s="1673"/>
      <c r="G272" s="1673"/>
      <c r="H272" s="1673"/>
      <c r="I272" s="1673"/>
      <c r="J272" s="1673"/>
      <c r="K272" s="1678">
        <f>D272</f>
        <v>0</v>
      </c>
      <c r="L272" s="1586">
        <v>0</v>
      </c>
    </row>
    <row r="273" spans="1:12" x14ac:dyDescent="0.2">
      <c r="A273" s="1274" t="s">
        <v>602</v>
      </c>
      <c r="B273" s="512">
        <v>2620</v>
      </c>
      <c r="C273" s="1673"/>
      <c r="D273" s="1573">
        <v>0</v>
      </c>
      <c r="E273" s="1673"/>
      <c r="F273" s="1673"/>
      <c r="G273" s="1673"/>
      <c r="H273" s="1673"/>
      <c r="I273" s="1673"/>
      <c r="J273" s="1673"/>
      <c r="K273" s="1678">
        <f>D273</f>
        <v>0</v>
      </c>
      <c r="L273" s="1573">
        <v>0</v>
      </c>
    </row>
    <row r="274" spans="1:12" ht="12" customHeight="1" x14ac:dyDescent="0.2">
      <c r="A274" s="1274" t="s">
        <v>1051</v>
      </c>
      <c r="B274" s="503">
        <v>2630</v>
      </c>
      <c r="C274" s="1673"/>
      <c r="D274" s="1573">
        <v>0</v>
      </c>
      <c r="E274" s="1673"/>
      <c r="F274" s="1673"/>
      <c r="G274" s="1673"/>
      <c r="H274" s="1673"/>
      <c r="I274" s="1673"/>
      <c r="J274" s="1673"/>
      <c r="K274" s="1678">
        <f>D274</f>
        <v>0</v>
      </c>
      <c r="L274" s="1573">
        <v>0</v>
      </c>
    </row>
    <row r="275" spans="1:12" x14ac:dyDescent="0.2">
      <c r="A275" s="1274" t="s">
        <v>399</v>
      </c>
      <c r="B275" s="503">
        <v>2640</v>
      </c>
      <c r="C275" s="1673"/>
      <c r="D275" s="1573">
        <v>0</v>
      </c>
      <c r="E275" s="1673"/>
      <c r="F275" s="1673"/>
      <c r="G275" s="1673"/>
      <c r="H275" s="1673"/>
      <c r="I275" s="1673"/>
      <c r="J275" s="1673"/>
      <c r="K275" s="1678">
        <f>D275</f>
        <v>0</v>
      </c>
      <c r="L275" s="1573">
        <v>0</v>
      </c>
    </row>
    <row r="276" spans="1:12" x14ac:dyDescent="0.2">
      <c r="A276" s="1274" t="s">
        <v>400</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v>0</v>
      </c>
      <c r="E278" s="1673"/>
      <c r="F278" s="1673"/>
      <c r="G278" s="1673"/>
      <c r="H278" s="1673"/>
      <c r="I278" s="1673"/>
      <c r="J278" s="1673"/>
      <c r="K278" s="1696">
        <f>D278</f>
        <v>0</v>
      </c>
      <c r="L278" s="1695">
        <v>0</v>
      </c>
    </row>
    <row r="279" spans="1:12" ht="12.75" customHeight="1" thickBot="1" x14ac:dyDescent="0.25">
      <c r="A279" s="1400" t="s">
        <v>805</v>
      </c>
      <c r="B279" s="1387">
        <v>2000</v>
      </c>
      <c r="C279" s="1673"/>
      <c r="D279" s="1681">
        <f>SUM(D238,D243,D257,D261,D270,D277,D278)</f>
        <v>99496</v>
      </c>
      <c r="E279" s="1673"/>
      <c r="F279" s="1673"/>
      <c r="G279" s="1673"/>
      <c r="H279" s="1673"/>
      <c r="I279" s="1673"/>
      <c r="J279" s="1673"/>
      <c r="K279" s="1681">
        <f>SUM(K238,K243,K257,K261,K270,K277,K278)</f>
        <v>99496</v>
      </c>
      <c r="L279" s="1681">
        <f>SUM(L238,L243,L257,L261,L270,L277,L278)</f>
        <v>106650</v>
      </c>
    </row>
    <row r="280" spans="1:12" ht="15.75" customHeight="1" thickTop="1" thickBot="1" x14ac:dyDescent="0.25">
      <c r="A280" s="1362" t="s">
        <v>869</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v>0</v>
      </c>
      <c r="E282" s="1673"/>
      <c r="F282" s="1673"/>
      <c r="G282" s="1673"/>
      <c r="H282" s="1673"/>
      <c r="I282" s="1673"/>
      <c r="J282" s="1673"/>
      <c r="K282" s="1672">
        <f>D282</f>
        <v>0</v>
      </c>
      <c r="L282" s="1574">
        <v>0</v>
      </c>
    </row>
    <row r="283" spans="1:12" x14ac:dyDescent="0.2">
      <c r="A283" s="1274" t="s">
        <v>300</v>
      </c>
      <c r="B283" s="503">
        <v>4120</v>
      </c>
      <c r="C283" s="1673"/>
      <c r="D283" s="1573">
        <v>12362</v>
      </c>
      <c r="E283" s="1673"/>
      <c r="F283" s="1673"/>
      <c r="G283" s="1673"/>
      <c r="H283" s="1673"/>
      <c r="I283" s="1673"/>
      <c r="J283" s="1673"/>
      <c r="K283" s="1672">
        <f>D283</f>
        <v>12362</v>
      </c>
      <c r="L283" s="1573">
        <v>11800</v>
      </c>
    </row>
    <row r="284" spans="1:12" x14ac:dyDescent="0.2">
      <c r="A284" s="1274" t="s">
        <v>691</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12362</v>
      </c>
      <c r="E285" s="1673"/>
      <c r="F285" s="1673"/>
      <c r="G285" s="1673"/>
      <c r="H285" s="1673"/>
      <c r="I285" s="1673"/>
      <c r="J285" s="1673"/>
      <c r="K285" s="1674">
        <f>SUM(K282:K284)</f>
        <v>12362</v>
      </c>
      <c r="L285" s="1674">
        <f>SUM(L282:L284)</f>
        <v>11800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1159</v>
      </c>
      <c r="B290" s="512" t="s">
        <v>612</v>
      </c>
      <c r="C290" s="1673"/>
      <c r="D290" s="1673"/>
      <c r="E290" s="1673"/>
      <c r="F290" s="1673"/>
      <c r="G290" s="1673"/>
      <c r="H290" s="1573">
        <v>0</v>
      </c>
      <c r="I290" s="1673"/>
      <c r="J290" s="1673"/>
      <c r="K290" s="1672">
        <f>H290</f>
        <v>0</v>
      </c>
      <c r="L290" s="1573">
        <v>0</v>
      </c>
    </row>
    <row r="291" spans="1:14" x14ac:dyDescent="0.2">
      <c r="A291" s="1274" t="s">
        <v>89</v>
      </c>
      <c r="B291" s="503" t="s">
        <v>584</v>
      </c>
      <c r="C291" s="1673"/>
      <c r="D291" s="1673"/>
      <c r="E291" s="1673"/>
      <c r="F291" s="1673"/>
      <c r="G291" s="1673"/>
      <c r="H291" s="1573">
        <v>0</v>
      </c>
      <c r="I291" s="1673"/>
      <c r="J291" s="1673"/>
      <c r="K291" s="1672">
        <f>H291</f>
        <v>0</v>
      </c>
      <c r="L291" s="1573">
        <v>0</v>
      </c>
    </row>
    <row r="292" spans="1:14" x14ac:dyDescent="0.2">
      <c r="A292" s="1274" t="s">
        <v>756</v>
      </c>
      <c r="B292" s="503" t="s">
        <v>613</v>
      </c>
      <c r="C292" s="1673"/>
      <c r="D292" s="1673"/>
      <c r="E292" s="1673"/>
      <c r="F292" s="1673"/>
      <c r="G292" s="1673"/>
      <c r="H292" s="1573">
        <v>0</v>
      </c>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0</v>
      </c>
    </row>
    <row r="295" spans="1:14" ht="12.75" customHeight="1" thickTop="1" thickBot="1" x14ac:dyDescent="0.25">
      <c r="A295" s="2302" t="s">
        <v>501</v>
      </c>
      <c r="B295" s="2303"/>
      <c r="C295" s="1673"/>
      <c r="D295" s="1674">
        <f>SUM(D229,D279,D280,D285)</f>
        <v>172971</v>
      </c>
      <c r="E295" s="1673"/>
      <c r="F295" s="1673"/>
      <c r="G295" s="1673"/>
      <c r="H295" s="1674">
        <f>H293</f>
        <v>0</v>
      </c>
      <c r="I295" s="1673"/>
      <c r="J295" s="1673"/>
      <c r="K295" s="1674">
        <f>SUM(K229,K279,K280,K285,K293,K294)</f>
        <v>172971</v>
      </c>
      <c r="L295" s="1674">
        <f>SUM(L229,L279,L280,L285,L293,L294)</f>
        <v>184300</v>
      </c>
    </row>
    <row r="296" spans="1:14" ht="13.5" thickTop="1" x14ac:dyDescent="0.2">
      <c r="A296" s="2311" t="s">
        <v>988</v>
      </c>
      <c r="B296" s="2312"/>
      <c r="C296" s="1673"/>
      <c r="D296" s="1675"/>
      <c r="E296" s="1673"/>
      <c r="F296" s="1673"/>
      <c r="G296" s="1673"/>
      <c r="H296" s="1707"/>
      <c r="I296" s="1673"/>
      <c r="J296" s="1673"/>
      <c r="K296" s="1689">
        <f>'Revenues 9-14'!G268-'Expenditures 15-22'!K295</f>
        <v>17392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4" t="s">
        <v>142</v>
      </c>
      <c r="B298" s="2288"/>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v>0</v>
      </c>
      <c r="D301" s="1573">
        <v>0</v>
      </c>
      <c r="E301" s="1573">
        <v>33358</v>
      </c>
      <c r="F301" s="1573">
        <v>1157</v>
      </c>
      <c r="G301" s="1573">
        <v>57805</v>
      </c>
      <c r="H301" s="1573">
        <v>0</v>
      </c>
      <c r="I301" s="1574">
        <v>0</v>
      </c>
      <c r="J301" s="1574">
        <v>0</v>
      </c>
      <c r="K301" s="1672">
        <f>SUM(C301:J301)</f>
        <v>92320</v>
      </c>
      <c r="L301" s="1574">
        <v>125500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33358</v>
      </c>
      <c r="F303" s="1681">
        <f t="shared" si="23"/>
        <v>1157</v>
      </c>
      <c r="G303" s="1681">
        <f t="shared" si="23"/>
        <v>57805</v>
      </c>
      <c r="H303" s="1681">
        <f t="shared" si="23"/>
        <v>0</v>
      </c>
      <c r="I303" s="1681">
        <f t="shared" si="23"/>
        <v>0</v>
      </c>
      <c r="J303" s="1681">
        <f t="shared" si="23"/>
        <v>0</v>
      </c>
      <c r="K303" s="1681">
        <f t="shared" si="23"/>
        <v>92320</v>
      </c>
      <c r="L303" s="1681">
        <f t="shared" si="23"/>
        <v>125500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300</v>
      </c>
      <c r="B307" s="503">
        <v>4120</v>
      </c>
      <c r="C307" s="1673"/>
      <c r="D307" s="1673"/>
      <c r="E307" s="1574">
        <v>0</v>
      </c>
      <c r="F307" s="1673"/>
      <c r="G307" s="1673"/>
      <c r="H307" s="1574">
        <v>0</v>
      </c>
      <c r="I307" s="1582"/>
      <c r="J307" s="1673"/>
      <c r="K307" s="1672">
        <f>SUM(E307,H307)</f>
        <v>0</v>
      </c>
      <c r="L307" s="1573">
        <v>0</v>
      </c>
    </row>
    <row r="308" spans="1:14" x14ac:dyDescent="0.2">
      <c r="A308" s="1274" t="s">
        <v>691</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692</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299" t="s">
        <v>274</v>
      </c>
      <c r="B312" s="2300"/>
      <c r="C312" s="1674">
        <f>SUM(C303)</f>
        <v>0</v>
      </c>
      <c r="D312" s="1674">
        <f>SUM(D303)</f>
        <v>0</v>
      </c>
      <c r="E312" s="1674">
        <f>SUM(E303,E310)</f>
        <v>33358</v>
      </c>
      <c r="F312" s="1674">
        <f>SUM(F303)</f>
        <v>1157</v>
      </c>
      <c r="G312" s="1674">
        <f>SUM(G303)</f>
        <v>57805</v>
      </c>
      <c r="H312" s="1674">
        <f>SUM(H303,H310)</f>
        <v>0</v>
      </c>
      <c r="I312" s="1674">
        <f>SUM(I303)</f>
        <v>0</v>
      </c>
      <c r="J312" s="1674">
        <f>SUM(J303)</f>
        <v>0</v>
      </c>
      <c r="K312" s="1674">
        <f>SUM(K303,K310,K311)</f>
        <v>92320</v>
      </c>
      <c r="L312" s="1674">
        <f>SUM(L303,L310,L311)</f>
        <v>125500</v>
      </c>
      <c r="M312" s="539"/>
      <c r="N312" s="539"/>
    </row>
    <row r="313" spans="1:14" ht="13.5" thickTop="1" x14ac:dyDescent="0.2">
      <c r="A313" s="2295" t="s">
        <v>988</v>
      </c>
      <c r="B313" s="2296"/>
      <c r="C313" s="1677"/>
      <c r="D313" s="1677"/>
      <c r="E313" s="1677"/>
      <c r="F313" s="1677"/>
      <c r="G313" s="1677"/>
      <c r="H313" s="1677"/>
      <c r="I313" s="1677"/>
      <c r="J313" s="1677"/>
      <c r="K313" s="1696">
        <f>'Revenues 9-14'!H268-'Expenditures 15-22'!K312</f>
        <v>24191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8" t="s">
        <v>148</v>
      </c>
      <c r="B315" s="230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0" t="s">
        <v>891</v>
      </c>
      <c r="B317" s="2309"/>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279</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2">
        <f t="shared" si="24"/>
        <v>0</v>
      </c>
      <c r="L321" s="1574">
        <v>200</v>
      </c>
      <c r="M321" s="539"/>
      <c r="N321" s="539"/>
    </row>
    <row r="322" spans="1:14" s="548" customFormat="1" x14ac:dyDescent="0.2">
      <c r="A322" s="1289" t="s">
        <v>236</v>
      </c>
      <c r="B322" s="567" t="s">
        <v>281</v>
      </c>
      <c r="C322" s="1574">
        <v>0</v>
      </c>
      <c r="D322" s="1574">
        <v>0</v>
      </c>
      <c r="E322" s="1574">
        <v>38568</v>
      </c>
      <c r="F322" s="1574">
        <v>0</v>
      </c>
      <c r="G322" s="1574">
        <v>0</v>
      </c>
      <c r="H322" s="1574">
        <v>0</v>
      </c>
      <c r="I322" s="1574">
        <v>0</v>
      </c>
      <c r="J322" s="1574">
        <v>0</v>
      </c>
      <c r="K322" s="1672">
        <f t="shared" si="24"/>
        <v>38568</v>
      </c>
      <c r="L322" s="1574">
        <v>38568</v>
      </c>
      <c r="M322" s="539"/>
      <c r="N322" s="539"/>
    </row>
    <row r="323" spans="1:14" s="548" customFormat="1" x14ac:dyDescent="0.2">
      <c r="A323" s="1289" t="s">
        <v>696</v>
      </c>
      <c r="B323" s="567" t="s">
        <v>282</v>
      </c>
      <c r="C323" s="1574">
        <v>25440</v>
      </c>
      <c r="D323" s="1574">
        <v>21</v>
      </c>
      <c r="E323" s="1574">
        <v>17119</v>
      </c>
      <c r="F323" s="1574">
        <v>0</v>
      </c>
      <c r="G323" s="1574">
        <v>0</v>
      </c>
      <c r="H323" s="1574">
        <v>0</v>
      </c>
      <c r="I323" s="1574">
        <v>0</v>
      </c>
      <c r="J323" s="1574">
        <v>0</v>
      </c>
      <c r="K323" s="1672">
        <f t="shared" si="24"/>
        <v>42580</v>
      </c>
      <c r="L323" s="1574">
        <v>43050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1021</v>
      </c>
      <c r="B325" s="568" t="s">
        <v>284</v>
      </c>
      <c r="C325" s="1574">
        <v>149781</v>
      </c>
      <c r="D325" s="1574">
        <v>4304</v>
      </c>
      <c r="E325" s="1574">
        <v>18679</v>
      </c>
      <c r="F325" s="1574">
        <v>0</v>
      </c>
      <c r="G325" s="1574">
        <v>0</v>
      </c>
      <c r="H325" s="1574">
        <v>0</v>
      </c>
      <c r="I325" s="1574">
        <v>0</v>
      </c>
      <c r="J325" s="1574">
        <v>0</v>
      </c>
      <c r="K325" s="1672">
        <f t="shared" si="24"/>
        <v>172764</v>
      </c>
      <c r="L325" s="1574">
        <v>170310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964</v>
      </c>
      <c r="B327" s="567" t="s">
        <v>286</v>
      </c>
      <c r="C327" s="1574">
        <v>0</v>
      </c>
      <c r="D327" s="1574">
        <v>0</v>
      </c>
      <c r="E327" s="1574">
        <v>4420</v>
      </c>
      <c r="F327" s="1574">
        <v>971</v>
      </c>
      <c r="G327" s="1574">
        <v>0</v>
      </c>
      <c r="H327" s="1574">
        <v>0</v>
      </c>
      <c r="I327" s="1574">
        <v>0</v>
      </c>
      <c r="J327" s="1574">
        <v>0</v>
      </c>
      <c r="K327" s="1672">
        <f t="shared" si="24"/>
        <v>5391</v>
      </c>
      <c r="L327" s="1574">
        <v>5600</v>
      </c>
      <c r="M327" s="539"/>
      <c r="N327" s="539"/>
    </row>
    <row r="328" spans="1:14" s="548" customFormat="1" x14ac:dyDescent="0.2">
      <c r="A328" s="1290" t="s">
        <v>468</v>
      </c>
      <c r="B328" s="562" t="s">
        <v>1121</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1122</v>
      </c>
      <c r="B329" s="562" t="s">
        <v>1123</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711</v>
      </c>
      <c r="B330" s="1381" t="s">
        <v>564</v>
      </c>
      <c r="C330" s="1674">
        <f>SUM(C319:C329)</f>
        <v>175221</v>
      </c>
      <c r="D330" s="1674">
        <f t="shared" ref="D330:J330" si="25">SUM(D319:D329)</f>
        <v>4325</v>
      </c>
      <c r="E330" s="1674">
        <f t="shared" si="25"/>
        <v>78786</v>
      </c>
      <c r="F330" s="1674">
        <f t="shared" si="25"/>
        <v>971</v>
      </c>
      <c r="G330" s="1674">
        <f t="shared" si="25"/>
        <v>0</v>
      </c>
      <c r="H330" s="1674">
        <f t="shared" si="25"/>
        <v>0</v>
      </c>
      <c r="I330" s="1674">
        <f t="shared" si="25"/>
        <v>0</v>
      </c>
      <c r="J330" s="1674">
        <f t="shared" si="25"/>
        <v>0</v>
      </c>
      <c r="K330" s="1674">
        <f>SUM(K319:K329)</f>
        <v>259303</v>
      </c>
      <c r="L330" s="1674">
        <f>SUM(L319:L329)</f>
        <v>257728</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300</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v>0</v>
      </c>
      <c r="I337" s="1684"/>
      <c r="J337" s="1684"/>
      <c r="K337" s="1672">
        <f>H337</f>
        <v>0</v>
      </c>
      <c r="L337" s="1583">
        <v>0</v>
      </c>
    </row>
    <row r="338" spans="1:14" ht="12.75" customHeight="1" x14ac:dyDescent="0.2">
      <c r="A338" s="1288" t="s">
        <v>1159</v>
      </c>
      <c r="B338" s="562" t="s">
        <v>612</v>
      </c>
      <c r="C338" s="1684"/>
      <c r="D338" s="1684"/>
      <c r="E338" s="1684"/>
      <c r="F338" s="1684"/>
      <c r="G338" s="1684"/>
      <c r="H338" s="1583">
        <v>0</v>
      </c>
      <c r="I338" s="1684"/>
      <c r="J338" s="1684"/>
      <c r="K338" s="1672">
        <f>H338</f>
        <v>0</v>
      </c>
      <c r="L338" s="1583">
        <v>0</v>
      </c>
    </row>
    <row r="339" spans="1:14" x14ac:dyDescent="0.2">
      <c r="A339" s="1274" t="s">
        <v>894</v>
      </c>
      <c r="B339" s="512">
        <v>5150</v>
      </c>
      <c r="C339" s="1684"/>
      <c r="D339" s="1684"/>
      <c r="E339" s="1684"/>
      <c r="F339" s="1684"/>
      <c r="G339" s="1684"/>
      <c r="H339" s="1574">
        <v>0</v>
      </c>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175221</v>
      </c>
      <c r="D342" s="1674">
        <f>SUM(D330)</f>
        <v>4325</v>
      </c>
      <c r="E342" s="1674">
        <f>SUM(E330)</f>
        <v>78786</v>
      </c>
      <c r="F342" s="1674">
        <f>SUM(F330)</f>
        <v>971</v>
      </c>
      <c r="G342" s="1674">
        <f>SUM(G330)</f>
        <v>0</v>
      </c>
      <c r="H342" s="1674">
        <f>SUM(H330,H334,H340)</f>
        <v>0</v>
      </c>
      <c r="I342" s="1674">
        <f>SUM(I330)</f>
        <v>0</v>
      </c>
      <c r="J342" s="1674">
        <f>SUM(J330)</f>
        <v>0</v>
      </c>
      <c r="K342" s="1674">
        <f>SUM(K330,K334,K340)</f>
        <v>259303</v>
      </c>
      <c r="L342" s="1681">
        <f>SUM(L330,L334,L340,L341)</f>
        <v>257728</v>
      </c>
    </row>
    <row r="343" spans="1:14" ht="12.75" customHeight="1" thickTop="1" x14ac:dyDescent="0.2">
      <c r="A343" s="2297" t="s">
        <v>988</v>
      </c>
      <c r="B343" s="2298"/>
      <c r="C343" s="1673"/>
      <c r="D343" s="1673"/>
      <c r="E343" s="1673"/>
      <c r="F343" s="1673"/>
      <c r="G343" s="1673"/>
      <c r="H343" s="1673"/>
      <c r="I343" s="1673"/>
      <c r="J343" s="1673"/>
      <c r="K343" s="1689">
        <f>'Revenues 9-14'!J268-'Expenditures 15-22'!K342</f>
        <v>4074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7" t="s">
        <v>959</v>
      </c>
      <c r="B345" s="2288"/>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175</v>
      </c>
      <c r="F348" s="1573">
        <v>0</v>
      </c>
      <c r="G348" s="1573">
        <v>0</v>
      </c>
      <c r="H348" s="1573">
        <v>0</v>
      </c>
      <c r="I348" s="1574">
        <v>0</v>
      </c>
      <c r="J348" s="1574">
        <v>0</v>
      </c>
      <c r="K348" s="1672">
        <f>SUM(C348:J348)</f>
        <v>175</v>
      </c>
      <c r="L348" s="1573">
        <v>800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713</v>
      </c>
      <c r="B350" s="1381" t="s">
        <v>35</v>
      </c>
      <c r="C350" s="1674">
        <f>SUM(C348:C349)</f>
        <v>0</v>
      </c>
      <c r="D350" s="1674">
        <f t="shared" ref="D350:L350" si="26">SUM(D348:D349)</f>
        <v>0</v>
      </c>
      <c r="E350" s="1674">
        <f t="shared" si="26"/>
        <v>175</v>
      </c>
      <c r="F350" s="1674">
        <f t="shared" si="26"/>
        <v>0</v>
      </c>
      <c r="G350" s="1674">
        <f t="shared" si="26"/>
        <v>0</v>
      </c>
      <c r="H350" s="1674">
        <f t="shared" si="26"/>
        <v>0</v>
      </c>
      <c r="I350" s="1674">
        <f t="shared" si="26"/>
        <v>0</v>
      </c>
      <c r="J350" s="1674">
        <f t="shared" si="26"/>
        <v>0</v>
      </c>
      <c r="K350" s="1674">
        <f t="shared" si="26"/>
        <v>175</v>
      </c>
      <c r="L350" s="1674">
        <f t="shared" si="26"/>
        <v>800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175</v>
      </c>
      <c r="F352" s="1674">
        <f t="shared" si="27"/>
        <v>0</v>
      </c>
      <c r="G352" s="1674">
        <f t="shared" si="27"/>
        <v>0</v>
      </c>
      <c r="H352" s="1674">
        <f t="shared" si="27"/>
        <v>0</v>
      </c>
      <c r="I352" s="1674">
        <f t="shared" si="27"/>
        <v>0</v>
      </c>
      <c r="J352" s="1674">
        <f t="shared" si="27"/>
        <v>0</v>
      </c>
      <c r="K352" s="1674">
        <f t="shared" si="27"/>
        <v>175</v>
      </c>
      <c r="L352" s="1674">
        <f t="shared" si="27"/>
        <v>800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692</v>
      </c>
      <c r="B356" s="557" t="s">
        <v>553</v>
      </c>
      <c r="C356" s="1673"/>
      <c r="D356" s="1673"/>
      <c r="E356" s="1673"/>
      <c r="F356" s="1673"/>
      <c r="G356" s="1673"/>
      <c r="H356" s="1584">
        <v>0</v>
      </c>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614</v>
      </c>
      <c r="B361" s="494" t="s">
        <v>613</v>
      </c>
      <c r="C361" s="1673"/>
      <c r="D361" s="1673"/>
      <c r="E361" s="1673"/>
      <c r="F361" s="1673"/>
      <c r="G361" s="1673"/>
      <c r="H361" s="1574">
        <v>0</v>
      </c>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175</v>
      </c>
      <c r="F367" s="1674">
        <f t="shared" si="28"/>
        <v>0</v>
      </c>
      <c r="G367" s="1674">
        <f t="shared" si="28"/>
        <v>0</v>
      </c>
      <c r="H367" s="1674">
        <f t="shared" si="28"/>
        <v>0</v>
      </c>
      <c r="I367" s="1674">
        <f t="shared" si="28"/>
        <v>0</v>
      </c>
      <c r="J367" s="1674">
        <f t="shared" si="28"/>
        <v>0</v>
      </c>
      <c r="K367" s="1674">
        <f t="shared" si="28"/>
        <v>175</v>
      </c>
      <c r="L367" s="1674">
        <f t="shared" si="28"/>
        <v>800</v>
      </c>
    </row>
    <row r="368" spans="1:14" ht="13.5" thickTop="1" x14ac:dyDescent="0.2">
      <c r="A368" s="2311" t="s">
        <v>988</v>
      </c>
      <c r="B368" s="2312"/>
      <c r="C368" s="1694"/>
      <c r="D368" s="1694"/>
      <c r="E368" s="1677"/>
      <c r="F368" s="1677"/>
      <c r="G368" s="1677"/>
      <c r="H368" s="1677"/>
      <c r="I368" s="1677"/>
      <c r="J368" s="1676"/>
      <c r="K368" s="1672">
        <f>'Revenues 9-14'!K268-'Expenditures 15-22'!K367</f>
        <v>-132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infopath/2007/PartnerControls"/>
    <ds:schemaRef ds:uri="http://schemas.microsoft.com/sharepoint/v3"/>
    <ds:schemaRef ds:uri="4d435f69-8686-490b-bd6d-b153bf22ab50"/>
    <ds:schemaRef ds:uri="http://www.w3.org/XML/1998/namespace"/>
    <ds:schemaRef ds:uri="http://schemas.openxmlformats.org/package/2006/metadata/core-properties"/>
    <ds:schemaRef ds:uri="d21dc803-237d-4c68-8692-8d731fd29118"/>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SF&amp;QC Sec-2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2020-10-05T15:19:00Z</cp:lastPrinted>
  <dcterms:created xsi:type="dcterms:W3CDTF">2003-10-29T19:06:34Z</dcterms:created>
  <dcterms:modified xsi:type="dcterms:W3CDTF">2020-10-16T19:07:45Z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